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0" yWindow="30" windowWidth="16590" windowHeight="11730"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59" i="21" l="1"/>
  <c r="I59" i="21"/>
  <c r="F59" i="21"/>
  <c r="C33" i="21"/>
  <c r="J33" i="21" l="1"/>
  <c r="F33" i="21"/>
  <c r="I33" i="21"/>
  <c r="G33" i="21"/>
  <c r="E33" i="21"/>
  <c r="G15" i="21"/>
  <c r="E15" i="21"/>
  <c r="I15" i="21" s="1"/>
  <c r="E5" i="21"/>
  <c r="K29" i="81"/>
  <c r="M20" i="1"/>
  <c r="G16" i="73" l="1"/>
  <c r="F16" i="73"/>
  <c r="E16" i="73"/>
  <c r="G15" i="73"/>
  <c r="F15" i="73"/>
  <c r="E15" i="73"/>
  <c r="G14" i="73"/>
  <c r="F14" i="73"/>
  <c r="E14" i="73"/>
  <c r="G13" i="73"/>
  <c r="F13" i="73"/>
  <c r="E13" i="73"/>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AH37" i="71"/>
  <c r="AG37" i="71"/>
  <c r="AF37" i="71"/>
  <c r="AE37" i="71"/>
  <c r="AD37" i="71"/>
  <c r="AA37" i="71"/>
  <c r="Q37" i="71"/>
  <c r="P37" i="71"/>
  <c r="O37" i="71"/>
  <c r="Y37" i="71" s="1"/>
  <c r="Z37" i="71" s="1"/>
  <c r="N37" i="71"/>
  <c r="B38" i="71" s="1"/>
  <c r="D37" i="71"/>
  <c r="AH36" i="71"/>
  <c r="AG36" i="71"/>
  <c r="AE36" i="71"/>
  <c r="AF36" i="71" s="1"/>
  <c r="AD36" i="71"/>
  <c r="Q36" i="71"/>
  <c r="P36" i="71"/>
  <c r="O36" i="71"/>
  <c r="Y36" i="71" s="1"/>
  <c r="Z36" i="71" s="1"/>
  <c r="N36" i="71"/>
  <c r="X36" i="71" s="1"/>
  <c r="AH35" i="71"/>
  <c r="AG35" i="71"/>
  <c r="AF35" i="71"/>
  <c r="AE35" i="71"/>
  <c r="AD35" i="71"/>
  <c r="Y35" i="71"/>
  <c r="Z35" i="71" s="1"/>
  <c r="Q35" i="71"/>
  <c r="P35" i="71"/>
  <c r="O35" i="71"/>
  <c r="N35" i="71"/>
  <c r="X35" i="71" s="1"/>
  <c r="AH34" i="71"/>
  <c r="AG34" i="71"/>
  <c r="AE34" i="71"/>
  <c r="AF34" i="71" s="1"/>
  <c r="AD34" i="71"/>
  <c r="AB34" i="71"/>
  <c r="Q34" i="71"/>
  <c r="P34" i="71"/>
  <c r="AA34" i="71" s="1"/>
  <c r="O34" i="7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F27" i="71"/>
  <c r="F26" i="71" s="1"/>
  <c r="B27" i="71"/>
  <c r="B26" i="71" s="1"/>
  <c r="AH26" i="71"/>
  <c r="AG26" i="71"/>
  <c r="AE26" i="71"/>
  <c r="AF26" i="71" s="1"/>
  <c r="AD26" i="71"/>
  <c r="Q26" i="71"/>
  <c r="P26" i="71"/>
  <c r="O26" i="71"/>
  <c r="Y26" i="71" s="1"/>
  <c r="Z26" i="71" s="1"/>
  <c r="N26" i="71"/>
  <c r="X26" i="71" s="1"/>
  <c r="AH25" i="71"/>
  <c r="AG25" i="71"/>
  <c r="AF25" i="71"/>
  <c r="AE25" i="71"/>
  <c r="AD25" i="71"/>
  <c r="Y25" i="71"/>
  <c r="Z25" i="71" s="1"/>
  <c r="Q25" i="71"/>
  <c r="P25" i="71"/>
  <c r="O25" i="71"/>
  <c r="N25" i="71"/>
  <c r="X25" i="71" s="1"/>
  <c r="D25" i="71"/>
  <c r="AH24" i="71"/>
  <c r="AG24" i="71"/>
  <c r="AE24" i="71"/>
  <c r="AF24" i="71" s="1"/>
  <c r="AD24" i="71"/>
  <c r="AB24" i="71"/>
  <c r="Q24" i="71"/>
  <c r="P24" i="71"/>
  <c r="AA24" i="71" s="1"/>
  <c r="O24" i="71"/>
  <c r="N24" i="71"/>
  <c r="B24" i="71" s="1"/>
  <c r="B23" i="71" s="1"/>
  <c r="B22" i="71" s="1"/>
  <c r="B21" i="71" s="1"/>
  <c r="B20" i="71" s="1"/>
  <c r="F24" i="71"/>
  <c r="E24" i="71"/>
  <c r="C24" i="71"/>
  <c r="AH23" i="71"/>
  <c r="AG23" i="71"/>
  <c r="AF23" i="71"/>
  <c r="AE23" i="71"/>
  <c r="AD23" i="71"/>
  <c r="Y23" i="71"/>
  <c r="Z23" i="71" s="1"/>
  <c r="Q23" i="71"/>
  <c r="P23" i="71"/>
  <c r="O23" i="71"/>
  <c r="N23" i="71"/>
  <c r="X23" i="71" s="1"/>
  <c r="F23" i="71"/>
  <c r="F22" i="71" s="1"/>
  <c r="AH22" i="71"/>
  <c r="AG22" i="71"/>
  <c r="AE22" i="71"/>
  <c r="AF22" i="71" s="1"/>
  <c r="AD22" i="71"/>
  <c r="AB22" i="71"/>
  <c r="Q22" i="71"/>
  <c r="P22" i="71"/>
  <c r="AA22" i="71" s="1"/>
  <c r="O22" i="71"/>
  <c r="N22" i="71"/>
  <c r="X22" i="71" s="1"/>
  <c r="AH21" i="71"/>
  <c r="AG21" i="71"/>
  <c r="AF21" i="71"/>
  <c r="AE21" i="71"/>
  <c r="AD21" i="71"/>
  <c r="AA21" i="71"/>
  <c r="Q21" i="71"/>
  <c r="AB21" i="71" s="1"/>
  <c r="P21" i="71"/>
  <c r="O21" i="71"/>
  <c r="Y21" i="71" s="1"/>
  <c r="Z21" i="71" s="1"/>
  <c r="N21" i="7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P20" i="71"/>
  <c r="O20" i="71"/>
  <c r="Y20" i="71" s="1"/>
  <c r="Z20" i="71" s="1"/>
  <c r="N20" i="71"/>
  <c r="X20" i="71" s="1"/>
  <c r="AH19" i="71"/>
  <c r="AG19" i="71"/>
  <c r="AF19" i="71"/>
  <c r="AE19" i="71"/>
  <c r="AD19" i="71"/>
  <c r="Y19" i="71"/>
  <c r="Z19" i="71" s="1"/>
  <c r="Q19" i="71"/>
  <c r="P19" i="71"/>
  <c r="O19" i="7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H3" i="71"/>
  <c r="AD3" i="71"/>
  <c r="AA3" i="71"/>
  <c r="Y3" i="71"/>
  <c r="Z3" i="71" s="1"/>
  <c r="L3" i="7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T32" i="79" s="1"/>
  <c r="W32" i="79" s="1"/>
  <c r="L32" i="79"/>
  <c r="S32" i="79" s="1"/>
  <c r="I32" i="79"/>
  <c r="AD32" i="79" s="1"/>
  <c r="AB31" i="79"/>
  <c r="AA31" i="79"/>
  <c r="Z31" i="79"/>
  <c r="T31" i="79"/>
  <c r="W31" i="79" s="1"/>
  <c r="N31" i="79"/>
  <c r="U31" i="79" s="1"/>
  <c r="M31" i="79"/>
  <c r="P31" i="79" s="1"/>
  <c r="L31" i="79"/>
  <c r="S31" i="79" s="1"/>
  <c r="I31" i="79"/>
  <c r="AD31" i="79" s="1"/>
  <c r="AB30" i="79"/>
  <c r="AA30" i="79"/>
  <c r="Z30" i="79"/>
  <c r="S30" i="79"/>
  <c r="N30" i="79"/>
  <c r="U30" i="79" s="1"/>
  <c r="M30" i="79"/>
  <c r="T30" i="79" s="1"/>
  <c r="W30" i="79" s="1"/>
  <c r="L30" i="79"/>
  <c r="I30" i="79"/>
  <c r="AD30" i="79" s="1"/>
  <c r="AB29" i="79"/>
  <c r="AA29" i="79"/>
  <c r="Z29" i="79"/>
  <c r="T29" i="79"/>
  <c r="W29" i="79" s="1"/>
  <c r="N29" i="79"/>
  <c r="U29" i="79" s="1"/>
  <c r="M29" i="79"/>
  <c r="P29" i="79" s="1"/>
  <c r="L29" i="79"/>
  <c r="S29" i="79" s="1"/>
  <c r="I29" i="79"/>
  <c r="AD29" i="79" s="1"/>
  <c r="N28" i="79"/>
  <c r="U28" i="79" s="1"/>
  <c r="M28" i="79"/>
  <c r="T28" i="79" s="1"/>
  <c r="W28" i="79" s="1"/>
  <c r="L28" i="79"/>
  <c r="S28" i="79" s="1"/>
  <c r="I28" i="79"/>
  <c r="N27" i="79"/>
  <c r="M27" i="79"/>
  <c r="P27" i="79" s="1"/>
  <c r="L27" i="79"/>
  <c r="I27" i="79"/>
  <c r="S26" i="79"/>
  <c r="N26" i="79"/>
  <c r="U26" i="79" s="1"/>
  <c r="M26" i="79"/>
  <c r="T26" i="79" s="1"/>
  <c r="W26" i="79" s="1"/>
  <c r="L26" i="79"/>
  <c r="I26" i="79"/>
  <c r="AB25" i="79"/>
  <c r="AA25" i="79"/>
  <c r="AA23" i="79" s="1"/>
  <c r="AD23" i="79" s="1"/>
  <c r="Z25" i="79"/>
  <c r="T25" i="79"/>
  <c r="W25" i="79" s="1"/>
  <c r="N25" i="79"/>
  <c r="U25" i="79" s="1"/>
  <c r="M25" i="79"/>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S14" i="79"/>
  <c r="P14" i="79"/>
  <c r="O14" i="79"/>
  <c r="V14" i="79" s="1"/>
  <c r="N14" i="79"/>
  <c r="U14" i="79" s="1"/>
  <c r="M14" i="79"/>
  <c r="T14" i="79" s="1"/>
  <c r="W14" i="79" s="1"/>
  <c r="L14" i="79"/>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S12" i="79"/>
  <c r="P12" i="79"/>
  <c r="O12" i="79"/>
  <c r="V12" i="79" s="1"/>
  <c r="N12" i="79"/>
  <c r="U12" i="79" s="1"/>
  <c r="M12" i="79"/>
  <c r="T12" i="79" s="1"/>
  <c r="W12" i="79" s="1"/>
  <c r="L12" i="79"/>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S10" i="79"/>
  <c r="P10" i="79"/>
  <c r="O10" i="79"/>
  <c r="V10" i="79" s="1"/>
  <c r="N10" i="79"/>
  <c r="U10" i="79" s="1"/>
  <c r="M10" i="79"/>
  <c r="T10" i="79" s="1"/>
  <c r="W10" i="79" s="1"/>
  <c r="L10" i="79"/>
  <c r="K10" i="79"/>
  <c r="R10" i="79" s="1"/>
  <c r="I10" i="79"/>
  <c r="AC9" i="79"/>
  <c r="AB9" i="79"/>
  <c r="AA9" i="79"/>
  <c r="AD9" i="79" s="1"/>
  <c r="Z9" i="79"/>
  <c r="Y9" i="79"/>
  <c r="O9" i="79"/>
  <c r="V9" i="79" s="1"/>
  <c r="N9" i="79"/>
  <c r="U9" i="79" s="1"/>
  <c r="M9" i="79"/>
  <c r="P9" i="79" s="1"/>
  <c r="L9" i="79"/>
  <c r="S9" i="79" s="1"/>
  <c r="K9" i="79"/>
  <c r="R9" i="79" s="1"/>
  <c r="I9" i="79"/>
  <c r="S8" i="79"/>
  <c r="P8" i="79"/>
  <c r="O8" i="79"/>
  <c r="V8" i="79" s="1"/>
  <c r="N8" i="79"/>
  <c r="U8" i="79" s="1"/>
  <c r="M8" i="79"/>
  <c r="T8" i="79" s="1"/>
  <c r="W8" i="79" s="1"/>
  <c r="L8" i="79"/>
  <c r="K8" i="79"/>
  <c r="R8" i="79" s="1"/>
  <c r="I8" i="79"/>
  <c r="V7" i="79"/>
  <c r="R7" i="79"/>
  <c r="O7" i="79"/>
  <c r="N7" i="79"/>
  <c r="U7" i="79" s="1"/>
  <c r="M7" i="79"/>
  <c r="P7" i="79" s="1"/>
  <c r="L7" i="79"/>
  <c r="S7" i="79" s="1"/>
  <c r="K7" i="79"/>
  <c r="I7" i="79"/>
  <c r="P6" i="79"/>
  <c r="O6" i="79"/>
  <c r="N6" i="79"/>
  <c r="U6" i="79" s="1"/>
  <c r="M6" i="79"/>
  <c r="L6" i="79"/>
  <c r="S6" i="79" s="1"/>
  <c r="K6" i="79"/>
  <c r="I6" i="79"/>
  <c r="AC5" i="79"/>
  <c r="AB5" i="79"/>
  <c r="AA5" i="79"/>
  <c r="Z5" i="79"/>
  <c r="Y5" i="79"/>
  <c r="V5" i="79"/>
  <c r="R5" i="79"/>
  <c r="O5" i="79"/>
  <c r="N5" i="79"/>
  <c r="U5" i="79" s="1"/>
  <c r="M5" i="79"/>
  <c r="L5" i="79"/>
  <c r="S5" i="79" s="1"/>
  <c r="K5" i="79"/>
  <c r="I5" i="79"/>
  <c r="AB3" i="79"/>
  <c r="Z3" i="79"/>
  <c r="S3" i="79"/>
  <c r="N3" i="79"/>
  <c r="I3" i="79"/>
  <c r="H3" i="79"/>
  <c r="G3" i="79"/>
  <c r="F3" i="79"/>
  <c r="E3" i="79"/>
  <c r="D3" i="79"/>
  <c r="C40" i="11"/>
  <c r="F38" i="11"/>
  <c r="E37" i="11"/>
  <c r="F36" i="11"/>
  <c r="F35" i="11"/>
  <c r="F21" i="1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N79" i="43"/>
  <c r="M79" i="43"/>
  <c r="K79" i="43"/>
  <c r="J79" i="43" s="1"/>
  <c r="D79" i="43"/>
  <c r="N78" i="43"/>
  <c r="M78" i="43"/>
  <c r="K78" i="43"/>
  <c r="J78" i="43" s="1"/>
  <c r="N77" i="43"/>
  <c r="M77" i="43"/>
  <c r="K77" i="43"/>
  <c r="J77" i="43" s="1"/>
  <c r="D77" i="43" s="1"/>
  <c r="N76" i="43"/>
  <c r="M76" i="43"/>
  <c r="K76" i="43"/>
  <c r="J76" i="43" s="1"/>
  <c r="N75" i="43"/>
  <c r="M75" i="43"/>
  <c r="K75" i="43"/>
  <c r="J75" i="43" s="1"/>
  <c r="D75" i="43"/>
  <c r="M74" i="43"/>
  <c r="N74" i="43" s="1"/>
  <c r="K74" i="43"/>
  <c r="J74" i="43"/>
  <c r="D74" i="43"/>
  <c r="B74" i="43"/>
  <c r="N73" i="43"/>
  <c r="M73" i="43"/>
  <c r="K73" i="43"/>
  <c r="J73" i="43" s="1"/>
  <c r="N72" i="43"/>
  <c r="M72" i="43"/>
  <c r="K72" i="43"/>
  <c r="J72" i="43" s="1"/>
  <c r="D72" i="43"/>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N64" i="43"/>
  <c r="M64" i="43"/>
  <c r="K64" i="43"/>
  <c r="J64" i="43" s="1"/>
  <c r="D64" i="43"/>
  <c r="N63" i="43"/>
  <c r="M63" i="43"/>
  <c r="K63" i="43"/>
  <c r="J63" i="43" s="1"/>
  <c r="D63" i="43"/>
  <c r="B63" i="43"/>
  <c r="M62" i="43"/>
  <c r="N62" i="43" s="1"/>
  <c r="K62" i="43"/>
  <c r="J62" i="43"/>
  <c r="D62" i="43"/>
  <c r="M61" i="43"/>
  <c r="N61" i="43" s="1"/>
  <c r="K61" i="43"/>
  <c r="J61" i="43"/>
  <c r="F61" i="43"/>
  <c r="H64" i="43" s="1"/>
  <c r="D61" i="43"/>
  <c r="E61" i="43" s="1"/>
  <c r="B59" i="43" s="1"/>
  <c r="M58" i="43"/>
  <c r="N58" i="43" s="1"/>
  <c r="K58" i="43"/>
  <c r="J58" i="43"/>
  <c r="D58" i="43"/>
  <c r="M57" i="43"/>
  <c r="N57" i="43" s="1"/>
  <c r="K57" i="43"/>
  <c r="J57" i="43"/>
  <c r="D57" i="43"/>
  <c r="M56" i="43"/>
  <c r="N56" i="43" s="1"/>
  <c r="K56" i="43"/>
  <c r="J56" i="43"/>
  <c r="D56" i="43"/>
  <c r="M55" i="43"/>
  <c r="N55" i="43" s="1"/>
  <c r="K55" i="43"/>
  <c r="J55" i="43"/>
  <c r="D55" i="43"/>
  <c r="M54" i="43"/>
  <c r="N54" i="43" s="1"/>
  <c r="K54" i="43"/>
  <c r="J54" i="43"/>
  <c r="D54" i="43"/>
  <c r="N53" i="43"/>
  <c r="M53" i="43"/>
  <c r="K53" i="43"/>
  <c r="J53" i="43" s="1"/>
  <c r="D53" i="43"/>
  <c r="N52" i="43"/>
  <c r="M52" i="43"/>
  <c r="K52" i="43"/>
  <c r="J52" i="43" s="1"/>
  <c r="D52" i="43"/>
  <c r="B52" i="43"/>
  <c r="M51" i="43"/>
  <c r="N51" i="43" s="1"/>
  <c r="K51" i="43"/>
  <c r="J51" i="43"/>
  <c r="D51" i="43"/>
  <c r="M50" i="43"/>
  <c r="N50" i="43" s="1"/>
  <c r="K50" i="43"/>
  <c r="J50" i="43"/>
  <c r="F50" i="43"/>
  <c r="H53" i="43" s="1"/>
  <c r="D50" i="43"/>
  <c r="E50" i="43" s="1"/>
  <c r="B48" i="43" s="1"/>
  <c r="B50" i="43"/>
  <c r="H42" i="43"/>
  <c r="H41" i="43"/>
  <c r="H40" i="43"/>
  <c r="H39" i="43"/>
  <c r="H38" i="43"/>
  <c r="H37" i="43"/>
  <c r="J24" i="43"/>
  <c r="I18" i="43" s="1"/>
  <c r="G24" i="43"/>
  <c r="E44" i="43" s="1"/>
  <c r="C44" i="43" s="1"/>
  <c r="E24" i="43"/>
  <c r="I23" i="43"/>
  <c r="C22" i="43"/>
  <c r="C20"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M7" i="43"/>
  <c r="M6" i="43"/>
  <c r="M5" i="43"/>
  <c r="N4" i="43"/>
  <c r="M3" i="43"/>
  <c r="G3" i="43"/>
  <c r="H26" i="43" s="1"/>
  <c r="M2" i="43"/>
  <c r="I2" i="43"/>
  <c r="M12" i="43" s="1"/>
  <c r="G2" i="43"/>
  <c r="N1" i="43"/>
  <c r="M1" i="43"/>
  <c r="F40" i="69"/>
  <c r="F39" i="69"/>
  <c r="F38" i="69"/>
  <c r="E37" i="69"/>
  <c r="F36" i="69"/>
  <c r="F35" i="69"/>
  <c r="F21" i="69"/>
  <c r="C40" i="69" s="1"/>
  <c r="C21" i="69"/>
  <c r="F20" i="69"/>
  <c r="C19" i="69"/>
  <c r="E10" i="69"/>
  <c r="E9" i="69"/>
  <c r="F7" i="69"/>
  <c r="H1" i="69"/>
  <c r="O33" i="81"/>
  <c r="O30" i="81"/>
  <c r="O29" i="81"/>
  <c r="K28" i="81"/>
  <c r="O27" i="81"/>
  <c r="O35" i="81" s="1"/>
  <c r="K27" i="81"/>
  <c r="K26" i="81"/>
  <c r="M25" i="81"/>
  <c r="K25" i="81"/>
  <c r="K40" i="81" s="1"/>
  <c r="K41" i="8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s="1"/>
  <c r="I53" i="40"/>
  <c r="H53" i="40"/>
  <c r="C53" i="40"/>
  <c r="H52" i="40"/>
  <c r="I52" i="40" s="1"/>
  <c r="C52" i="40" s="1"/>
  <c r="J48" i="40"/>
  <c r="I48" i="40"/>
  <c r="H48" i="40"/>
  <c r="G48" i="40"/>
  <c r="F48" i="40"/>
  <c r="E48" i="40"/>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J32" i="40"/>
  <c r="AC32" i="40" s="1"/>
  <c r="H32" i="40"/>
  <c r="AB32" i="40" s="1"/>
  <c r="F32" i="40"/>
  <c r="AA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AA14" i="40"/>
  <c r="S14" i="40"/>
  <c r="Q14" i="40"/>
  <c r="Z14" i="40" s="1"/>
  <c r="J14" i="40"/>
  <c r="AC14" i="40" s="1"/>
  <c r="F14" i="40"/>
  <c r="AB13" i="40"/>
  <c r="U13" i="40"/>
  <c r="Q13" i="40"/>
  <c r="Z13" i="40" s="1"/>
  <c r="J13" i="40"/>
  <c r="AC13" i="40" s="1"/>
  <c r="H13" i="40"/>
  <c r="F13" i="40"/>
  <c r="AA13" i="40" s="1"/>
  <c r="AA12" i="40"/>
  <c r="S12" i="40"/>
  <c r="Q12" i="40"/>
  <c r="Z12" i="40" s="1"/>
  <c r="J12" i="40"/>
  <c r="AC12" i="40" s="1"/>
  <c r="F12" i="40"/>
  <c r="AB11" i="40"/>
  <c r="U11" i="40"/>
  <c r="Q11" i="40"/>
  <c r="Z11" i="40" s="1"/>
  <c r="J11" i="40"/>
  <c r="AC11" i="40" s="1"/>
  <c r="H11" i="40"/>
  <c r="F11" i="40"/>
  <c r="AA11" i="40" s="1"/>
  <c r="Z10" i="40"/>
  <c r="Q10" i="40"/>
  <c r="Q9" i="40"/>
  <c r="Z9" i="40" s="1"/>
  <c r="J9" i="40"/>
  <c r="AC9" i="40" s="1"/>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J14" i="39" s="1"/>
  <c r="B83" i="39"/>
  <c r="B81" i="39"/>
  <c r="J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H58" i="39"/>
  <c r="C58" i="39"/>
  <c r="H57" i="39"/>
  <c r="I57" i="39" s="1"/>
  <c r="C57" i="39" s="1"/>
  <c r="J53" i="39"/>
  <c r="I53" i="39"/>
  <c r="H53" i="39"/>
  <c r="G53" i="39"/>
  <c r="F53" i="39"/>
  <c r="E53" i="39"/>
  <c r="P48" i="39"/>
  <c r="P47" i="39"/>
  <c r="K47" i="39"/>
  <c r="V46" i="39"/>
  <c r="T46" i="39"/>
  <c r="R46" i="39"/>
  <c r="P46" i="39"/>
  <c r="Q45" i="39"/>
  <c r="Z45" i="39" s="1"/>
  <c r="H45" i="39"/>
  <c r="AB45" i="39" s="1"/>
  <c r="AC44" i="39"/>
  <c r="W44" i="39"/>
  <c r="Q44" i="39"/>
  <c r="Z44" i="39" s="1"/>
  <c r="J44" i="39"/>
  <c r="H44" i="39"/>
  <c r="AB44" i="39" s="1"/>
  <c r="F44" i="39"/>
  <c r="AA44" i="39" s="1"/>
  <c r="Q43" i="39"/>
  <c r="Z43" i="39" s="1"/>
  <c r="H43" i="39"/>
  <c r="AB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H37" i="39"/>
  <c r="AB37" i="39" s="1"/>
  <c r="AC36" i="39"/>
  <c r="W36" i="39"/>
  <c r="Q36" i="39"/>
  <c r="Z36" i="39" s="1"/>
  <c r="J36" i="39"/>
  <c r="H36" i="39"/>
  <c r="AB36" i="39" s="1"/>
  <c r="F36" i="39"/>
  <c r="AA36" i="39" s="1"/>
  <c r="Q35" i="39"/>
  <c r="Z35" i="39" s="1"/>
  <c r="H35" i="39"/>
  <c r="AB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AC23" i="39"/>
  <c r="W23" i="39"/>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Q13" i="39"/>
  <c r="Z13" i="39" s="1"/>
  <c r="J13" i="39"/>
  <c r="AC13" i="39" s="1"/>
  <c r="H13" i="39"/>
  <c r="AB13" i="39" s="1"/>
  <c r="F13" i="39"/>
  <c r="AA13" i="39" s="1"/>
  <c r="Q12" i="39"/>
  <c r="Z12" i="39" s="1"/>
  <c r="H12" i="39"/>
  <c r="AB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C51" i="36"/>
  <c r="J42" i="36"/>
  <c r="I42" i="36"/>
  <c r="H42" i="36"/>
  <c r="G42" i="36"/>
  <c r="F42" i="36"/>
  <c r="E42" i="36"/>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C53" i="35"/>
  <c r="J44" i="35"/>
  <c r="I44" i="35"/>
  <c r="H44" i="35"/>
  <c r="G44" i="35"/>
  <c r="F44" i="35"/>
  <c r="E44" i="35"/>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Q25" i="35"/>
  <c r="Z25" i="35" s="1"/>
  <c r="J25" i="35"/>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H20" i="35"/>
  <c r="AB20" i="35" s="1"/>
  <c r="F20" i="35"/>
  <c r="S20" i="35" s="1"/>
  <c r="C20" i="35"/>
  <c r="AC18" i="35"/>
  <c r="W18" i="35"/>
  <c r="Q18" i="35"/>
  <c r="Z18" i="35" s="1"/>
  <c r="J18" i="35"/>
  <c r="H18" i="35"/>
  <c r="AB18" i="35" s="1"/>
  <c r="F18" i="35"/>
  <c r="AA18" i="35" s="1"/>
  <c r="C18"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Q9" i="35"/>
  <c r="Z9" i="35" s="1"/>
  <c r="J9" i="35"/>
  <c r="H9" i="35"/>
  <c r="AB9" i="35" s="1"/>
  <c r="F9" i="35"/>
  <c r="S9" i="35" s="1"/>
  <c r="W8" i="35"/>
  <c r="S8" i="35"/>
  <c r="J8" i="35"/>
  <c r="AC8" i="35" s="1"/>
  <c r="H8" i="35"/>
  <c r="U8" i="35" s="1"/>
  <c r="F8" i="35"/>
  <c r="AA8" i="35" s="1"/>
  <c r="D3" i="35"/>
  <c r="B2" i="35"/>
  <c r="B3" i="35" s="1"/>
  <c r="B112" i="37"/>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H63" i="37"/>
  <c r="I63" i="37" s="1"/>
  <c r="J63" i="37" s="1"/>
  <c r="K63" i="37" s="1"/>
  <c r="L63" i="37" s="1"/>
  <c r="M63" i="37" s="1"/>
  <c r="D63" i="37"/>
  <c r="E63" i="37" s="1"/>
  <c r="F63" i="37" s="1"/>
  <c r="G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S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Q23" i="37"/>
  <c r="Z23" i="37" s="1"/>
  <c r="J23" i="37"/>
  <c r="H23" i="37"/>
  <c r="AB23" i="37" s="1"/>
  <c r="F23" i="37"/>
  <c r="S23" i="37" s="1"/>
  <c r="C23" i="37"/>
  <c r="AC21" i="37"/>
  <c r="W21" i="37"/>
  <c r="Q21" i="37"/>
  <c r="Z21" i="37" s="1"/>
  <c r="J21" i="37"/>
  <c r="H21" i="37"/>
  <c r="AB21" i="37" s="1"/>
  <c r="F21" i="37"/>
  <c r="AA21" i="37" s="1"/>
  <c r="C21" i="37"/>
  <c r="Q19" i="37"/>
  <c r="Z19" i="37" s="1"/>
  <c r="J19" i="37"/>
  <c r="H19" i="37"/>
  <c r="AB19" i="37" s="1"/>
  <c r="F19" i="37"/>
  <c r="S19" i="37" s="1"/>
  <c r="C19" i="37"/>
  <c r="AC17" i="37"/>
  <c r="W17" i="37"/>
  <c r="Q17" i="37"/>
  <c r="Z17" i="37" s="1"/>
  <c r="J17" i="37"/>
  <c r="H17" i="37"/>
  <c r="AB17" i="37" s="1"/>
  <c r="F17" i="37"/>
  <c r="AA17" i="37" s="1"/>
  <c r="C17" i="37"/>
  <c r="Q15" i="37"/>
  <c r="Z15" i="37" s="1"/>
  <c r="J15" i="37"/>
  <c r="H15" i="37"/>
  <c r="AB15" i="37" s="1"/>
  <c r="F15" i="37"/>
  <c r="S15" i="37" s="1"/>
  <c r="C15" i="37"/>
  <c r="AC14" i="37"/>
  <c r="W14" i="37"/>
  <c r="Q14" i="37"/>
  <c r="Z14" i="37" s="1"/>
  <c r="J14" i="37"/>
  <c r="F14" i="37"/>
  <c r="Q13" i="37"/>
  <c r="Z13" i="37" s="1"/>
  <c r="J13" i="37"/>
  <c r="AC13" i="37" s="1"/>
  <c r="H13" i="37"/>
  <c r="F13" i="37"/>
  <c r="AA13" i="37" s="1"/>
  <c r="AC12" i="37"/>
  <c r="W12" i="37"/>
  <c r="Q12" i="37"/>
  <c r="Z12" i="37" s="1"/>
  <c r="J12" i="37"/>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B2" i="37"/>
  <c r="B131" i="34"/>
  <c r="B129" i="34"/>
  <c r="B127" i="34"/>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B95" i="34"/>
  <c r="B93" i="34"/>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H27" i="34" s="1"/>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H47" i="34"/>
  <c r="U47" i="34" s="1"/>
  <c r="Q46" i="34"/>
  <c r="Z46" i="34" s="1"/>
  <c r="J46" i="34"/>
  <c r="H46" i="34"/>
  <c r="AB46" i="34" s="1"/>
  <c r="F46" i="34"/>
  <c r="S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S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Q32" i="34"/>
  <c r="Z32" i="34" s="1"/>
  <c r="J32" i="34"/>
  <c r="W32" i="34" s="1"/>
  <c r="H32" i="34"/>
  <c r="AB32" i="34" s="1"/>
  <c r="F32" i="34"/>
  <c r="AA32" i="34" s="1"/>
  <c r="AC31" i="34"/>
  <c r="W31" i="34"/>
  <c r="Q31" i="34"/>
  <c r="Z31" i="34" s="1"/>
  <c r="J31" i="34"/>
  <c r="H31" i="34"/>
  <c r="AB31" i="34" s="1"/>
  <c r="F31" i="34"/>
  <c r="AA31" i="34" s="1"/>
  <c r="AB30" i="34"/>
  <c r="U30" i="34"/>
  <c r="Q30" i="34"/>
  <c r="Z30" i="34" s="1"/>
  <c r="J30" i="34"/>
  <c r="AC30" i="34" s="1"/>
  <c r="H30" i="34"/>
  <c r="F30" i="34"/>
  <c r="AA30" i="34" s="1"/>
  <c r="Q29" i="34"/>
  <c r="Z29" i="34" s="1"/>
  <c r="J29" i="34"/>
  <c r="AC29" i="34" s="1"/>
  <c r="H29" i="34"/>
  <c r="AB29" i="34" s="1"/>
  <c r="F29" i="34"/>
  <c r="AA29" i="34" s="1"/>
  <c r="Q28" i="34"/>
  <c r="Z28" i="34" s="1"/>
  <c r="J28" i="34"/>
  <c r="AC28" i="34" s="1"/>
  <c r="H28" i="34"/>
  <c r="AB28" i="34" s="1"/>
  <c r="F28" i="34"/>
  <c r="AA28" i="34" s="1"/>
  <c r="AC27" i="34"/>
  <c r="W27" i="34"/>
  <c r="Q27" i="34"/>
  <c r="Z27" i="34" s="1"/>
  <c r="J27" i="34"/>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H14" i="34"/>
  <c r="AB14" i="34" s="1"/>
  <c r="F14" i="34"/>
  <c r="AA14" i="34" s="1"/>
  <c r="Q13" i="34"/>
  <c r="Z13" i="34" s="1"/>
  <c r="J13" i="34"/>
  <c r="AC13" i="34" s="1"/>
  <c r="H13" i="34"/>
  <c r="AB13" i="34" s="1"/>
  <c r="F13" i="34"/>
  <c r="AA13" i="34" s="1"/>
  <c r="AC12" i="34"/>
  <c r="W12" i="34"/>
  <c r="Q12" i="34"/>
  <c r="Z12" i="34" s="1"/>
  <c r="J12" i="34"/>
  <c r="H12" i="34"/>
  <c r="AB12" i="34" s="1"/>
  <c r="F12" i="34"/>
  <c r="AA12" i="34" s="1"/>
  <c r="AB11" i="34"/>
  <c r="U11" i="34"/>
  <c r="Q11" i="34"/>
  <c r="Z11" i="34" s="1"/>
  <c r="J11" i="34"/>
  <c r="AC11" i="34" s="1"/>
  <c r="H11" i="34"/>
  <c r="F11" i="34"/>
  <c r="AA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B2" i="34"/>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B2" i="33"/>
  <c r="C145" i="21"/>
  <c r="J142" i="21"/>
  <c r="J140" i="21"/>
  <c r="K145" i="21" s="1"/>
  <c r="K139" i="21"/>
  <c r="B130" i="21"/>
  <c r="J46" i="21" s="1"/>
  <c r="B128" i="21"/>
  <c r="D127" i="21"/>
  <c r="E127" i="21" s="1"/>
  <c r="F126" i="21"/>
  <c r="E126" i="21"/>
  <c r="D126" i="21"/>
  <c r="C126" i="21"/>
  <c r="B126" i="21"/>
  <c r="D125" i="21"/>
  <c r="E125" i="21" s="1"/>
  <c r="F125" i="21" s="1"/>
  <c r="D123" i="21"/>
  <c r="E123" i="21" s="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E106" i="21"/>
  <c r="F106" i="21" s="1"/>
  <c r="G106" i="21" s="1"/>
  <c r="H106" i="21" s="1"/>
  <c r="I106" i="21" s="1"/>
  <c r="J106" i="21" s="1"/>
  <c r="K106" i="21" s="1"/>
  <c r="L106" i="21" s="1"/>
  <c r="M106" i="21" s="1"/>
  <c r="D106" i="21"/>
  <c r="G104" i="21"/>
  <c r="E104" i="21"/>
  <c r="D104" i="21"/>
  <c r="C104"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B94" i="21"/>
  <c r="B92" i="21"/>
  <c r="J28" i="21" s="1"/>
  <c r="AC28" i="21" s="1"/>
  <c r="B90" i="21"/>
  <c r="J27" i="21" s="1"/>
  <c r="AC27"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D59" i="21"/>
  <c r="G59" i="21" s="1"/>
  <c r="P49" i="21"/>
  <c r="P48" i="21"/>
  <c r="K48" i="21"/>
  <c r="P47" i="21"/>
  <c r="I47" i="21"/>
  <c r="I54" i="21" s="1"/>
  <c r="J54" i="21" s="1"/>
  <c r="G47" i="21"/>
  <c r="T47" i="21" s="1"/>
  <c r="E47" i="21"/>
  <c r="E54" i="21" s="1"/>
  <c r="F54" i="21" s="1"/>
  <c r="Q46" i="21"/>
  <c r="Z46" i="21" s="1"/>
  <c r="H46" i="21"/>
  <c r="AB46" i="21" s="1"/>
  <c r="Q45" i="21"/>
  <c r="Z45" i="21" s="1"/>
  <c r="J45" i="21"/>
  <c r="AC45" i="21" s="1"/>
  <c r="H45" i="21"/>
  <c r="AB45" i="21" s="1"/>
  <c r="F45" i="21"/>
  <c r="AA45" i="21" s="1"/>
  <c r="Q44" i="21"/>
  <c r="Z44" i="21" s="1"/>
  <c r="Z43" i="21"/>
  <c r="Q43" i="21"/>
  <c r="Z42" i="21"/>
  <c r="Q42"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Z36" i="21"/>
  <c r="Q36" i="21"/>
  <c r="J36" i="21"/>
  <c r="AC36" i="21" s="1"/>
  <c r="H36" i="21"/>
  <c r="AB36" i="21" s="1"/>
  <c r="F36" i="21"/>
  <c r="AA36" i="21" s="1"/>
  <c r="Q35" i="21"/>
  <c r="Z35" i="21" s="1"/>
  <c r="H35" i="21"/>
  <c r="U35" i="21" s="1"/>
  <c r="Q34" i="21"/>
  <c r="Z34" i="21" s="1"/>
  <c r="J34" i="21"/>
  <c r="AC34" i="21" s="1"/>
  <c r="H34" i="21"/>
  <c r="AB34" i="21" s="1"/>
  <c r="F34" i="21"/>
  <c r="S34" i="21" s="1"/>
  <c r="AC33" i="21"/>
  <c r="AA33" i="21"/>
  <c r="W33" i="21"/>
  <c r="S33" i="21"/>
  <c r="Q33" i="21"/>
  <c r="Z33" i="21" s="1"/>
  <c r="H33" i="21"/>
  <c r="AB33" i="21" s="1"/>
  <c r="AC32" i="21"/>
  <c r="W32" i="21"/>
  <c r="Q32" i="21"/>
  <c r="Z32" i="21" s="1"/>
  <c r="J32" i="21"/>
  <c r="H32" i="21"/>
  <c r="AB32" i="21" s="1"/>
  <c r="F32" i="21"/>
  <c r="AA32" i="21" s="1"/>
  <c r="Q31" i="21"/>
  <c r="Z31" i="21" s="1"/>
  <c r="J31" i="21"/>
  <c r="AC31" i="21" s="1"/>
  <c r="H31" i="21"/>
  <c r="AB31" i="21" s="1"/>
  <c r="F31" i="21"/>
  <c r="AA31" i="21" s="1"/>
  <c r="Q30" i="21"/>
  <c r="Z30" i="21" s="1"/>
  <c r="H30" i="21"/>
  <c r="AB30" i="21" s="1"/>
  <c r="Q29" i="21"/>
  <c r="Z29" i="21" s="1"/>
  <c r="J29" i="21"/>
  <c r="AC29" i="21" s="1"/>
  <c r="H29" i="21"/>
  <c r="AB29" i="21" s="1"/>
  <c r="F29" i="21"/>
  <c r="AA29" i="21" s="1"/>
  <c r="Q28" i="21"/>
  <c r="Z28" i="21" s="1"/>
  <c r="H28" i="21"/>
  <c r="AB28" i="21" s="1"/>
  <c r="Z27" i="21"/>
  <c r="Q27" i="21"/>
  <c r="F27" i="21"/>
  <c r="AA27" i="21" s="1"/>
  <c r="Q26" i="21"/>
  <c r="Z26" i="21" s="1"/>
  <c r="Q25" i="21"/>
  <c r="Z25" i="21" s="1"/>
  <c r="J25" i="21"/>
  <c r="AC25" i="21" s="1"/>
  <c r="H25" i="21"/>
  <c r="AB25" i="21" s="1"/>
  <c r="F25" i="21"/>
  <c r="AA25" i="21" s="1"/>
  <c r="Q23" i="21"/>
  <c r="Z23" i="21" s="1"/>
  <c r="H23" i="21"/>
  <c r="AB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I7" i="21"/>
  <c r="G7" i="21"/>
  <c r="E7" i="21"/>
  <c r="I5" i="21"/>
  <c r="G5" i="21"/>
  <c r="E13" i="70"/>
  <c r="A13" i="70"/>
  <c r="E12" i="70"/>
  <c r="A12" i="70"/>
  <c r="E11" i="70"/>
  <c r="A11" i="70"/>
  <c r="E10" i="70"/>
  <c r="A10" i="70"/>
  <c r="E9" i="70"/>
  <c r="A9" i="70"/>
  <c r="E8" i="70"/>
  <c r="A8" i="70"/>
  <c r="E7" i="70"/>
  <c r="A7" i="70"/>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C62" i="67"/>
  <c r="C61" i="67"/>
  <c r="C60" i="67"/>
  <c r="Q59" i="67"/>
  <c r="K59" i="67"/>
  <c r="P61" i="67" s="1"/>
  <c r="Q58" i="67"/>
  <c r="I54" i="67"/>
  <c r="Q51" i="67"/>
  <c r="J50" i="67"/>
  <c r="M47" i="67"/>
  <c r="L46" i="67"/>
  <c r="D46" i="67"/>
  <c r="C34" i="67"/>
  <c r="F33" i="67"/>
  <c r="F61" i="67" s="1"/>
  <c r="C33" i="67"/>
  <c r="C32" i="67"/>
  <c r="D24" i="67"/>
  <c r="F23" i="67"/>
  <c r="D23" i="67"/>
  <c r="D22" i="67"/>
  <c r="F21" i="67"/>
  <c r="F20" i="67"/>
  <c r="M19" i="67"/>
  <c r="F18" i="67"/>
  <c r="F17" i="67"/>
  <c r="F15" i="67"/>
  <c r="P74" i="15"/>
  <c r="Q72" i="15"/>
  <c r="C62" i="15"/>
  <c r="F61" i="15"/>
  <c r="C61" i="15"/>
  <c r="C60" i="15"/>
  <c r="Q59" i="15"/>
  <c r="K59" i="15"/>
  <c r="P61" i="15" s="1"/>
  <c r="Q58" i="15"/>
  <c r="Q51" i="15"/>
  <c r="J51" i="15"/>
  <c r="J50" i="15"/>
  <c r="M47" i="15"/>
  <c r="D46" i="15"/>
  <c r="C34" i="15"/>
  <c r="F33" i="15"/>
  <c r="C33" i="15"/>
  <c r="C32" i="15"/>
  <c r="D24" i="15"/>
  <c r="F23" i="15"/>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9" i="68"/>
  <c r="F38" i="68"/>
  <c r="E37" i="68"/>
  <c r="F36" i="68"/>
  <c r="F35" i="68"/>
  <c r="F21" i="68"/>
  <c r="C40" i="68" s="1"/>
  <c r="C21" i="68"/>
  <c r="F20" i="68"/>
  <c r="E19" i="68"/>
  <c r="E10" i="68"/>
  <c r="E9" i="68"/>
  <c r="F7" i="68"/>
  <c r="C7" i="68"/>
  <c r="A120" i="9"/>
  <c r="E111" i="9"/>
  <c r="A126" i="9" s="1"/>
  <c r="H109" i="9"/>
  <c r="D124" i="9" s="1"/>
  <c r="D125" i="9" s="1"/>
  <c r="E109" i="9"/>
  <c r="A124" i="9" s="1"/>
  <c r="E107" i="9"/>
  <c r="A122" i="9" s="1"/>
  <c r="H106" i="9"/>
  <c r="H105" i="9"/>
  <c r="H104" i="9"/>
  <c r="H103" i="9"/>
  <c r="D120" i="9" s="1"/>
  <c r="D101" i="9"/>
  <c r="C101" i="9"/>
  <c r="D93" i="9"/>
  <c r="C91" i="9"/>
  <c r="E90" i="9"/>
  <c r="D89" i="9"/>
  <c r="C89" i="9" s="1"/>
  <c r="C87" i="9" s="1"/>
  <c r="H77" i="9"/>
  <c r="D77" i="9"/>
  <c r="C76" i="9"/>
  <c r="F59" i="9"/>
  <c r="E59" i="9"/>
  <c r="F56" i="9"/>
  <c r="O55" i="9"/>
  <c r="N55" i="9"/>
  <c r="K55" i="9"/>
  <c r="J55" i="9"/>
  <c r="I55" i="9"/>
  <c r="F55" i="9"/>
  <c r="O54" i="9"/>
  <c r="N54" i="9"/>
  <c r="O53" i="9"/>
  <c r="N53" i="9"/>
  <c r="M49" i="9"/>
  <c r="L68" i="9" s="1"/>
  <c r="M68" i="9" s="1"/>
  <c r="K49" i="9"/>
  <c r="E48" i="9"/>
  <c r="N52" i="9" s="1"/>
  <c r="D48" i="9"/>
  <c r="M52" i="9" s="1"/>
  <c r="F33" i="9"/>
  <c r="D27" i="9"/>
  <c r="B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6" i="74"/>
  <c r="D6" i="74" s="1"/>
  <c r="B2" i="74"/>
  <c r="C24" i="20"/>
  <c r="C22" i="20"/>
  <c r="B77" i="43" s="1"/>
  <c r="C21" i="20"/>
  <c r="B99" i="43" s="1"/>
  <c r="G20" i="20"/>
  <c r="C20" i="20"/>
  <c r="B69" i="43" s="1"/>
  <c r="G19" i="20"/>
  <c r="G18" i="20"/>
  <c r="C18" i="20"/>
  <c r="B94" i="43" s="1"/>
  <c r="C17" i="20"/>
  <c r="G16" i="20"/>
  <c r="C16" i="20"/>
  <c r="C17" i="39" s="1"/>
  <c r="G15" i="20"/>
  <c r="C15" i="20"/>
  <c r="B52" i="1"/>
  <c r="F34" i="15" s="1"/>
  <c r="F62" i="15" s="1"/>
  <c r="B43" i="1"/>
  <c r="D78" i="9" s="1"/>
  <c r="B41" i="1"/>
  <c r="F32" i="67" s="1"/>
  <c r="F60" i="67" s="1"/>
  <c r="B31" i="1"/>
  <c r="B24" i="1"/>
  <c r="F34" i="11" s="1"/>
  <c r="B22" i="1"/>
  <c r="G26" i="12" s="1"/>
  <c r="B21" i="1"/>
  <c r="B23" i="1" s="1"/>
  <c r="M21" i="1"/>
  <c r="N22" i="1" s="1"/>
  <c r="P14" i="1"/>
  <c r="O14" i="1"/>
  <c r="AP13" i="1"/>
  <c r="AG13" i="1"/>
  <c r="AE13" i="1"/>
  <c r="S13" i="1"/>
  <c r="AR13" i="1" s="1"/>
  <c r="P13" i="1"/>
  <c r="O13" i="1"/>
  <c r="G13" i="1"/>
  <c r="F13" i="1"/>
  <c r="D13" i="1"/>
  <c r="B13" i="1"/>
  <c r="E13" i="1" s="1"/>
  <c r="A13" i="1"/>
  <c r="R13" i="1" s="1"/>
  <c r="AP12" i="1"/>
  <c r="AG12" i="1"/>
  <c r="AE12" i="1"/>
  <c r="S12" i="1"/>
  <c r="AR12" i="1" s="1"/>
  <c r="P12" i="1"/>
  <c r="O12" i="1"/>
  <c r="G12" i="1"/>
  <c r="F12" i="1"/>
  <c r="D12" i="1"/>
  <c r="B12" i="1"/>
  <c r="E12" i="1" s="1"/>
  <c r="A12" i="1"/>
  <c r="R12" i="1" s="1"/>
  <c r="AP11" i="1"/>
  <c r="AG11" i="1"/>
  <c r="AE11" i="1"/>
  <c r="S11" i="1"/>
  <c r="AR11" i="1" s="1"/>
  <c r="P11" i="1"/>
  <c r="O11" i="1"/>
  <c r="G11" i="1"/>
  <c r="F11" i="1"/>
  <c r="D11" i="1"/>
  <c r="B11" i="1"/>
  <c r="E11" i="1" s="1"/>
  <c r="A11" i="1"/>
  <c r="R11" i="1" s="1"/>
  <c r="AP10" i="1"/>
  <c r="AG10" i="1"/>
  <c r="AE10" i="1"/>
  <c r="P10" i="1"/>
  <c r="O10" i="1"/>
  <c r="F10" i="1"/>
  <c r="D10" i="1"/>
  <c r="A10" i="1"/>
  <c r="S10" i="1" s="1"/>
  <c r="AP9" i="1"/>
  <c r="AG9" i="1"/>
  <c r="AE9" i="1"/>
  <c r="R9" i="1"/>
  <c r="P9" i="1"/>
  <c r="O9" i="1"/>
  <c r="K9" i="1"/>
  <c r="M9" i="1" s="1"/>
  <c r="F9" i="1"/>
  <c r="D9" i="1"/>
  <c r="B9" i="1"/>
  <c r="E9" i="1" s="1"/>
  <c r="A9" i="1"/>
  <c r="S9" i="1" s="1"/>
  <c r="AP8" i="1"/>
  <c r="AG8" i="1"/>
  <c r="AE8" i="1"/>
  <c r="P8" i="1"/>
  <c r="O8" i="1"/>
  <c r="F8" i="1"/>
  <c r="D8" i="1"/>
  <c r="A8" i="1"/>
  <c r="S8" i="1" s="1"/>
  <c r="AP7" i="1"/>
  <c r="AG7" i="1"/>
  <c r="AE7" i="1"/>
  <c r="R7" i="1"/>
  <c r="P7" i="1"/>
  <c r="O7" i="1"/>
  <c r="K7" i="1"/>
  <c r="M7" i="1" s="1"/>
  <c r="F7" i="1"/>
  <c r="D7" i="1"/>
  <c r="B7" i="1"/>
  <c r="E7" i="1" s="1"/>
  <c r="A7" i="1"/>
  <c r="S7" i="1" s="1"/>
  <c r="AG6" i="1"/>
  <c r="Y6" i="1"/>
  <c r="P6" i="1"/>
  <c r="P16" i="1" s="1"/>
  <c r="C11" i="12" s="1"/>
  <c r="C12" i="12" s="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D33" i="43" s="1"/>
  <c r="D1" i="43" s="1"/>
  <c r="E19" i="6"/>
  <c r="E32"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AX14" i="3"/>
  <c r="AW14" i="3"/>
  <c r="AV14" i="3"/>
  <c r="AC14" i="3"/>
  <c r="H14" i="3"/>
  <c r="G14" i="3" s="1"/>
  <c r="BT13" i="3"/>
  <c r="BS13" i="3"/>
  <c r="BR13" i="3"/>
  <c r="BQ13" i="3"/>
  <c r="BP13" i="3"/>
  <c r="BO13" i="3"/>
  <c r="BN13" i="3"/>
  <c r="BM13" i="3"/>
  <c r="BL13" i="3" s="1"/>
  <c r="BK13" i="3"/>
  <c r="BJ13" i="3"/>
  <c r="BI13" i="3"/>
  <c r="BI5" i="3" s="1"/>
  <c r="BH13" i="3"/>
  <c r="BG13" i="3"/>
  <c r="BF13" i="3"/>
  <c r="BE13" i="3"/>
  <c r="BE5" i="3" s="1"/>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3" i="4"/>
  <c r="I7" i="4"/>
  <c r="I8" i="4" s="1"/>
  <c r="K6" i="4"/>
  <c r="K5" i="4"/>
  <c r="I4" i="4"/>
  <c r="G4" i="4"/>
  <c r="E4" i="4"/>
  <c r="B5" i="62" s="1"/>
  <c r="C4" i="4"/>
  <c r="K4" i="4" s="1"/>
  <c r="B46" i="48" s="1"/>
  <c r="B4" i="72" s="1"/>
  <c r="D3" i="4"/>
  <c r="C1" i="73" s="1"/>
  <c r="S2" i="4"/>
  <c r="S1" i="4"/>
  <c r="B1" i="4"/>
  <c r="K47" i="78"/>
  <c r="K46" i="78"/>
  <c r="K45" i="78"/>
  <c r="K41" i="78"/>
  <c r="K40" i="78"/>
  <c r="K39" i="78"/>
  <c r="K38" i="78"/>
  <c r="K37" i="78"/>
  <c r="K36" i="78"/>
  <c r="K35" i="78"/>
  <c r="K30" i="78"/>
  <c r="K29" i="78"/>
  <c r="K28" i="78"/>
  <c r="K27" i="78"/>
  <c r="K26" i="78"/>
  <c r="K25" i="78"/>
  <c r="E25" i="78"/>
  <c r="G25" i="78" s="1"/>
  <c r="K24" i="78"/>
  <c r="E24" i="78"/>
  <c r="K23" i="78"/>
  <c r="F23" i="78"/>
  <c r="F24" i="78" s="1"/>
  <c r="F25" i="78" s="1"/>
  <c r="E23" i="78"/>
  <c r="G23" i="78" s="1"/>
  <c r="K22" i="78"/>
  <c r="G22" i="78"/>
  <c r="E22" i="78"/>
  <c r="C15" i="78"/>
  <c r="F12" i="78"/>
  <c r="B15" i="78" s="1"/>
  <c r="F11" i="78"/>
  <c r="B18" i="78" s="1"/>
  <c r="B3" i="78"/>
  <c r="C7" i="78" s="1"/>
  <c r="D7" i="78" s="1"/>
  <c r="C51" i="10"/>
  <c r="B51" i="10"/>
  <c r="H16" i="49"/>
  <c r="D16" i="49"/>
  <c r="D15" i="49"/>
  <c r="B2" i="49"/>
  <c r="B8" i="49" s="1"/>
  <c r="D8" i="49" s="1"/>
  <c r="A21" i="62"/>
  <c r="A20" i="62"/>
  <c r="A19" i="62"/>
  <c r="A18" i="62"/>
  <c r="A15" i="62"/>
  <c r="A14" i="62"/>
  <c r="A13" i="62"/>
  <c r="A12" i="62"/>
  <c r="A5" i="62"/>
  <c r="B4" i="62"/>
  <c r="A4" i="62"/>
  <c r="A12" i="52"/>
  <c r="D11" i="52"/>
  <c r="D10" i="52"/>
  <c r="A10" i="52"/>
  <c r="A8" i="52"/>
  <c r="D6" i="52"/>
  <c r="A6" i="52"/>
  <c r="A4" i="52"/>
  <c r="H2" i="52"/>
  <c r="F2" i="52"/>
  <c r="D2" i="52"/>
  <c r="A1" i="52"/>
  <c r="B19" i="53"/>
  <c r="D17" i="53"/>
  <c r="D16" i="53"/>
  <c r="B16" i="53"/>
  <c r="B13" i="53"/>
  <c r="D12" i="53"/>
  <c r="D11" i="53"/>
  <c r="D10" i="53"/>
  <c r="D8" i="53"/>
  <c r="D9" i="53" s="1"/>
  <c r="B25" i="72" s="1"/>
  <c r="B8" i="53"/>
  <c r="A3" i="53"/>
  <c r="A2" i="53"/>
  <c r="A24" i="51"/>
  <c r="A22" i="51"/>
  <c r="A21" i="51"/>
  <c r="A20" i="51"/>
  <c r="A15" i="51"/>
  <c r="B12" i="72" s="1"/>
  <c r="A13"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6" i="72"/>
  <c r="B34" i="72"/>
  <c r="B33" i="72"/>
  <c r="B29" i="72"/>
  <c r="B28" i="72"/>
  <c r="B27" i="72"/>
  <c r="B26" i="72"/>
  <c r="B24" i="72"/>
  <c r="B23" i="72"/>
  <c r="B19" i="72"/>
  <c r="B18" i="72"/>
  <c r="B17" i="72"/>
  <c r="B16" i="72"/>
  <c r="B15" i="72"/>
  <c r="B11" i="72"/>
  <c r="B10" i="72"/>
  <c r="B8" i="72"/>
  <c r="B6" i="72"/>
  <c r="B5" i="72"/>
  <c r="B3" i="72"/>
  <c r="B2" i="72"/>
  <c r="B8" i="76"/>
  <c r="E2" i="68"/>
  <c r="E8" i="76"/>
  <c r="AO13" i="1"/>
  <c r="F26" i="67"/>
  <c r="D35" i="9"/>
  <c r="M24" i="67"/>
  <c r="E12" i="76"/>
  <c r="E9" i="76"/>
  <c r="E13" i="76"/>
  <c r="E10" i="76"/>
  <c r="AO8" i="1"/>
  <c r="D2" i="34"/>
  <c r="F7" i="67"/>
  <c r="F42" i="67"/>
  <c r="D34" i="9"/>
  <c r="B13" i="76"/>
  <c r="F16" i="67"/>
  <c r="L47" i="67"/>
  <c r="M22" i="67"/>
  <c r="F6" i="67"/>
  <c r="F9" i="67"/>
  <c r="F20" i="31"/>
  <c r="AO10" i="1"/>
  <c r="B9" i="76"/>
  <c r="AO12" i="1"/>
  <c r="M26" i="67"/>
  <c r="M28" i="67"/>
  <c r="B10" i="76"/>
  <c r="D2" i="21"/>
  <c r="D2" i="37"/>
  <c r="F38" i="67"/>
  <c r="M8" i="67"/>
  <c r="F8" i="67"/>
  <c r="M27" i="67"/>
  <c r="F40" i="67"/>
  <c r="J15" i="67"/>
  <c r="D2" i="35"/>
  <c r="F37" i="67"/>
  <c r="D2" i="33"/>
  <c r="E7" i="76"/>
  <c r="B12" i="76"/>
  <c r="AO11" i="1"/>
  <c r="E2" i="69"/>
  <c r="M6" i="67"/>
  <c r="E11" i="76"/>
  <c r="D2" i="36"/>
  <c r="C76" i="67"/>
  <c r="B11" i="76"/>
  <c r="AO9" i="1"/>
  <c r="F36" i="67"/>
  <c r="AO7" i="1"/>
  <c r="M9" i="67"/>
  <c r="B7" i="76"/>
  <c r="F13" i="67"/>
  <c r="M23" i="67"/>
  <c r="C18" i="78" l="1"/>
  <c r="J50" i="40"/>
  <c r="J55" i="39"/>
  <c r="H5" i="3"/>
  <c r="L6" i="3"/>
  <c r="P6" i="3"/>
  <c r="T6" i="3"/>
  <c r="X6" i="3"/>
  <c r="AB6" i="3"/>
  <c r="F29" i="6"/>
  <c r="E29" i="6" s="1"/>
  <c r="F28" i="6"/>
  <c r="E13" i="3"/>
  <c r="G5" i="3"/>
  <c r="B3" i="3" s="1"/>
  <c r="BL5"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6" i="3"/>
  <c r="E167" i="3"/>
  <c r="E170" i="3"/>
  <c r="E171" i="3"/>
  <c r="E174" i="3"/>
  <c r="E175" i="3"/>
  <c r="E178" i="3"/>
  <c r="E179" i="3"/>
  <c r="E182" i="3"/>
  <c r="E183" i="3"/>
  <c r="E186" i="3"/>
  <c r="E187" i="3"/>
  <c r="E190" i="3"/>
  <c r="E191" i="3"/>
  <c r="E194" i="3"/>
  <c r="E195" i="3"/>
  <c r="E198" i="3"/>
  <c r="E199" i="3"/>
  <c r="E202" i="3"/>
  <c r="E203" i="3"/>
  <c r="E206" i="3"/>
  <c r="E207" i="3"/>
  <c r="E210" i="3"/>
  <c r="E211" i="3"/>
  <c r="E214" i="3"/>
  <c r="E215" i="3"/>
  <c r="E218" i="3"/>
  <c r="E219" i="3"/>
  <c r="E222" i="3"/>
  <c r="E223" i="3"/>
  <c r="E226" i="3"/>
  <c r="E227" i="3"/>
  <c r="E230" i="3"/>
  <c r="E231" i="3"/>
  <c r="E234" i="3"/>
  <c r="E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62" i="3"/>
  <c r="E366" i="3"/>
  <c r="E370" i="3"/>
  <c r="E374" i="3"/>
  <c r="E378" i="3"/>
  <c r="E382" i="3"/>
  <c r="E386" i="3"/>
  <c r="E390" i="3"/>
  <c r="E394" i="3"/>
  <c r="E398" i="3"/>
  <c r="E402" i="3"/>
  <c r="E406" i="3"/>
  <c r="E410" i="3"/>
  <c r="E414" i="3"/>
  <c r="E418" i="3"/>
  <c r="E422" i="3"/>
  <c r="E426" i="3"/>
  <c r="E430" i="3"/>
  <c r="G24" i="78"/>
  <c r="AD6" i="3"/>
  <c r="AF6" i="3"/>
  <c r="AH6" i="3"/>
  <c r="AJ6" i="3"/>
  <c r="AL6" i="3"/>
  <c r="AN6" i="3"/>
  <c r="AP6" i="3"/>
  <c r="AR6" i="3"/>
  <c r="BA14" i="3"/>
  <c r="AZ14" i="3" s="1"/>
  <c r="AZ5" i="3" s="1"/>
  <c r="BB5" i="3"/>
  <c r="G30" i="6"/>
  <c r="G31"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4" i="3"/>
  <c r="E368" i="3"/>
  <c r="E372" i="3"/>
  <c r="E376" i="3"/>
  <c r="E380" i="3"/>
  <c r="E384" i="3"/>
  <c r="E388" i="3"/>
  <c r="E392" i="3"/>
  <c r="E396" i="3"/>
  <c r="E400" i="3"/>
  <c r="E404" i="3"/>
  <c r="E408" i="3"/>
  <c r="E412" i="3"/>
  <c r="E416" i="3"/>
  <c r="E420" i="3"/>
  <c r="E424" i="3"/>
  <c r="E428" i="3"/>
  <c r="AB8" i="71"/>
  <c r="X8" i="71"/>
  <c r="AA8" i="71"/>
  <c r="Y8" i="71"/>
  <c r="Z8" i="71" s="1"/>
  <c r="A118" i="9"/>
  <c r="A2" i="9"/>
  <c r="M56" i="9"/>
  <c r="J56" i="9"/>
  <c r="J57" i="9" s="1"/>
  <c r="J59" i="9" s="1"/>
  <c r="J61" i="9" s="1"/>
  <c r="N56" i="9"/>
  <c r="K56" i="9"/>
  <c r="I4" i="6"/>
  <c r="E15" i="6"/>
  <c r="E14" i="6"/>
  <c r="E13" i="6"/>
  <c r="E12" i="6"/>
  <c r="E11" i="6"/>
  <c r="E10" i="6"/>
  <c r="E8" i="6"/>
  <c r="E5" i="6"/>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AZ467" i="3"/>
  <c r="E470" i="3"/>
  <c r="E471" i="3"/>
  <c r="AZ471" i="3"/>
  <c r="E474" i="3"/>
  <c r="E475" i="3"/>
  <c r="AZ475" i="3"/>
  <c r="E478" i="3"/>
  <c r="E479" i="3"/>
  <c r="AZ479" i="3"/>
  <c r="E482" i="3"/>
  <c r="E483" i="3"/>
  <c r="AZ483" i="3"/>
  <c r="E486" i="3"/>
  <c r="E487" i="3"/>
  <c r="AZ487" i="3"/>
  <c r="E490" i="3"/>
  <c r="E491" i="3"/>
  <c r="AZ491" i="3"/>
  <c r="E494" i="3"/>
  <c r="E495" i="3"/>
  <c r="AZ495" i="3"/>
  <c r="E498" i="3"/>
  <c r="E499" i="3"/>
  <c r="AZ499" i="3"/>
  <c r="E502" i="3"/>
  <c r="E503" i="3"/>
  <c r="AZ503" i="3"/>
  <c r="E506" i="3"/>
  <c r="E507" i="3"/>
  <c r="AZ507" i="3"/>
  <c r="E510" i="3"/>
  <c r="E511" i="3"/>
  <c r="AZ511" i="3"/>
  <c r="E514" i="3"/>
  <c r="E515" i="3"/>
  <c r="AZ515" i="3"/>
  <c r="E518" i="3"/>
  <c r="E519" i="3"/>
  <c r="AZ519" i="3"/>
  <c r="E522" i="3"/>
  <c r="E523" i="3"/>
  <c r="AZ523" i="3"/>
  <c r="E526" i="3"/>
  <c r="E527" i="3"/>
  <c r="AZ527" i="3"/>
  <c r="E530" i="3"/>
  <c r="E531" i="3"/>
  <c r="AZ531" i="3"/>
  <c r="E534" i="3"/>
  <c r="E535" i="3"/>
  <c r="AZ535" i="3"/>
  <c r="E538" i="3"/>
  <c r="E539" i="3"/>
  <c r="AZ539" i="3"/>
  <c r="E542" i="3"/>
  <c r="E543" i="3"/>
  <c r="AZ543" i="3"/>
  <c r="E546" i="3"/>
  <c r="E547" i="3"/>
  <c r="AZ547" i="3"/>
  <c r="E550" i="3"/>
  <c r="E551" i="3"/>
  <c r="AZ551" i="3"/>
  <c r="E554" i="3"/>
  <c r="E555" i="3"/>
  <c r="AZ555" i="3"/>
  <c r="E558" i="3"/>
  <c r="E559" i="3"/>
  <c r="AZ559" i="3"/>
  <c r="E562" i="3"/>
  <c r="E563" i="3"/>
  <c r="AZ563" i="3"/>
  <c r="E566" i="3"/>
  <c r="E567" i="3"/>
  <c r="AZ567" i="3"/>
  <c r="E570" i="3"/>
  <c r="E571" i="3"/>
  <c r="AZ571" i="3"/>
  <c r="E574" i="3"/>
  <c r="E575" i="3"/>
  <c r="AZ575" i="3"/>
  <c r="E578" i="3"/>
  <c r="E579" i="3"/>
  <c r="AZ579" i="3"/>
  <c r="E582" i="3"/>
  <c r="E583" i="3"/>
  <c r="AZ583" i="3"/>
  <c r="E586" i="3"/>
  <c r="E587" i="3"/>
  <c r="AZ587" i="3"/>
  <c r="AR8" i="1"/>
  <c r="AQ8" i="1"/>
  <c r="T8" i="1"/>
  <c r="AQ9" i="1"/>
  <c r="T9" i="1"/>
  <c r="AR9" i="1"/>
  <c r="C18" i="9"/>
  <c r="D18" i="9" s="1"/>
  <c r="C94" i="9"/>
  <c r="C92" i="9"/>
  <c r="K120" i="9"/>
  <c r="D121" i="9"/>
  <c r="D7" i="52" s="1"/>
  <c r="H89" i="21"/>
  <c r="I89" i="21" s="1"/>
  <c r="J89" i="21" s="1"/>
  <c r="K89" i="21" s="1"/>
  <c r="L89" i="21" s="1"/>
  <c r="M89" i="21" s="1"/>
  <c r="H26" i="21"/>
  <c r="AB26" i="21" s="1"/>
  <c r="J26" i="21"/>
  <c r="AC26" i="21" s="1"/>
  <c r="F26" i="21"/>
  <c r="AA26" i="21" s="1"/>
  <c r="AC30" i="21"/>
  <c r="W30" i="21"/>
  <c r="E432" i="3"/>
  <c r="E433" i="3"/>
  <c r="E436" i="3"/>
  <c r="E437" i="3"/>
  <c r="E440" i="3"/>
  <c r="E441" i="3"/>
  <c r="E444" i="3"/>
  <c r="E445" i="3"/>
  <c r="E448" i="3"/>
  <c r="E449" i="3"/>
  <c r="E452" i="3"/>
  <c r="E453" i="3"/>
  <c r="E456" i="3"/>
  <c r="E457" i="3"/>
  <c r="E460" i="3"/>
  <c r="E461" i="3"/>
  <c r="E464" i="3"/>
  <c r="E465" i="3"/>
  <c r="E468" i="3"/>
  <c r="E469" i="3"/>
  <c r="E472" i="3"/>
  <c r="E473" i="3"/>
  <c r="E476" i="3"/>
  <c r="E477" i="3"/>
  <c r="E480" i="3"/>
  <c r="E481" i="3"/>
  <c r="E484" i="3"/>
  <c r="E485" i="3"/>
  <c r="E488" i="3"/>
  <c r="E489" i="3"/>
  <c r="E492" i="3"/>
  <c r="E493" i="3"/>
  <c r="E496" i="3"/>
  <c r="E497" i="3"/>
  <c r="E500" i="3"/>
  <c r="E501" i="3"/>
  <c r="E504" i="3"/>
  <c r="E505" i="3"/>
  <c r="E508" i="3"/>
  <c r="E509" i="3"/>
  <c r="E512" i="3"/>
  <c r="E513" i="3"/>
  <c r="E516" i="3"/>
  <c r="E517" i="3"/>
  <c r="E520" i="3"/>
  <c r="E521" i="3"/>
  <c r="E524" i="3"/>
  <c r="E525" i="3"/>
  <c r="E528" i="3"/>
  <c r="E529" i="3"/>
  <c r="E532" i="3"/>
  <c r="E533" i="3"/>
  <c r="E536" i="3"/>
  <c r="E537" i="3"/>
  <c r="E540" i="3"/>
  <c r="E541" i="3"/>
  <c r="E544" i="3"/>
  <c r="E545" i="3"/>
  <c r="E548" i="3"/>
  <c r="E549" i="3"/>
  <c r="E552" i="3"/>
  <c r="E553" i="3"/>
  <c r="E556" i="3"/>
  <c r="E557" i="3"/>
  <c r="E560" i="3"/>
  <c r="E561" i="3"/>
  <c r="E564" i="3"/>
  <c r="E565" i="3"/>
  <c r="E568" i="3"/>
  <c r="E569" i="3"/>
  <c r="E572" i="3"/>
  <c r="E573" i="3"/>
  <c r="E576" i="3"/>
  <c r="E577" i="3"/>
  <c r="E580" i="3"/>
  <c r="E581" i="3"/>
  <c r="E584" i="3"/>
  <c r="E585" i="3"/>
  <c r="AQ7" i="1"/>
  <c r="T7" i="1"/>
  <c r="AR7" i="1"/>
  <c r="AR10" i="1"/>
  <c r="AQ10" i="1"/>
  <c r="T10" i="1"/>
  <c r="R5" i="77"/>
  <c r="U5" i="77" s="1"/>
  <c r="R25" i="77"/>
  <c r="J59" i="21"/>
  <c r="J7" i="21" s="1"/>
  <c r="AB13" i="21"/>
  <c r="U13" i="21"/>
  <c r="H37" i="21"/>
  <c r="J37" i="21"/>
  <c r="W37" i="21" s="1"/>
  <c r="F37" i="21"/>
  <c r="J44" i="21"/>
  <c r="F127" i="2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F34"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AB26" i="35"/>
  <c r="U26" i="35"/>
  <c r="AC26" i="35"/>
  <c r="W26"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C7" i="43" s="1"/>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72" i="43"/>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E72" i="43" s="1"/>
  <c r="B70" i="43" s="1"/>
  <c r="C28" i="43" s="1"/>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S43" i="21"/>
  <c r="W42" i="21"/>
  <c r="U36" i="21"/>
  <c r="S36" i="21"/>
  <c r="W36" i="21"/>
  <c r="AA37" i="21"/>
  <c r="S37" i="21"/>
  <c r="AC37" i="21"/>
  <c r="U37" i="21"/>
  <c r="AB37" i="21"/>
  <c r="S38" i="21"/>
  <c r="W38" i="21"/>
  <c r="U38" i="21"/>
  <c r="U33" i="21"/>
  <c r="S32" i="21"/>
  <c r="H27" i="21"/>
  <c r="AB27" i="21" s="1"/>
  <c r="S27" i="21"/>
  <c r="W27" i="21"/>
  <c r="W28" i="21"/>
  <c r="U28" i="21"/>
  <c r="S28" i="21"/>
  <c r="U26" i="21"/>
  <c r="S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C49" i="67" s="1"/>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C15" i="12"/>
  <c r="M29" i="67"/>
  <c r="D6" i="73"/>
  <c r="D4" i="73"/>
  <c r="F6" i="73"/>
  <c r="F7" i="73"/>
  <c r="F43" i="67"/>
  <c r="D5" i="73"/>
  <c r="D7" i="73"/>
  <c r="L48" i="67"/>
  <c r="D3" i="73"/>
  <c r="G1" i="73"/>
  <c r="F71" i="67" l="1"/>
  <c r="E3" i="6"/>
  <c r="AY6" i="3"/>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80" i="43"/>
  <c r="H79" i="43"/>
  <c r="H78" i="43"/>
  <c r="H77" i="43"/>
  <c r="H76"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E32" i="77" s="1"/>
  <c r="D126" i="9"/>
  <c r="D19" i="53"/>
  <c r="AB44" i="21"/>
  <c r="U44" i="21"/>
  <c r="AC44" i="21"/>
  <c r="W44" i="21"/>
  <c r="M59" i="21"/>
  <c r="N59" i="21" s="1"/>
  <c r="O59" i="21" s="1"/>
  <c r="P59" i="21" s="1"/>
  <c r="E51" i="40"/>
  <c r="E56" i="39"/>
  <c r="F27" i="6"/>
  <c r="E16" i="6"/>
  <c r="E56" i="40"/>
  <c r="E60" i="39"/>
  <c r="E58" i="40"/>
  <c r="E62" i="39"/>
  <c r="E60" i="40"/>
  <c r="E64" i="39"/>
  <c r="K15" i="1"/>
  <c r="L19" i="6"/>
  <c r="L27" i="6" s="1"/>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AC6" i="3"/>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L60" i="67"/>
  <c r="Q66" i="67" s="1"/>
  <c r="I24" i="43"/>
  <c r="C24" i="43" s="1"/>
  <c r="G6" i="1"/>
  <c r="G16" i="1" s="1"/>
  <c r="C7" i="40"/>
  <c r="C63" i="40" s="1"/>
  <c r="C7" i="39"/>
  <c r="C67" i="39" s="1"/>
  <c r="G23" i="43"/>
  <c r="C7" i="36"/>
  <c r="C46" i="36" s="1"/>
  <c r="C7" i="34"/>
  <c r="C59" i="34" s="1"/>
  <c r="J51" i="67"/>
  <c r="M47" i="9"/>
  <c r="C7" i="35"/>
  <c r="C48" i="35" s="1"/>
  <c r="C7" i="37"/>
  <c r="C52" i="37" s="1"/>
  <c r="C7" i="33"/>
  <c r="C58" i="33" s="1"/>
  <c r="C7" i="21"/>
  <c r="C58" i="21" s="1"/>
  <c r="C42" i="1"/>
  <c r="B40" i="1"/>
  <c r="F22" i="11" s="1"/>
  <c r="F59" i="67"/>
  <c r="C59" i="67" s="1"/>
  <c r="J18" i="67"/>
  <c r="J19" i="67"/>
  <c r="C31" i="67"/>
  <c r="F3" i="73"/>
  <c r="F42" i="15"/>
  <c r="M6" i="15"/>
  <c r="M9" i="15"/>
  <c r="F6" i="15"/>
  <c r="M27" i="15"/>
  <c r="F38" i="15"/>
  <c r="J15" i="15"/>
  <c r="F26" i="15"/>
  <c r="F4" i="73"/>
  <c r="M24" i="15"/>
  <c r="M26" i="15"/>
  <c r="F16" i="15"/>
  <c r="M23" i="15"/>
  <c r="F40" i="15"/>
  <c r="F43" i="15"/>
  <c r="F9" i="15"/>
  <c r="F8" i="15"/>
  <c r="C16" i="67"/>
  <c r="M29" i="15"/>
  <c r="F35" i="15"/>
  <c r="L48" i="15"/>
  <c r="F41" i="15"/>
  <c r="F36" i="15"/>
  <c r="C14" i="15"/>
  <c r="F13" i="15"/>
  <c r="M22" i="15"/>
  <c r="F7" i="15"/>
  <c r="M8" i="15"/>
  <c r="L47" i="15"/>
  <c r="M28" i="15"/>
  <c r="F5" i="73"/>
  <c r="C76" i="15"/>
  <c r="F37" i="15"/>
  <c r="M21" i="15"/>
  <c r="C27" i="15" l="1"/>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E6" i="3" s="1"/>
  <c r="C9" i="68"/>
  <c r="F27" i="11"/>
  <c r="F27" i="69"/>
  <c r="F28" i="12"/>
  <c r="F27" i="68"/>
  <c r="C32" i="71"/>
  <c r="D31" i="71"/>
  <c r="C40" i="71"/>
  <c r="D39" i="71"/>
  <c r="T44" i="71"/>
  <c r="D44" i="71"/>
  <c r="E65" i="39"/>
  <c r="D20" i="53"/>
  <c r="B40" i="72" s="1"/>
  <c r="B38" i="72"/>
  <c r="N66" i="71"/>
  <c r="N65" i="71"/>
  <c r="C36" i="71"/>
  <c r="D35" i="71"/>
  <c r="D37" i="11"/>
  <c r="C37" i="11" s="1"/>
  <c r="D19" i="11"/>
  <c r="C19" i="11" s="1"/>
  <c r="D3" i="37"/>
  <c r="B3" i="37" s="1"/>
  <c r="D3" i="34"/>
  <c r="B3" i="34" s="1"/>
  <c r="M18" i="9"/>
  <c r="B118" i="9" s="1"/>
  <c r="E6" i="6"/>
  <c r="D3" i="33"/>
  <c r="B3" i="33" s="1"/>
  <c r="D14" i="12"/>
  <c r="L18" i="9"/>
  <c r="C17" i="4"/>
  <c r="B4" i="52" s="1"/>
  <c r="B43" i="72" s="1"/>
  <c r="E31" i="6"/>
  <c r="C9" i="69"/>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F22" i="68"/>
  <c r="C26" i="68" s="1"/>
  <c r="D22" i="68" s="1"/>
  <c r="L36" i="43"/>
  <c r="Q36" i="43" s="1"/>
  <c r="Q57" i="67"/>
  <c r="Q60" i="67"/>
  <c r="F24" i="15"/>
  <c r="C24" i="15" s="1"/>
  <c r="F22" i="69"/>
  <c r="M11" i="15"/>
  <c r="J10" i="15"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C65" i="40"/>
  <c r="D63" i="40"/>
  <c r="F25" i="12"/>
  <c r="F24" i="67"/>
  <c r="C24" i="67" s="1"/>
  <c r="C36" i="11"/>
  <c r="C48" i="69"/>
  <c r="C30" i="69"/>
  <c r="C28" i="67"/>
  <c r="C28" i="15"/>
  <c r="C48" i="68"/>
  <c r="C31" i="12"/>
  <c r="C24" i="12"/>
  <c r="C29" i="12" s="1"/>
  <c r="D28" i="12" s="1"/>
  <c r="C13" i="12"/>
  <c r="C30" i="68"/>
  <c r="C77" i="9"/>
  <c r="C74" i="9" s="1"/>
  <c r="C36" i="68"/>
  <c r="F7" i="33"/>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44" i="11"/>
  <c r="D41" i="11" s="1"/>
  <c r="C26" i="11"/>
  <c r="D22" i="11" s="1"/>
  <c r="C24" i="11"/>
  <c r="C23" i="11"/>
  <c r="C17" i="15"/>
  <c r="C16" i="15"/>
  <c r="J24" i="67" l="1"/>
  <c r="F11" i="67"/>
  <c r="C53" i="67" s="1"/>
  <c r="C48" i="67" s="1"/>
  <c r="C66" i="67" s="1"/>
  <c r="F11" i="15"/>
  <c r="C53" i="15" s="1"/>
  <c r="J5" i="15"/>
  <c r="F59" i="15"/>
  <c r="C31" i="15"/>
  <c r="C19" i="15"/>
  <c r="C20" i="15" s="1"/>
  <c r="X59" i="21"/>
  <c r="Y59" i="21" s="1"/>
  <c r="W59" i="21"/>
  <c r="D21" i="71"/>
  <c r="C20" i="71"/>
  <c r="B29" i="1"/>
  <c r="C8" i="68" s="1"/>
  <c r="C5" i="68" s="1"/>
  <c r="C23" i="68" s="1"/>
  <c r="D17" i="12"/>
  <c r="C17" i="12" s="1"/>
  <c r="C14" i="12"/>
  <c r="C16" i="12" s="1"/>
  <c r="D10" i="11"/>
  <c r="C10" i="11" s="1"/>
  <c r="D10" i="69"/>
  <c r="D10" i="68"/>
  <c r="D20" i="12"/>
  <c r="C20" i="12" s="1"/>
  <c r="C18" i="12" s="1"/>
  <c r="C20" i="11"/>
  <c r="C25" i="11" s="1"/>
  <c r="C22" i="11" s="1"/>
  <c r="T40" i="71"/>
  <c r="D40" i="71"/>
  <c r="T32" i="71"/>
  <c r="D32" i="71"/>
  <c r="C29" i="11"/>
  <c r="D27" i="11" s="1"/>
  <c r="C47" i="11"/>
  <c r="D45" i="11" s="1"/>
  <c r="K27" i="6"/>
  <c r="M19" i="6"/>
  <c r="S6" i="1"/>
  <c r="J19" i="15"/>
  <c r="J18" i="15"/>
  <c r="H7" i="21"/>
  <c r="U7" i="21" s="1"/>
  <c r="E61" i="40"/>
  <c r="M19" i="9"/>
  <c r="C118" i="9" s="1"/>
  <c r="D29" i="6"/>
  <c r="D28" i="6"/>
  <c r="D30" i="6" s="1"/>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K16" i="1"/>
  <c r="M17" i="15"/>
  <c r="J17" i="15" s="1"/>
  <c r="Q73" i="15"/>
  <c r="Q60" i="15"/>
  <c r="Q61" i="15"/>
  <c r="Q74" i="15"/>
  <c r="C49" i="15"/>
  <c r="C59" i="15" s="1"/>
  <c r="L56" i="15"/>
  <c r="Q52" i="15"/>
  <c r="F1" i="15"/>
  <c r="O36" i="43"/>
  <c r="N36" i="43"/>
  <c r="C44" i="68"/>
  <c r="D41" i="68" s="1"/>
  <c r="P36" i="43"/>
  <c r="F41" i="68"/>
  <c r="L37" i="43"/>
  <c r="Q37" i="43" s="1"/>
  <c r="M36" i="43"/>
  <c r="C23" i="15"/>
  <c r="C24" i="69"/>
  <c r="C26" i="69"/>
  <c r="D22" i="69" s="1"/>
  <c r="C44" i="69"/>
  <c r="D41" i="69" s="1"/>
  <c r="F41" i="69"/>
  <c r="AB10" i="39"/>
  <c r="U10" i="39"/>
  <c r="AA10" i="39"/>
  <c r="S10" i="39"/>
  <c r="AC10" i="40"/>
  <c r="W10" i="40"/>
  <c r="D69" i="39"/>
  <c r="E67" i="39"/>
  <c r="H7" i="36"/>
  <c r="F7" i="36"/>
  <c r="Q61" i="67"/>
  <c r="Q74" i="67"/>
  <c r="F7" i="35"/>
  <c r="J7" i="35"/>
  <c r="J7" i="33"/>
  <c r="C26" i="12"/>
  <c r="D25" i="12" s="1"/>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4" i="67"/>
  <c r="C17" i="67"/>
  <c r="AE6" i="1"/>
  <c r="AB7" i="21" l="1"/>
  <c r="T48" i="21" s="1"/>
  <c r="G48" i="21" s="1"/>
  <c r="C10" i="67"/>
  <c r="C5" i="67" s="1"/>
  <c r="C38" i="67" s="1"/>
  <c r="C10" i="15"/>
  <c r="C5" i="15" s="1"/>
  <c r="C38" i="15" s="1"/>
  <c r="C26" i="15"/>
  <c r="C29" i="15" s="1"/>
  <c r="Q49" i="15" s="1"/>
  <c r="J26" i="15"/>
  <c r="J29" i="15" s="1"/>
  <c r="J24" i="15"/>
  <c r="C21" i="12"/>
  <c r="C22" i="12" s="1"/>
  <c r="C18" i="67"/>
  <c r="C15" i="67"/>
  <c r="C35" i="69"/>
  <c r="C38" i="69"/>
  <c r="D16" i="6"/>
  <c r="M27" i="6"/>
  <c r="I19" i="6"/>
  <c r="C10" i="69"/>
  <c r="C8" i="69" s="1"/>
  <c r="D19" i="69"/>
  <c r="D37" i="69" s="1"/>
  <c r="C37" i="69" s="1"/>
  <c r="Z59" i="21"/>
  <c r="AA59" i="21"/>
  <c r="AB59" i="21" s="1"/>
  <c r="M16" i="1"/>
  <c r="C4" i="52"/>
  <c r="B45" i="72" s="1"/>
  <c r="A7" i="51"/>
  <c r="B7" i="72" s="1"/>
  <c r="A10" i="51"/>
  <c r="B9" i="72" s="1"/>
  <c r="D27" i="6"/>
  <c r="D31" i="6" s="1"/>
  <c r="R20" i="6"/>
  <c r="R21" i="6"/>
  <c r="R22" i="6"/>
  <c r="R23" i="6"/>
  <c r="R24" i="6"/>
  <c r="R25" i="6"/>
  <c r="R26" i="6"/>
  <c r="S16" i="1"/>
  <c r="AR6" i="1"/>
  <c r="AQ6" i="1"/>
  <c r="T6" i="1"/>
  <c r="T16" i="1" s="1"/>
  <c r="E6" i="70"/>
  <c r="E2" i="70" s="1"/>
  <c r="C28" i="11"/>
  <c r="C27" i="11" s="1"/>
  <c r="C31" i="11" s="1"/>
  <c r="C10" i="68"/>
  <c r="D19" i="68"/>
  <c r="T20" i="71"/>
  <c r="D20" i="71"/>
  <c r="U20" i="71" s="1"/>
  <c r="C19" i="71"/>
  <c r="C48" i="15"/>
  <c r="C66" i="15" s="1"/>
  <c r="N37" i="43"/>
  <c r="O37" i="43"/>
  <c r="P37" i="43"/>
  <c r="M37" i="43"/>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G52" i="21"/>
  <c r="H52" i="21" s="1"/>
  <c r="I53" i="34"/>
  <c r="J53" i="34" s="1"/>
  <c r="E65" i="40"/>
  <c r="F63" i="40"/>
  <c r="G53" i="33"/>
  <c r="H53" i="33" s="1"/>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0" i="43" s="1"/>
  <c r="C34" i="43"/>
  <c r="E34" i="43" s="1"/>
  <c r="C31" i="43" s="1"/>
  <c r="C6" i="69"/>
  <c r="AC7" i="35"/>
  <c r="V38" i="35" s="1"/>
  <c r="I38" i="35" s="1"/>
  <c r="W7" i="35"/>
  <c r="AA7" i="36"/>
  <c r="R36" i="36" s="1"/>
  <c r="S7" i="36"/>
  <c r="E69" i="39"/>
  <c r="F67" i="39"/>
  <c r="F41" i="67"/>
  <c r="E6" i="76"/>
  <c r="C19" i="67" l="1"/>
  <c r="C20" i="67" s="1"/>
  <c r="C23" i="67" s="1"/>
  <c r="C33" i="69"/>
  <c r="C39" i="69" s="1"/>
  <c r="C43" i="69" s="1"/>
  <c r="C27" i="12"/>
  <c r="C25" i="12" s="1"/>
  <c r="C30" i="12"/>
  <c r="C28" i="12" s="1"/>
  <c r="C19" i="68"/>
  <c r="D37" i="68"/>
  <c r="C37" i="68" s="1"/>
  <c r="I5" i="6"/>
  <c r="I6" i="6"/>
  <c r="N16" i="1"/>
  <c r="L16" i="1"/>
  <c r="C34" i="68"/>
  <c r="C34" i="11"/>
  <c r="I27" i="6"/>
  <c r="S19" i="6"/>
  <c r="S27" i="6" s="1"/>
  <c r="H19" i="6"/>
  <c r="C18" i="71"/>
  <c r="D19" i="71"/>
  <c r="C13" i="15"/>
  <c r="C75" i="15" s="1"/>
  <c r="J59" i="15"/>
  <c r="J60" i="15" s="1"/>
  <c r="Q48" i="15" s="1"/>
  <c r="J14" i="15"/>
  <c r="J22" i="15" s="1"/>
  <c r="C36" i="15"/>
  <c r="C57" i="15"/>
  <c r="C64" i="15" s="1"/>
  <c r="F69" i="67"/>
  <c r="J29" i="67"/>
  <c r="E2" i="76"/>
  <c r="I52" i="21"/>
  <c r="J52" i="21" s="1"/>
  <c r="F65" i="40"/>
  <c r="G63" i="40"/>
  <c r="E38" i="35"/>
  <c r="R39" i="35"/>
  <c r="I53" i="33"/>
  <c r="J53" i="33" s="1"/>
  <c r="I52" i="33"/>
  <c r="J52" i="33" s="1"/>
  <c r="C48" i="33"/>
  <c r="C49" i="33"/>
  <c r="I46" i="37"/>
  <c r="J46" i="37" s="1"/>
  <c r="F69" i="39"/>
  <c r="G67" i="39"/>
  <c r="C56" i="15"/>
  <c r="C65" i="15" s="1"/>
  <c r="C58" i="15" s="1"/>
  <c r="C67" i="15" s="1"/>
  <c r="C68" i="15" s="1"/>
  <c r="C71" i="15" s="1"/>
  <c r="R37" i="36"/>
  <c r="E36" i="36"/>
  <c r="I43" i="35"/>
  <c r="J43" i="35" s="1"/>
  <c r="I42" i="35"/>
  <c r="J42" i="35" s="1"/>
  <c r="C7" i="69"/>
  <c r="C5" i="69"/>
  <c r="B2" i="43"/>
  <c r="G54" i="34"/>
  <c r="H54" i="34" s="1"/>
  <c r="G53" i="34"/>
  <c r="H53" i="34" s="1"/>
  <c r="R43" i="37"/>
  <c r="E42" i="37"/>
  <c r="I41" i="36"/>
  <c r="J41" i="36" s="1"/>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L46" i="15" l="1"/>
  <c r="C42" i="69"/>
  <c r="C41" i="69" s="1"/>
  <c r="C37" i="15"/>
  <c r="C30" i="15" s="1"/>
  <c r="C39" i="15" s="1"/>
  <c r="C80" i="15" s="1"/>
  <c r="C79" i="15" s="1"/>
  <c r="Q70" i="15"/>
  <c r="C26" i="67"/>
  <c r="C32" i="12"/>
  <c r="B2" i="12" s="1"/>
  <c r="B3" i="12" s="1"/>
  <c r="C29" i="67"/>
  <c r="D18" i="71"/>
  <c r="C17" i="71"/>
  <c r="C35" i="11"/>
  <c r="C38" i="11"/>
  <c r="C33" i="11" s="1"/>
  <c r="C46" i="69"/>
  <c r="C45" i="69" s="1"/>
  <c r="H27" i="6"/>
  <c r="R19" i="6"/>
  <c r="C35" i="68"/>
  <c r="C38" i="68"/>
  <c r="F50" i="69"/>
  <c r="F50" i="68"/>
  <c r="F50" i="11"/>
  <c r="C20" i="68"/>
  <c r="C24" i="68"/>
  <c r="C28" i="68"/>
  <c r="C27" i="68" s="1"/>
  <c r="J13" i="15"/>
  <c r="J23" i="15" s="1"/>
  <c r="J16" i="15" s="1"/>
  <c r="J25" i="15" s="1"/>
  <c r="B2" i="76"/>
  <c r="B3" i="76" s="1"/>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L51" i="15"/>
  <c r="C40" i="15" l="1"/>
  <c r="Q56" i="15" s="1"/>
  <c r="C28" i="69"/>
  <c r="C27" i="69" s="1"/>
  <c r="Q69" i="15"/>
  <c r="Q68" i="15" s="1"/>
  <c r="C49" i="69"/>
  <c r="C51" i="69" s="1"/>
  <c r="C33" i="68"/>
  <c r="C39" i="68" s="1"/>
  <c r="C43" i="68" s="1"/>
  <c r="C39" i="11"/>
  <c r="C43" i="11" s="1"/>
  <c r="C42" i="11"/>
  <c r="C46" i="11"/>
  <c r="C45" i="11" s="1"/>
  <c r="R6" i="1"/>
  <c r="R27" i="6"/>
  <c r="C25" i="68"/>
  <c r="C22" i="68" s="1"/>
  <c r="C31" i="68" s="1"/>
  <c r="D17" i="71"/>
  <c r="C16" i="71"/>
  <c r="C57" i="67"/>
  <c r="C64" i="67" s="1"/>
  <c r="C36" i="67"/>
  <c r="C13" i="67"/>
  <c r="Q49" i="67"/>
  <c r="J14" i="67"/>
  <c r="C22" i="69"/>
  <c r="B2" i="21"/>
  <c r="B3" i="21"/>
  <c r="H69" i="39"/>
  <c r="I67" i="39"/>
  <c r="H65" i="40"/>
  <c r="I63" i="40"/>
  <c r="L57" i="15"/>
  <c r="L60" i="15" s="1"/>
  <c r="Q66" i="15" s="1"/>
  <c r="Q67" i="15"/>
  <c r="D20" i="9"/>
  <c r="D19" i="9"/>
  <c r="F35" i="67"/>
  <c r="M21" i="67"/>
  <c r="Q65" i="15" l="1"/>
  <c r="Q75" i="15" s="1"/>
  <c r="C31" i="69"/>
  <c r="Q47" i="15"/>
  <c r="Q53" i="15" s="1"/>
  <c r="C43" i="15"/>
  <c r="C83" i="15"/>
  <c r="C82" i="15" s="1"/>
  <c r="B2" i="15"/>
  <c r="B3" i="15" s="1"/>
  <c r="C46" i="15"/>
  <c r="C52" i="69"/>
  <c r="B2" i="69" s="1"/>
  <c r="B3" i="69" s="1"/>
  <c r="C42" i="68"/>
  <c r="C41" i="68" s="1"/>
  <c r="C46" i="68"/>
  <c r="C45" i="68" s="1"/>
  <c r="C41" i="11"/>
  <c r="C49" i="11" s="1"/>
  <c r="C51" i="11"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Q57" i="15"/>
  <c r="Q62" i="15" s="1"/>
  <c r="C49" i="68" l="1"/>
  <c r="C51" i="68" s="1"/>
  <c r="C52" i="68" s="1"/>
  <c r="B2" i="68" s="1"/>
  <c r="B3" i="68" s="1"/>
  <c r="C57" i="69"/>
  <c r="C56" i="69" s="1"/>
  <c r="J16" i="67"/>
  <c r="J25" i="67" s="1"/>
  <c r="C52" i="11"/>
  <c r="B2" i="11" s="1"/>
  <c r="B3" i="11" s="1"/>
  <c r="C71" i="67"/>
  <c r="D15" i="71"/>
  <c r="C14" i="71"/>
  <c r="C40" i="67"/>
  <c r="Q69" i="67"/>
  <c r="Q68" i="67" s="1"/>
  <c r="C80" i="67"/>
  <c r="C79" i="67" s="1"/>
  <c r="J69" i="39"/>
  <c r="K67" i="39"/>
  <c r="J65" i="40"/>
  <c r="K63" i="40"/>
  <c r="L51" i="67"/>
  <c r="C57" i="68" l="1"/>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C20" i="9"/>
  <c r="AO6" i="1"/>
  <c r="C103" i="9" l="1"/>
  <c r="G20" i="9"/>
  <c r="B6" i="70"/>
  <c r="B2" i="70" s="1"/>
  <c r="B3" i="70" s="1"/>
  <c r="C21" i="9"/>
  <c r="C102" i="9"/>
  <c r="D22" i="9"/>
  <c r="T12" i="71"/>
  <c r="D12" i="71"/>
  <c r="U12" i="71" s="1"/>
  <c r="C11" i="71"/>
  <c r="M65" i="40"/>
  <c r="N63" i="40"/>
  <c r="M69" i="39"/>
  <c r="N67" i="39"/>
  <c r="G19" i="9" l="1"/>
  <c r="I19" i="9"/>
  <c r="E14" i="74"/>
  <c r="D14" i="74" s="1"/>
  <c r="C32" i="9"/>
  <c r="C35" i="9" s="1"/>
  <c r="C34" i="9" s="1"/>
  <c r="D11" i="71"/>
  <c r="C10" i="71"/>
  <c r="N69" i="39"/>
  <c r="O67" i="39"/>
  <c r="O69" i="39" s="1"/>
  <c r="N65" i="40"/>
  <c r="O63" i="40"/>
  <c r="O65" i="40" s="1"/>
  <c r="D10" i="71" l="1"/>
  <c r="C9" i="71"/>
  <c r="G24" i="9"/>
  <c r="F14" i="74"/>
  <c r="B5" i="74"/>
  <c r="D5" i="74" s="1"/>
  <c r="G21" i="9"/>
  <c r="D30" i="9"/>
  <c r="C30" i="9" s="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C6" i="74"/>
  <c r="D52" i="9"/>
  <c r="D53" i="9"/>
  <c r="M54" i="9"/>
  <c r="H4" i="52"/>
  <c r="C104" i="9"/>
  <c r="C5" i="74"/>
  <c r="C105" i="9"/>
  <c r="I4" i="52"/>
  <c r="N61" i="9"/>
  <c r="N60" i="9"/>
  <c r="N58" i="9"/>
  <c r="N59" i="9"/>
  <c r="P57" i="9"/>
  <c r="B30" i="72"/>
  <c r="C78" i="9"/>
  <c r="C73" i="9"/>
  <c r="B49" i="72"/>
  <c r="H108" i="9"/>
  <c r="D15" i="53"/>
  <c r="B31" i="72"/>
  <c r="D5" i="52"/>
  <c r="B53" i="72"/>
  <c r="M48" i="9"/>
  <c r="B20" i="72"/>
  <c r="H102" i="9"/>
  <c r="D7" i="53"/>
  <c r="B21" i="72"/>
  <c r="D119" i="9"/>
  <c r="C81" i="9"/>
  <c r="E81" i="9"/>
  <c r="D8" i="52"/>
  <c r="N57" i="9"/>
  <c r="D59" i="9"/>
  <c r="M55" i="9"/>
  <c r="D118" i="9"/>
  <c r="D4" i="52"/>
  <c r="B47" i="72"/>
  <c r="F4" i="52"/>
  <c r="B51" i="72"/>
  <c r="D122" i="9"/>
  <c r="D123" i="9"/>
  <c r="D9" i="52"/>
  <c r="G4" i="52"/>
  <c r="B52" i="72"/>
  <c r="E97" i="9"/>
  <c r="C68" i="9"/>
  <c r="D54" i="9"/>
  <c r="G118" i="9"/>
  <c r="F118" i="9"/>
  <c r="F119" i="9"/>
  <c r="F5" i="52"/>
  <c r="C97" i="9"/>
  <c r="D58" i="9"/>
  <c r="D56" i="9"/>
  <c r="D5" i="53"/>
  <c r="D6" i="53"/>
  <c r="B22" i="72"/>
  <c r="H119" i="9"/>
  <c r="H5" i="52"/>
  <c r="E118" i="9"/>
  <c r="E4" i="52"/>
  <c r="B48" i="72"/>
  <c r="C64" i="9"/>
  <c r="C63" i="9"/>
  <c r="C67" i="9"/>
  <c r="C93" i="9"/>
  <c r="C86" i="9"/>
  <c r="C72" i="9"/>
  <c r="C79" i="9"/>
  <c r="C80" i="9"/>
  <c r="E80" i="9"/>
  <c r="D55" i="9"/>
  <c r="M53" i="9"/>
  <c r="H107" i="9"/>
  <c r="D13" i="53"/>
  <c r="D14" i="53"/>
  <c r="B32"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<sst xmlns="http://schemas.openxmlformats.org/spreadsheetml/2006/main" count="7961" uniqueCount="3488">
  <si>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</si>
  <si>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</si>
  <si>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</si>
  <si>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</si>
  <si>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</si>
  <si>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</si>
  <si>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</si>
  <si>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</si>
  <si>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</si>
  <si>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</si>
  <si>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</si>
  <si>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</si>
  <si>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</si>
  <si>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</si>
  <si>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</si>
  <si>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</si>
  <si>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</si>
  <si>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</si>
  <si>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</si>
  <si>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</si>
  <si>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</si>
  <si>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</si>
  <si>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</si>
  <si>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</si>
  <si>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</si>
  <si>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</si>
  <si>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</si>
  <si>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</si>
  <si>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</si>
  <si>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</si>
  <si>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</si>
  <si>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</si>
  <si>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</si>
  <si>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</si>
  <si>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</si>
  <si>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</si>
  <si>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</si>
  <si>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</si>
  <si>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</si>
  <si>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</si>
  <si>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</si>
  <si>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</si>
  <si>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</si>
  <si>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</si>
  <si>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</si>
  <si>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</si>
  <si>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</si>
  <si>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</si>
  <si>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</si>
  <si>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</si>
  <si>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</si>
  <si>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</si>
  <si>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</si>
  <si>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</si>
  <si>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</si>
  <si>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</si>
  <si>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</si>
  <si>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</si>
  <si>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</si>
  <si>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</si>
  <si>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</si>
  <si>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</si>
  <si>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</si>
  <si>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</si>
  <si>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</si>
  <si>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</si>
  <si>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</si>
  <si>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</si>
  <si>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</si>
  <si>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</si>
  <si>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</si>
  <si>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</si>
  <si>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</si>
  <si>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</si>
  <si>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</si>
  <si>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</si>
  <si>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</si>
  <si>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</si>
  <si>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</si>
  <si>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</si>
  <si>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</si>
  <si>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</si>
  <si>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</si>
  <si>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</si>
  <si>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</si>
  <si>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</si>
  <si>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</si>
  <si>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</si>
  <si>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</si>
  <si>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</si>
  <si>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</si>
  <si>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</si>
  <si>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</si>
  <si>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</si>
  <si>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</si>
  <si>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</si>
  <si>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</si>
  <si>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</si>
  <si>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</si>
  <si>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</si>
  <si>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</si>
  <si>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</si>
  <si>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</si>
  <si>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</si>
  <si>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</si>
  <si>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</si>
  <si>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</si>
  <si>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</si>
  <si>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</si>
  <si>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</si>
  <si>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</si>
  <si>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</si>
  <si>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</si>
  <si>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</si>
  <si>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</si>
  <si>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</si>
  <si>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</si>
  <si>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</si>
  <si>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</si>
  <si>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</si>
  <si>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</si>
  <si>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</si>
  <si>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</si>
  <si>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</si>
  <si>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</si>
  <si>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</si>
  <si>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</si>
  <si>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</si>
  <si>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</si>
  <si>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</si>
  <si>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</si>
  <si>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</si>
  <si>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</si>
  <si>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</si>
  <si>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</si>
  <si>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</si>
  <si>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</si>
  <si>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</si>
  <si>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</si>
  <si>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</si>
  <si>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</si>
  <si>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</si>
  <si>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</si>
  <si>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</si>
  <si>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</si>
  <si>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</si>
  <si>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</si>
  <si>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</si>
  <si>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</si>
  <si>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</si>
  <si>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</si>
  <si>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</si>
  <si>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</si>
  <si>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</si>
  <si>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</si>
  <si>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</si>
  <si>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</si>
  <si>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</si>
  <si>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</si>
  <si>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</si>
  <si>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</si>
  <si>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</si>
  <si>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</si>
  <si>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</si>
  <si>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</si>
  <si>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</si>
  <si>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</si>
  <si>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</si>
  <si>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</si>
  <si>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</si>
  <si>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</si>
  <si>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</si>
  <si>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</si>
  <si>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</si>
  <si>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</si>
  <si>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</si>
  <si>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</si>
  <si>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</si>
  <si>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</si>
  <si>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</si>
  <si>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</si>
  <si>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</si>
  <si>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</si>
  <si>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</si>
  <si>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</si>
  <si>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</si>
  <si>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</si>
  <si>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</si>
  <si>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</si>
  <si>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</si>
  <si>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</si>
  <si>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</si>
  <si>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</si>
  <si>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</si>
  <si>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</si>
  <si>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</si>
  <si>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</si>
  <si>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</si>
  <si>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</si>
  <si>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</si>
  <si>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</si>
  <si>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</si>
  <si>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</si>
  <si>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</si>
  <si>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</si>
  <si>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</si>
  <si>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</si>
  <si>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</si>
  <si>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</si>
  <si>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</si>
  <si>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</si>
  <si>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</si>
  <si>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</si>
  <si>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</si>
  <si>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</si>
  <si>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</si>
  <si>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</si>
  <si>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</si>
  <si>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</si>
  <si>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</si>
  <si>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</si>
  <si>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</si>
  <si>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</si>
  <si>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</si>
  <si>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</si>
  <si>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</si>
  <si>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</si>
  <si>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</si>
  <si>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</si>
  <si>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</si>
  <si>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</si>
  <si>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</si>
  <si>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</si>
  <si>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</si>
  <si>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</si>
  <si>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</si>
  <si>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</si>
  <si>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</si>
  <si>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</si>
  <si>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</si>
  <si>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</si>
  <si>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</si>
  <si>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</si>
  <si>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</si>
  <si>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</si>
  <si>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</si>
  <si>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</si>
  <si>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</si>
  <si>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</si>
  <si>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</si>
  <si>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</si>
  <si>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</si>
  <si>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</si>
  <si>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</si>
  <si>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</si>
  <si>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</si>
  <si>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</si>
  <si>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</si>
  <si>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</si>
  <si>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</si>
  <si>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</si>
  <si>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</si>
  <si>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</si>
  <si>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</si>
  <si>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</si>
  <si>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</si>
  <si>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</si>
  <si>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</si>
  <si>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</si>
  <si>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</si>
  <si>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</si>
  <si>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</si>
  <si>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</si>
  <si>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</si>
  <si>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</si>
  <si>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</si>
  <si>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</si>
  <si>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</si>
  <si>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</si>
  <si>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</si>
  <si>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</si>
  <si>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</si>
  <si>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</si>
  <si>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</si>
  <si>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</si>
  <si>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</si>
  <si>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</si>
  <si>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</si>
  <si>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</si>
  <si>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</si>
  <si>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</si>
  <si>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</si>
  <si>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</si>
  <si>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</si>
  <si>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</si>
  <si>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</si>
  <si>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</si>
  <si>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</si>
  <si>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</si>
  <si>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</si>
  <si>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</si>
  <si>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</si>
  <si>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</si>
  <si>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</si>
  <si>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</si>
  <si>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</si>
  <si>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</si>
  <si>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</si>
  <si>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</si>
  <si>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</si>
  <si>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</si>
  <si>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</si>
  <si>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</si>
  <si>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</si>
  <si>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</si>
  <si>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</si>
  <si>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</si>
  <si>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</si>
  <si>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</si>
  <si>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</si>
  <si>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</si>
  <si>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</si>
  <si>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</si>
  <si>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</si>
  <si>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</si>
  <si>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</si>
  <si>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</si>
  <si>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</si>
  <si>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</si>
  <si>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</si>
  <si>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</si>
  <si>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</si>
  <si>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</si>
  <si>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</si>
  <si>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</si>
  <si>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</si>
  <si>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</si>
  <si>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</si>
  <si>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</si>
  <si>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</si>
  <si>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</si>
  <si>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</si>
  <si>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</si>
  <si>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</si>
  <si>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</si>
  <si>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</si>
  <si>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</si>
  <si>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</si>
  <si>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</si>
  <si>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</si>
  <si>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</si>
  <si>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</si>
  <si>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</si>
  <si>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</si>
  <si>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</si>
  <si>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</si>
  <si>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</si>
  <si>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</si>
  <si>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</si>
  <si>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</si>
  <si>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</si>
  <si>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</si>
  <si>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</si>
  <si>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</si>
  <si>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</si>
  <si>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</si>
  <si>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</si>
  <si>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</si>
  <si>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</si>
  <si>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</si>
  <si>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</si>
  <si>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</si>
  <si>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</si>
  <si>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</si>
  <si>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</si>
  <si>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</si>
  <si>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</si>
  <si>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</si>
  <si>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</si>
  <si>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</si>
  <si>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</si>
  <si>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</si>
  <si>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</si>
  <si>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</si>
  <si>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</si>
  <si>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</si>
  <si>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</si>
  <si>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</si>
  <si>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</si>
  <si>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</si>
  <si>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</si>
  <si>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</si>
  <si>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</si>
  <si>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</si>
  <si>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</si>
  <si>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</si>
  <si>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</si>
  <si>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</si>
  <si>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</si>
  <si>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</si>
  <si>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</si>
  <si>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</si>
  <si>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</si>
  <si>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</si>
  <si>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</si>
  <si>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</si>
  <si>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</si>
  <si>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</si>
  <si>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</si>
  <si>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</si>
  <si>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</si>
  <si>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</si>
  <si>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</si>
  <si>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</si>
  <si>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</si>
  <si>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</si>
  <si>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</si>
  <si>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</si>
  <si>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</si>
  <si>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</si>
  <si>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</si>
  <si>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</si>
  <si>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</si>
  <si>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</si>
  <si>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</si>
  <si>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</si>
  <si>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</si>
  <si>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</si>
  <si>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</si>
  <si>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</si>
  <si>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</si>
  <si>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</si>
  <si>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</si>
  <si>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</si>
  <si>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</si>
  <si>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</si>
  <si>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</si>
  <si>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</si>
  <si>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</si>
  <si>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</si>
  <si>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</si>
  <si>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</si>
  <si>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</si>
  <si>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</si>
  <si>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</si>
  <si>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</si>
  <si>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</si>
  <si>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</si>
  <si>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</si>
  <si>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</si>
  <si>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</si>
  <si>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</si>
  <si>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</si>
  <si>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</si>
  <si>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</si>
  <si>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</si>
  <si>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</si>
  <si>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</si>
  <si>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</si>
  <si>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</si>
  <si>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</si>
  <si>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</si>
  <si>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</si>
  <si>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</si>
  <si>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</si>
  <si>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</si>
  <si>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</si>
  <si>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</si>
  <si>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</si>
  <si>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</si>
  <si>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</si>
  <si>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</si>
  <si>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</si>
  <si>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</si>
  <si>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</si>
  <si>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</si>
  <si>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</si>
  <si>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</si>
  <si>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</si>
  <si>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</si>
  <si>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</si>
  <si>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</si>
  <si>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</si>
  <si>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</si>
  <si>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</si>
  <si>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</si>
  <si>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</si>
  <si>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</si>
  <si>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</si>
  <si>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</si>
  <si>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</si>
  <si>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</si>
  <si>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</si>
  <si>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</si>
  <si>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</si>
  <si>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</si>
  <si>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</si>
  <si>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</si>
  <si>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</si>
  <si>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</si>
  <si>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</si>
  <si>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</si>
  <si>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</si>
  <si>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</si>
  <si>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</si>
  <si>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</si>
  <si>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</si>
  <si>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</si>
  <si>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</si>
  <si>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</si>
  <si>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</si>
  <si>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</si>
  <si>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</si>
  <si>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</si>
  <si>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</si>
  <si>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</si>
  <si>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</si>
  <si>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</si>
  <si>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</si>
  <si>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</si>
  <si>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</si>
  <si>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</si>
  <si>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</si>
  <si>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</si>
  <si>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</si>
  <si>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</si>
  <si>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</si>
  <si>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</si>
  <si>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</si>
  <si>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</si>
  <si>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</si>
  <si>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</si>
  <si>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</si>
  <si>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</si>
  <si>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</si>
  <si>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</si>
  <si>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</si>
  <si>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</si>
  <si>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</si>
  <si>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</si>
  <si>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</si>
  <si>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</si>
  <si>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</si>
  <si>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</si>
  <si>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</si>
  <si>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</si>
  <si>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</si>
  <si>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</si>
  <si>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</si>
  <si>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</si>
  <si>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</si>
  <si>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</si>
  <si>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</si>
  <si>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</si>
  <si>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</si>
  <si>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</si>
  <si>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</si>
  <si>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</si>
  <si>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</si>
  <si>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</si>
  <si>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</si>
  <si>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</si>
  <si>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</si>
  <si>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</si>
  <si>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</si>
  <si>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</si>
  <si>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</si>
  <si>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</si>
  <si>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</si>
  <si>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</si>
  <si>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</si>
  <si>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</si>
  <si>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</si>
  <si>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</si>
  <si>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</si>
  <si>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</si>
  <si>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</si>
  <si>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</si>
  <si>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</si>
  <si>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</si>
  <si>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</si>
  <si>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</si>
  <si>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</si>
  <si>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</si>
  <si>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</si>
  <si>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</si>
  <si>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</si>
  <si>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</si>
  <si>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</si>
  <si>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</si>
  <si>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</si>
  <si>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</si>
  <si>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</si>
  <si>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</si>
  <si>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</si>
  <si>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</si>
  <si>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</si>
  <si>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</si>
  <si>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</si>
  <si>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</si>
  <si>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</si>
  <si>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</si>
  <si>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</si>
  <si>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</si>
  <si>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</si>
  <si>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</si>
  <si>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</si>
  <si>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</si>
  <si>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</si>
  <si>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</si>
  <si>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</si>
  <si>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</si>
  <si>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</si>
  <si>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</si>
  <si>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</si>
  <si>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</si>
  <si>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</si>
  <si>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</si>
  <si>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</si>
  <si>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</si>
  <si>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</si>
  <si>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</si>
  <si>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</si>
  <si>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</si>
  <si>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</si>
  <si>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</si>
  <si>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</si>
  <si>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</si>
  <si>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</si>
  <si>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</si>
  <si>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</si>
  <si>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</si>
  <si>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</si>
  <si>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</si>
  <si>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</si>
  <si>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</si>
  <si>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</si>
  <si>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</si>
  <si>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</si>
  <si>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</si>
  <si>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</si>
  <si>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</si>
  <si>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</si>
  <si>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</si>
  <si>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</si>
  <si>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</si>
  <si>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</si>
  <si>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</si>
  <si>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</si>
  <si>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</si>
  <si>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</si>
  <si>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</si>
  <si>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</si>
  <si>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</si>
  <si>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</si>
  <si>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</si>
  <si>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</si>
  <si>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</si>
  <si>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</si>
  <si>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</si>
  <si>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</si>
  <si>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</si>
  <si>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</si>
  <si>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</si>
  <si>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</si>
  <si>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</si>
  <si>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</si>
  <si>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</si>
  <si>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</si>
  <si>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</si>
  <si>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</si>
  <si>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</si>
  <si>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</si>
  <si>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</si>
  <si>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</si>
  <si>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</si>
  <si>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</si>
  <si>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</si>
  <si>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</si>
  <si>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</si>
  <si>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</si>
  <si>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</si>
  <si>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</si>
  <si>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</si>
  <si>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</si>
  <si>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</si>
  <si>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</si>
  <si>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</si>
  <si>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</si>
  <si>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</si>
  <si>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</si>
  <si>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</si>
  <si>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</si>
  <si>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</si>
  <si>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</si>
  <si>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</si>
  <si>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</si>
  <si>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</si>
  <si>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</si>
  <si>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</si>
  <si>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</si>
  <si>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</si>
  <si>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</si>
  <si>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</si>
  <si>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</si>
  <si>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</si>
  <si>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</si>
  <si>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</si>
  <si>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</si>
  <si>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</si>
  <si>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</si>
  <si>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</si>
  <si>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</si>
  <si>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</si>
  <si>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</si>
  <si>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</si>
  <si>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</si>
  <si>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</si>
  <si>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</si>
  <si>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</si>
  <si>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</si>
  <si>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</si>
  <si>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</si>
  <si>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</si>
  <si>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</si>
  <si>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</si>
  <si>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</si>
  <si>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</si>
  <si>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</si>
  <si>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</si>
  <si>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</si>
  <si>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</si>
  <si>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</si>
  <si>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</si>
  <si>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</si>
  <si>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</si>
  <si>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</si>
  <si>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</si>
  <si>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</si>
  <si>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</si>
  <si>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</si>
  <si>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</si>
  <si>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</si>
  <si>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</si>
  <si>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</si>
  <si>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</si>
  <si>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</si>
  <si>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</si>
  <si>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</si>
  <si>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</si>
  <si>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</si>
  <si>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</si>
  <si>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</si>
  <si>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</si>
  <si>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</si>
  <si>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</si>
  <si>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</si>
  <si>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</si>
  <si>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</si>
  <si>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</si>
  <si>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</si>
  <si>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</si>
  <si>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</si>
  <si>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</si>
  <si>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</si>
  <si>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</si>
  <si>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</si>
  <si>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</si>
  <si>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</si>
  <si>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</si>
  <si>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</si>
  <si>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</si>
  <si>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</si>
  <si>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</si>
  <si>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</si>
  <si>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</si>
  <si>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</si>
  <si>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</si>
  <si>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</si>
  <si>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</si>
  <si>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</si>
  <si>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</si>
  <si>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</si>
  <si>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</si>
  <si>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</si>
  <si>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</si>
  <si>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</si>
  <si>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</si>
  <si>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</si>
  <si>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</si>
  <si>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</si>
  <si>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</si>
  <si>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</si>
  <si>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</si>
  <si>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</si>
  <si>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</si>
  <si>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</si>
  <si>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</si>
  <si>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</si>
  <si>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</si>
  <si>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</si>
  <si>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</si>
  <si>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</si>
  <si>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</si>
  <si>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</si>
  <si>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</si>
  <si>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</si>
  <si>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</si>
  <si>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</si>
  <si>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</si>
  <si>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</si>
  <si>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</si>
  <si>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</si>
  <si>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</si>
  <si>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</si>
  <si>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</si>
  <si>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</si>
  <si>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</si>
  <si>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</si>
  <si>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</si>
  <si>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</si>
  <si>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</si>
  <si>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</si>
  <si>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</si>
  <si>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</si>
  <si>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</si>
  <si>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</si>
  <si>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</si>
  <si>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</si>
  <si>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</si>
  <si>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</si>
  <si>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</si>
  <si>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</si>
  <si>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</si>
  <si>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</si>
  <si>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</si>
  <si>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</si>
  <si>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</si>
  <si>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</si>
  <si>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</si>
  <si>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</si>
  <si>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</si>
  <si>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</si>
  <si>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</si>
  <si>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</si>
  <si>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</si>
  <si>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</si>
  <si>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</si>
  <si>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</si>
  <si>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</si>
  <si>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</si>
  <si>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</si>
  <si>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</si>
  <si>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</si>
  <si>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</si>
  <si>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</si>
  <si>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</si>
  <si>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</si>
  <si>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</si>
  <si>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</si>
  <si>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</si>
  <si>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</si>
  <si>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</si>
  <si>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</si>
  <si>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</si>
  <si>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</si>
  <si>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</si>
  <si>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</si>
  <si>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</si>
  <si>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</si>
  <si>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</si>
  <si>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</si>
  <si>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</si>
  <si>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</si>
  <si>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</si>
  <si>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</si>
  <si>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</si>
  <si>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</si>
  <si>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</si>
  <si>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</si>
  <si>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</si>
  <si>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</si>
  <si>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</si>
  <si>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</si>
  <si>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</si>
  <si>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</si>
  <si>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</si>
  <si>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</si>
  <si>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</si>
  <si>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</si>
  <si>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</si>
  <si>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</si>
  <si>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</si>
  <si>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</si>
  <si>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</si>
  <si>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</si>
  <si>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</si>
  <si>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</si>
  <si>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</si>
  <si>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</si>
  <si>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</si>
  <si>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</si>
  <si>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</si>
  <si>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</si>
  <si>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</si>
  <si>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</si>
  <si>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</si>
  <si>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</si>
  <si>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</si>
  <si>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</si>
  <si>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</si>
  <si>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</si>
  <si>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</si>
  <si>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</si>
  <si>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</si>
  <si>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</si>
  <si>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</si>
  <si>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</si>
  <si>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</si>
  <si>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</si>
  <si>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</si>
  <si>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</si>
  <si>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</si>
  <si>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</si>
  <si>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</si>
  <si>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</si>
  <si>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</si>
  <si>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</si>
  <si>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</si>
  <si>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</si>
  <si>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</si>
  <si>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</si>
  <si>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</si>
  <si>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</si>
  <si>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</si>
  <si>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</si>
  <si>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</si>
  <si>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</si>
  <si>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</si>
  <si>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</si>
  <si>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</si>
  <si>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</si>
  <si>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</si>
  <si>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</si>
  <si>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</si>
  <si>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</si>
  <si>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</si>
  <si>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</si>
  <si>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</si>
  <si>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</si>
  <si>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</si>
  <si>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</si>
  <si>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</si>
  <si>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</si>
  <si>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</si>
  <si>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</si>
  <si>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</si>
  <si>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</si>
  <si>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</si>
  <si>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</si>
  <si>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</si>
  <si>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</si>
  <si>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</si>
  <si>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</si>
  <si>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</si>
  <si>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</si>
  <si>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</si>
  <si>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</si>
  <si>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</si>
  <si>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</si>
  <si>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</si>
  <si>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</si>
  <si>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</si>
  <si>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</si>
  <si>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</si>
  <si>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</si>
  <si>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</si>
  <si>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</si>
  <si>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</si>
  <si>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</si>
  <si>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</si>
  <si>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</si>
  <si>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</si>
  <si>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</si>
  <si>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</si>
  <si>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</si>
  <si>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</si>
  <si>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</si>
  <si>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</si>
  <si>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</si>
  <si>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</si>
  <si>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</si>
  <si>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</si>
  <si>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</si>
  <si>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</si>
  <si>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</si>
  <si>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</si>
  <si>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</si>
  <si>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</si>
  <si>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</si>
  <si>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</si>
  <si>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</si>
  <si>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</si>
  <si>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</si>
  <si>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</si>
  <si>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</si>
  <si>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</si>
  <si>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</si>
  <si>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</si>
  <si>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</si>
  <si>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</si>
  <si>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</si>
  <si>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</si>
  <si>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</si>
  <si>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</si>
  <si>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</si>
  <si>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</si>
  <si>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</si>
  <si>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</si>
  <si>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</si>
  <si>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</si>
  <si>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</si>
  <si>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</si>
  <si>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</si>
  <si>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</si>
  <si>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</si>
  <si>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</si>
  <si>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</si>
  <si>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</si>
  <si>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</si>
  <si>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</si>
  <si>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</si>
  <si>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</si>
  <si>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</si>
  <si>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</si>
  <si>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</si>
  <si>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</si>
  <si>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</si>
  <si>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</si>
  <si>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</si>
  <si>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</si>
  <si>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</si>
  <si>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</si>
  <si>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</si>
  <si>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</si>
  <si>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</si>
  <si>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</si>
  <si>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</si>
  <si>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</si>
  <si>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</si>
  <si>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</si>
  <si>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</si>
  <si>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</si>
  <si>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</si>
  <si>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</si>
  <si>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</si>
  <si>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</si>
  <si>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</si>
  <si>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</si>
  <si>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</si>
  <si>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</si>
  <si>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</si>
  <si>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</si>
  <si>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</si>
  <si>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</si>
  <si>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</si>
  <si>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</si>
  <si>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</si>
  <si>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</si>
  <si>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</si>
  <si>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</si>
  <si>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</si>
  <si>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</si>
  <si>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</si>
  <si>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</si>
  <si>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</si>
  <si>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</si>
  <si>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</si>
  <si>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</si>
  <si>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</si>
  <si>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</si>
  <si>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</si>
  <si>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</si>
  <si>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</si>
  <si>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</si>
  <si>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</si>
  <si>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</si>
  <si>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</si>
  <si>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</si>
  <si>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</si>
  <si>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</si>
  <si>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</si>
  <si>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</si>
  <si>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</si>
  <si>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</si>
  <si>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</si>
  <si>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</si>
  <si>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</si>
  <si>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</si>
  <si>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</si>
  <si>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</si>
  <si>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</si>
  <si>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</si>
  <si>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</si>
  <si>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</si>
  <si>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</si>
  <si>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</si>
  <si>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</si>
  <si>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</si>
  <si>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</si>
  <si>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</si>
  <si>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</si>
  <si>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</si>
  <si>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</si>
  <si>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</si>
  <si>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</si>
  <si>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</si>
  <si>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</si>
  <si>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</si>
  <si>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</si>
  <si>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</si>
  <si>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</si>
  <si>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</si>
  <si>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</si>
  <si>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</si>
  <si>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</si>
  <si>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</si>
  <si>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</si>
  <si>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</si>
  <si>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</si>
  <si>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</si>
  <si>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</si>
  <si>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</si>
  <si>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</si>
  <si>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</si>
  <si>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</si>
  <si>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</si>
  <si>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</si>
  <si>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</si>
  <si>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</si>
  <si>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</si>
  <si>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</si>
  <si>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</si>
  <si>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</si>
  <si>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</si>
  <si>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</si>
  <si>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</si>
  <si>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</si>
  <si>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</si>
  <si>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</si>
  <si>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</si>
  <si>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</si>
  <si>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</si>
  <si>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</si>
  <si>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</si>
  <si>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</si>
  <si>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</si>
  <si>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</si>
  <si>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</si>
  <si>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</si>
  <si>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</si>
  <si>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</si>
  <si>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</si>
  <si>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</si>
  <si>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</si>
  <si>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</si>
  <si>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</si>
  <si>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</si>
  <si>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</si>
  <si>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</si>
  <si>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</si>
  <si>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</si>
  <si>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</si>
  <si>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</si>
  <si>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</si>
  <si>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</si>
  <si>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</si>
  <si>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</si>
  <si>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</si>
  <si>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</si>
  <si>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</si>
  <si>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</si>
  <si>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</si>
  <si>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</si>
  <si>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</si>
  <si>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</si>
  <si>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</si>
  <si>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</si>
  <si>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</si>
  <si>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</si>
  <si>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</si>
  <si>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</si>
  <si>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</si>
  <si>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</si>
  <si>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</si>
  <si>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</si>
  <si>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</si>
  <si>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</si>
  <si>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</si>
  <si>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</si>
  <si>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</si>
  <si>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</si>
  <si>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</si>
  <si>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</si>
  <si>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</si>
  <si>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</si>
  <si>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</si>
  <si>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</si>
  <si>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</si>
  <si>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</si>
  <si>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</si>
  <si>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</si>
  <si>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</si>
  <si>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</si>
  <si>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</si>
  <si>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</si>
  <si>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</si>
  <si>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</si>
  <si>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</si>
  <si>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</si>
  <si>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</si>
  <si>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</si>
  <si>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</si>
  <si>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</si>
  <si>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</si>
  <si>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</si>
  <si>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</si>
  <si>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</si>
  <si>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</si>
  <si>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</si>
  <si>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</si>
  <si>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</si>
  <si>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</si>
  <si>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</si>
  <si>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</si>
  <si>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</si>
  <si>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</si>
  <si>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</si>
  <si>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</si>
  <si>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</si>
  <si>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</si>
  <si>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</si>
  <si>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</si>
  <si>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</si>
  <si>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</si>
  <si>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</si>
  <si>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</si>
  <si>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</si>
  <si>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</si>
  <si>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</si>
  <si>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</si>
  <si>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</si>
  <si>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</si>
  <si>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</si>
  <si>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</si>
  <si>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</si>
  <si>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</si>
  <si>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</si>
  <si>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</si>
  <si>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</si>
  <si>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</si>
  <si>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</si>
  <si>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</si>
  <si>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</si>
  <si>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</si>
  <si>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</si>
  <si>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</si>
  <si>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</si>
  <si>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</si>
  <si>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</si>
  <si>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</si>
  <si>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</si>
  <si>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</si>
  <si>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</si>
  <si>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</si>
  <si>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</si>
  <si>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</si>
  <si>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</si>
  <si>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</si>
  <si>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</si>
  <si>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</si>
  <si>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</si>
  <si>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</si>
  <si>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</si>
  <si>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</si>
  <si>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</si>
  <si>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</si>
  <si>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</si>
  <si>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</si>
  <si>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</si>
  <si>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</si>
  <si>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</si>
  <si>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</si>
  <si>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</si>
  <si>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</si>
  <si>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</si>
  <si>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</si>
  <si>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</si>
  <si>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</si>
  <si>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</si>
  <si>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</si>
  <si>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</si>
  <si>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</si>
  <si>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</si>
  <si>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</si>
  <si>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</si>
  <si>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</si>
  <si>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</si>
  <si>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</si>
  <si>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</si>
  <si>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</si>
  <si>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</si>
  <si>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</si>
  <si>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</si>
  <si>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</si>
  <si>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</si>
  <si>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</si>
  <si>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</si>
  <si>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</si>
  <si>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</si>
  <si>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</si>
  <si>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</si>
  <si>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</si>
  <si>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</si>
  <si>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</si>
  <si>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</si>
  <si>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</si>
  <si>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</si>
  <si>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</si>
  <si>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</si>
  <si>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</si>
  <si>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</si>
  <si>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</si>
  <si>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</si>
  <si>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</si>
  <si>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</si>
  <si>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</si>
  <si>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</si>
  <si>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</si>
  <si>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</si>
  <si>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</si>
  <si>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</si>
  <si>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</si>
  <si>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</si>
  <si>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</si>
  <si>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</si>
  <si>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</si>
  <si>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</si>
  <si>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</si>
  <si>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</si>
  <si>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</si>
  <si>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</si>
  <si>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</si>
  <si>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</si>
  <si>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</si>
  <si>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</si>
  <si>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</si>
  <si>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</si>
  <si>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</si>
  <si>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</si>
  <si>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</si>
  <si>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</si>
  <si>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</si>
  <si>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</si>
  <si>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</si>
  <si>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</si>
  <si>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</si>
  <si>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</si>
  <si>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</si>
  <si>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</si>
  <si>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</si>
  <si>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</si>
  <si>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</si>
  <si>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</si>
  <si>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</si>
  <si>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</si>
  <si>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</si>
  <si>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</si>
  <si>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</si>
  <si>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</si>
  <si>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</si>
  <si>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</si>
  <si>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</si>
  <si>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</si>
  <si>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</si>
  <si>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</si>
  <si>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</si>
  <si>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</si>
  <si>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</si>
  <si>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</si>
  <si>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</si>
  <si>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</si>
  <si>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</si>
  <si>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</si>
  <si>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</si>
  <si>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</si>
  <si>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</si>
  <si>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</si>
  <si>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</si>
  <si>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</si>
  <si>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</si>
  <si>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</si>
  <si>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</si>
  <si>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</si>
  <si>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</si>
  <si>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</si>
  <si>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</si>
  <si>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</si>
  <si>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</si>
  <si>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</si>
  <si>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</si>
  <si>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</si>
  <si>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</si>
  <si>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</si>
  <si>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</si>
  <si>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</si>
  <si>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</si>
  <si>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</si>
  <si>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</si>
  <si>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</si>
  <si>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</si>
  <si>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</si>
  <si>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</si>
  <si>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</si>
  <si>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</si>
  <si>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</si>
  <si>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</si>
  <si>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</si>
  <si>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</si>
  <si>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</si>
  <si>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</si>
  <si>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</si>
  <si>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</si>
  <si>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</si>
  <si>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</si>
  <si>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</si>
  <si>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</si>
  <si>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</si>
  <si>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</si>
  <si>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</si>
  <si>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</si>
  <si>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</si>
  <si>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</si>
  <si>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</si>
  <si>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</si>
  <si>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</si>
  <si>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</si>
  <si>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</si>
  <si>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</si>
  <si>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</si>
  <si>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</si>
  <si>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</si>
  <si>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</si>
  <si>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</si>
  <si>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</si>
  <si>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</si>
  <si>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</si>
  <si>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</si>
  <si>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</si>
  <si>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</si>
  <si>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</si>
  <si>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</si>
  <si>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</si>
  <si>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</si>
  <si>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</si>
  <si>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</si>
  <si>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</si>
  <si>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</si>
  <si>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</si>
  <si>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</si>
  <si>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</si>
  <si>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</si>
  <si>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</si>
  <si>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</si>
  <si>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</si>
  <si>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</si>
  <si>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</si>
  <si>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</si>
  <si>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</si>
  <si>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</si>
  <si>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</si>
  <si>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</si>
  <si>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</si>
  <si>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</si>
  <si>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</si>
  <si>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</si>
  <si>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</si>
  <si>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</si>
  <si>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</si>
  <si>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</si>
  <si>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</si>
  <si>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</si>
  <si>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</si>
  <si>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</si>
  <si>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</si>
  <si>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</si>
  <si>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</si>
  <si>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</si>
  <si>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</si>
  <si>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</si>
  <si>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</si>
  <si>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</si>
  <si>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</si>
  <si>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</si>
  <si>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</si>
  <si>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</si>
  <si>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</si>
  <si>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</si>
  <si>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</si>
  <si>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</si>
  <si>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</si>
  <si>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</si>
  <si>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</si>
  <si>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</si>
  <si>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</si>
  <si>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</si>
  <si>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</si>
  <si>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</si>
  <si>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</si>
  <si>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</si>
  <si>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</si>
  <si>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</si>
  <si>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</si>
  <si>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</si>
  <si>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</si>
  <si>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</si>
  <si>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</si>
  <si>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</si>
  <si>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</si>
  <si>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</si>
  <si>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</si>
  <si>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</si>
  <si>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</si>
  <si>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</si>
  <si>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</si>
  <si>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</si>
  <si>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</si>
  <si>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</si>
  <si>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</si>
  <si>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</si>
  <si>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</si>
  <si>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</si>
  <si>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</si>
  <si>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</si>
  <si>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</si>
  <si>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</si>
  <si>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</si>
  <si>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</si>
  <si>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</si>
  <si>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</si>
  <si>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</si>
  <si>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</si>
  <si>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</si>
  <si>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</si>
  <si>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</si>
  <si>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</si>
  <si>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</si>
  <si>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</si>
  <si>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</si>
  <si>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</si>
  <si>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</si>
  <si>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</si>
  <si>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</si>
  <si>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</si>
  <si>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</si>
  <si>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</si>
  <si>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</si>
  <si>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</si>
  <si>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</si>
  <si>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</si>
  <si>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</si>
  <si>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</si>
  <si>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</si>
  <si>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</si>
  <si>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</si>
  <si>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</si>
  <si>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</si>
  <si>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</si>
  <si>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</si>
  <si>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</si>
  <si>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</si>
  <si>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</si>
  <si>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</si>
  <si>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</si>
  <si>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</si>
  <si>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</si>
  <si>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</si>
  <si>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</si>
  <si>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</si>
  <si>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</si>
  <si>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</si>
  <si>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</si>
  <si>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</si>
  <si>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</si>
  <si>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</si>
  <si>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</si>
  <si>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</si>
  <si>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</si>
  <si>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</si>
  <si>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</si>
  <si>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</si>
  <si>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</si>
  <si>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</si>
  <si>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</si>
  <si>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</si>
  <si>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</si>
  <si>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</si>
  <si>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</si>
  <si>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</si>
  <si>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</si>
  <si>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</si>
  <si>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</si>
  <si>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</si>
  <si>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</si>
  <si>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</si>
  <si>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</si>
  <si>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</si>
  <si>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</si>
  <si>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</si>
  <si>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</si>
  <si>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</si>
  <si>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</si>
  <si>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</si>
  <si>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</si>
  <si>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</si>
  <si>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</si>
  <si>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</si>
  <si>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</si>
  <si>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</si>
  <si>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</si>
  <si>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</si>
  <si>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</si>
  <si>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</si>
  <si>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</si>
  <si>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</si>
  <si>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</si>
  <si>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</si>
  <si>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</si>
  <si>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</si>
  <si>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</si>
  <si>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</si>
  <si>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</si>
  <si>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</si>
  <si>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</si>
  <si>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</si>
  <si>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</si>
  <si>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</si>
  <si>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</si>
  <si>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</si>
  <si>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</si>
  <si>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</si>
  <si>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</si>
  <si>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</si>
  <si>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</si>
  <si>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</si>
  <si>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</si>
  <si>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</si>
  <si>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</si>
  <si>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</si>
  <si>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</si>
  <si>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</si>
  <si>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</si>
  <si>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</si>
  <si>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</si>
  <si>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</si>
  <si>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</si>
  <si>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</si>
  <si>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</si>
  <si>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</si>
  <si>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</si>
  <si>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</si>
  <si>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</si>
  <si>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</si>
  <si>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</si>
  <si>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</si>
  <si>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</si>
  <si>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</si>
  <si>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</si>
  <si>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</si>
  <si>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</si>
  <si>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</si>
  <si>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</si>
  <si>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</si>
  <si>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</si>
  <si>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</si>
  <si>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</si>
  <si>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</si>
  <si>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</si>
  <si>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</si>
  <si>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</si>
  <si>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</si>
  <si>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</si>
  <si>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</si>
  <si>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</si>
  <si>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</si>
  <si>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</si>
  <si>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</si>
  <si>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</si>
  <si>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</si>
  <si>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</si>
  <si>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</si>
  <si>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</si>
  <si>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</si>
  <si>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</si>
  <si>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</si>
  <si>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</si>
  <si>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</si>
  <si>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</si>
  <si>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</si>
  <si>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</si>
  <si>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</si>
  <si>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</si>
  <si>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</si>
  <si>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</si>
  <si>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</si>
  <si>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</si>
  <si>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</si>
  <si>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</si>
  <si>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</si>
  <si>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</si>
  <si>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</si>
  <si>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</si>
  <si>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</si>
  <si>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</si>
  <si>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</si>
  <si>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</si>
  <si>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</si>
  <si>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</si>
  <si>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</si>
  <si>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</si>
  <si>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</si>
  <si>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</si>
  <si>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</si>
  <si>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</si>
  <si>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</si>
  <si>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</si>
  <si>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</si>
  <si>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</si>
  <si>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</si>
  <si>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</si>
  <si>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</si>
  <si>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</si>
  <si>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</si>
  <si>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</si>
  <si>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</si>
  <si>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</si>
  <si>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</si>
  <si>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</si>
  <si>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</si>
  <si>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</si>
  <si>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</si>
  <si>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</si>
  <si>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</si>
  <si>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</si>
  <si>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</si>
  <si>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</si>
  <si>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</si>
  <si>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</si>
  <si>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</si>
  <si>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</si>
  <si>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</si>
  <si>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</si>
  <si>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</si>
  <si>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</si>
  <si>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</si>
  <si>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</si>
  <si>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</si>
  <si>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</si>
  <si>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</si>
  <si>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</si>
  <si>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</si>
  <si>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</si>
  <si>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</si>
  <si>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</si>
  <si>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</si>
  <si>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</si>
  <si>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</si>
  <si>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</si>
  <si>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</si>
  <si>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</si>
  <si>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</si>
  <si>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</si>
  <si>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</si>
  <si>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</si>
  <si>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</si>
  <si>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</si>
  <si>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</si>
  <si>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</si>
  <si>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</si>
  <si>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</si>
  <si>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</si>
  <si>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</si>
  <si>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</si>
  <si>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</si>
  <si>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</si>
  <si>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</si>
  <si>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</si>
  <si>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</si>
  <si>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</si>
  <si>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</si>
  <si>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</si>
  <si>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</si>
  <si>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</si>
  <si>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</si>
  <si>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</si>
  <si>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</si>
  <si>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</si>
  <si>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</si>
  <si>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</si>
  <si>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</si>
  <si>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</si>
  <si>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</si>
  <si>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</si>
  <si>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</si>
  <si>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</si>
  <si>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</si>
  <si>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</si>
  <si>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</si>
  <si>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</si>
  <si>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</si>
  <si>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</si>
  <si>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</si>
  <si>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</si>
  <si>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</si>
  <si>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</si>
  <si>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</si>
  <si>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</si>
  <si>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</si>
  <si>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</si>
  <si>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</si>
  <si>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</si>
  <si>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</si>
  <si>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</si>
  <si>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</si>
  <si>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</si>
  <si>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</si>
  <si>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</si>
  <si>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</si>
  <si>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</si>
  <si>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</si>
  <si>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</si>
  <si>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</si>
  <si>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</si>
  <si>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</si>
  <si>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</si>
  <si>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</si>
  <si>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</si>
  <si>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</si>
  <si>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</si>
  <si>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</si>
  <si>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</si>
  <si>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</si>
  <si>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</si>
  <si>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</si>
  <si>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</si>
  <si>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</si>
  <si>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</si>
  <si>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</si>
  <si>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</si>
  <si>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</si>
  <si>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</si>
  <si>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</si>
  <si>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</si>
  <si>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</si>
  <si>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</si>
  <si>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</si>
  <si>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</si>
  <si>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</si>
  <si>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</si>
  <si>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</si>
  <si>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</si>
  <si>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</si>
  <si>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</si>
  <si>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</si>
  <si>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</si>
  <si>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</si>
  <si>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</si>
  <si>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</si>
  <si>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</si>
  <si>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</si>
  <si>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</si>
  <si>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</si>
  <si>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</si>
  <si>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</si>
  <si>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</si>
  <si>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</si>
  <si>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</si>
  <si>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</si>
  <si>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</si>
  <si>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</si>
  <si>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</si>
  <si>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</si>
  <si>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</si>
  <si>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</si>
  <si>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</si>
  <si>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</si>
  <si>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</si>
  <si>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</si>
  <si>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</si>
  <si>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</si>
  <si>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</si>
  <si>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</si>
  <si>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</si>
  <si>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</si>
  <si>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</si>
  <si>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</si>
  <si>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</si>
  <si>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</si>
  <si>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</si>
  <si>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</si>
  <si>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</si>
  <si>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</si>
  <si>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</si>
  <si>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</si>
  <si>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</si>
  <si>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</si>
  <si>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</si>
  <si>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</si>
  <si>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</si>
  <si>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</si>
  <si>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</si>
  <si>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</si>
  <si>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</si>
  <si>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</si>
  <si>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</si>
  <si>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</si>
  <si>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</si>
  <si>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</si>
  <si>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</si>
  <si>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</si>
  <si>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</si>
  <si>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</si>
  <si>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</si>
  <si>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</si>
  <si>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</si>
  <si>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</si>
  <si>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</si>
  <si>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</si>
  <si>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</si>
  <si>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</si>
  <si>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</si>
  <si>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</si>
  <si>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</si>
  <si>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</si>
  <si>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</si>
  <si>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</si>
  <si>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</si>
  <si>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</si>
  <si>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</si>
  <si>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</si>
  <si>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</si>
  <si>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</si>
  <si>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</si>
  <si>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</si>
  <si>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</si>
  <si>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</si>
  <si>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</si>
  <si>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</si>
  <si>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</si>
  <si>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</si>
  <si>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</si>
  <si>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</si>
  <si>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</si>
  <si>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</si>
  <si>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</si>
  <si>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</si>
  <si>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</si>
  <si>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</si>
  <si>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</si>
  <si>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</si>
  <si>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</si>
  <si>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</si>
  <si>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</si>
  <si>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</si>
  <si>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</si>
  <si>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</si>
  <si>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</si>
  <si>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</si>
  <si>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</si>
  <si>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</si>
  <si>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</si>
  <si>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</si>
  <si>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</si>
  <si>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</si>
  <si>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</si>
  <si>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</si>
  <si>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</si>
  <si>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</si>
  <si>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</si>
  <si>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</si>
  <si>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</si>
  <si>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</si>
  <si>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</si>
  <si>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</si>
  <si>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</si>
  <si>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</si>
  <si>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</si>
  <si>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</si>
  <si>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</si>
  <si>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</si>
  <si>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</si>
  <si>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</si>
  <si>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</si>
  <si>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</si>
  <si>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</si>
  <si>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</si>
  <si>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</si>
  <si>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</si>
  <si>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</si>
  <si>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</si>
  <si>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</si>
  <si>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</si>
  <si>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</si>
  <si>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</si>
  <si>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</si>
  <si>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</si>
  <si>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</si>
  <si>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</si>
  <si>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</si>
  <si>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</si>
  <si>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</si>
  <si>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</si>
  <si>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</si>
  <si>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</si>
  <si>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</si>
  <si>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</si>
  <si>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</si>
  <si>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</si>
  <si>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</si>
  <si>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</si>
  <si>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</si>
  <si>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</si>
  <si>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</si>
  <si>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</si>
  <si>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</si>
  <si>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</si>
  <si>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</si>
  <si>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</si>
  <si>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</si>
  <si>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</si>
  <si>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</si>
  <si>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</si>
  <si>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</si>
  <si>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</si>
  <si>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</si>
  <si>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</si>
  <si>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</si>
  <si>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</si>
  <si>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</si>
  <si>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</si>
  <si>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</si>
  <si>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</si>
  <si>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</si>
  <si>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</si>
  <si>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</si>
  <si>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</si>
  <si>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</si>
  <si>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</si>
  <si>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</si>
  <si>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</si>
  <si>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</si>
  <si>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</si>
  <si>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</si>
  <si>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</si>
  <si>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</si>
  <si>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</si>
  <si>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</si>
  <si>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</si>
  <si>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</si>
  <si>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</si>
  <si>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</si>
  <si>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</si>
  <si>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</si>
  <si>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</si>
  <si>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</si>
  <si>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</si>
  <si>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</si>
  <si>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</si>
  <si>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</si>
  <si>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</si>
  <si>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</si>
  <si>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</si>
  <si>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</si>
  <si>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</si>
  <si>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</si>
  <si>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</si>
  <si>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</si>
  <si>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</si>
  <si>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</si>
  <si>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</si>
  <si>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</si>
  <si>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</si>
  <si>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</si>
  <si>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</si>
  <si>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</si>
  <si>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</si>
  <si>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</si>
  <si>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</si>
  <si>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</si>
  <si>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</si>
  <si>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</si>
  <si>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</si>
  <si>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</si>
  <si>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</si>
  <si>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</si>
  <si>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</si>
  <si>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</si>
  <si>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</si>
  <si>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</si>
  <si>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</si>
  <si>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</si>
  <si>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</si>
  <si>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</si>
  <si>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</si>
  <si>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</si>
  <si>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</si>
  <si>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</si>
  <si>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</si>
  <si>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</si>
  <si>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</si>
  <si>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</si>
  <si>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</si>
  <si>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</si>
  <si>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</si>
  <si>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</si>
  <si>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</si>
  <si>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</si>
  <si>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</si>
  <si>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</si>
  <si>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</si>
  <si>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</si>
  <si>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</si>
  <si>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</si>
  <si>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</si>
  <si>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</si>
  <si>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</si>
  <si>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</si>
  <si>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</si>
  <si>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</si>
  <si>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</si>
  <si>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</si>
  <si>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</si>
  <si>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</si>
  <si>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</si>
  <si>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</si>
  <si>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</si>
  <si>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</si>
  <si>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</si>
  <si>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</si>
  <si>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</si>
  <si>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</si>
  <si>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</si>
  <si>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</si>
  <si>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</si>
  <si>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</si>
  <si>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</si>
  <si>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</si>
  <si>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</si>
  <si>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</si>
  <si>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</si>
  <si>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</si>
  <si>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</si>
  <si>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</si>
  <si>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</si>
  <si>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</si>
  <si>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</si>
  <si>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</si>
  <si>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</si>
  <si>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</si>
  <si>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</si>
  <si>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</si>
  <si>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</si>
  <si>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</si>
  <si>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</si>
  <si>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</si>
  <si>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</si>
  <si>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</si>
  <si>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</si>
  <si>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</si>
  <si>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</si>
  <si>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</si>
  <si>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</si>
  <si>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</si>
  <si>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</si>
  <si>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</si>
  <si>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</si>
  <si>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</si>
  <si>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</si>
  <si>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</si>
  <si>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</si>
  <si>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</si>
  <si>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</si>
  <si>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</si>
  <si>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</si>
  <si>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</si>
  <si>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</si>
  <si>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</si>
  <si>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</si>
  <si>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</si>
  <si>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</si>
  <si>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</si>
  <si>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</si>
  <si>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</si>
  <si>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</si>
  <si>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</si>
  <si>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</si>
  <si>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</si>
  <si>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</si>
  <si>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</si>
  <si>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</si>
  <si>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</si>
  <si>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</si>
  <si>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</si>
  <si>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</si>
  <si>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</si>
  <si>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</si>
  <si>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</si>
  <si>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</si>
  <si>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</si>
  <si>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</si>
  <si>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</si>
  <si>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</si>
  <si>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</si>
  <si>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</si>
  <si>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</si>
  <si>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</si>
  <si>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</si>
  <si>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</si>
  <si>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</si>
  <si>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</si>
  <si>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</si>
  <si>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</si>
  <si>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</si>
  <si>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</si>
  <si>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</si>
  <si>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</si>
  <si>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</si>
  <si>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</si>
  <si>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</si>
  <si>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</si>
  <si>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</si>
  <si>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</si>
  <si>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</si>
  <si>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</si>
  <si>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</si>
  <si>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</si>
  <si>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</si>
  <si>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</si>
  <si>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</si>
  <si>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</si>
  <si>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</si>
  <si>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</si>
  <si>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</si>
  <si>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</si>
  <si>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</si>
  <si>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</si>
  <si>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</si>
  <si>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</si>
  <si>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</si>
  <si>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</si>
  <si>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</si>
  <si>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</si>
  <si>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</si>
  <si>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</si>
  <si>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</si>
  <si>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</si>
  <si>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</si>
  <si>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</si>
  <si>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</si>
  <si>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</si>
  <si>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</si>
  <si>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</si>
  <si>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</si>
  <si>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</si>
  <si>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</si>
  <si>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</si>
  <si>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</si>
  <si>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</si>
  <si>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</si>
  <si>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</si>
  <si>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</si>
  <si>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</si>
  <si>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</si>
  <si>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</si>
  <si>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</si>
  <si>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</si>
  <si>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</si>
  <si>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</si>
  <si>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</si>
  <si>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</si>
  <si>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</si>
  <si>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</si>
  <si>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</si>
  <si>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</si>
  <si>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</si>
  <si>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</si>
  <si>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</si>
  <si>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</si>
  <si>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</si>
  <si>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</si>
  <si>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</si>
  <si>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</si>
  <si>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</si>
  <si>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</si>
  <si>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</si>
  <si>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</si>
  <si>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</si>
  <si>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</si>
  <si>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</si>
  <si>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</si>
  <si>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</si>
  <si>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</si>
  <si>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</si>
  <si>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</si>
  <si>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</si>
  <si>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</si>
  <si>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</si>
  <si>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</si>
  <si>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</si>
  <si>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</si>
  <si>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</si>
  <si>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</si>
  <si>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</si>
  <si>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</si>
  <si>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</si>
  <si>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</si>
  <si>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</si>
  <si>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</si>
  <si>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</si>
  <si>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</si>
  <si>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</si>
  <si>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</si>
  <si>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</si>
  <si>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</si>
  <si>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</si>
  <si>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</si>
  <si>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</si>
  <si>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</si>
  <si>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</si>
  <si>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</si>
  <si>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</si>
  <si>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</si>
  <si>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</si>
  <si>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</si>
  <si>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</si>
  <si>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</si>
  <si>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</si>
  <si>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</si>
  <si>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</si>
  <si>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</si>
  <si>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</si>
  <si>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</si>
  <si>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</si>
  <si>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</si>
  <si>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</si>
  <si>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</si>
  <si>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</si>
  <si>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</si>
  <si>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</si>
  <si>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</si>
  <si>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</si>
  <si>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</si>
  <si>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</si>
  <si>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</si>
  <si>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</si>
  <si>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</si>
  <si>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</si>
  <si>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</si>
  <si>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</si>
  <si>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</si>
  <si>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</si>
  <si>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</si>
  <si>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</si>
  <si>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</si>
  <si>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</si>
  <si>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</si>
  <si>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</si>
  <si>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</si>
  <si>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</si>
  <si>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</si>
  <si>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</si>
  <si>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</si>
  <si>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</si>
  <si>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</si>
  <si>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</si>
  <si>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</si>
  <si>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</si>
  <si>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</si>
  <si>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</si>
  <si>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</si>
  <si>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</si>
  <si>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</si>
  <si>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</si>
  <si>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</si>
  <si>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</si>
  <si>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</si>
  <si>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</si>
  <si>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</si>
  <si>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</si>
  <si>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</si>
  <si>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</si>
  <si>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</si>
  <si>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</si>
  <si>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</si>
  <si>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</si>
  <si>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</si>
  <si>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</si>
  <si>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</si>
  <si>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</si>
  <si>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</si>
  <si>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</si>
  <si>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</si>
  <si>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</si>
  <si>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</si>
  <si>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</si>
  <si>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</si>
  <si>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</si>
  <si>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</si>
  <si>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</si>
  <si>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</si>
  <si>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</si>
  <si>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</si>
  <si>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</si>
  <si>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</si>
  <si>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</si>
  <si>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</si>
  <si>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</si>
  <si>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</si>
  <si>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</si>
  <si>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</si>
  <si>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</si>
  <si>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</si>
  <si>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</si>
  <si>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</si>
  <si>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</si>
  <si>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</si>
  <si>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</si>
  <si>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</si>
  <si>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</si>
  <si>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</si>
  <si>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</si>
  <si>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</si>
  <si>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</si>
  <si>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</si>
  <si>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</si>
  <si>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</si>
  <si>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</si>
  <si>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</si>
  <si>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</si>
  <si>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</si>
  <si>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</si>
  <si>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</si>
  <si>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</si>
  <si>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</si>
  <si>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</si>
  <si>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</si>
  <si>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</si>
  <si>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</si>
  <si>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</si>
  <si>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</si>
  <si>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</si>
  <si>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</si>
  <si>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</si>
  <si>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</si>
  <si>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</si>
  <si>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</si>
  <si>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</si>
  <si>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</si>
  <si>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</si>
  <si>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</si>
  <si>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</si>
  <si>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</si>
  <si>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</si>
  <si>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</si>
  <si>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</si>
  <si>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</si>
  <si>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</si>
  <si>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</si>
  <si>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</si>
  <si>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</si>
  <si>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</si>
  <si>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</si>
  <si>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</si>
  <si>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</si>
  <si>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</si>
  <si>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</si>
  <si>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</si>
  <si>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</si>
  <si>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</si>
  <si>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</si>
  <si>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</si>
  <si>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</si>
  <si>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</si>
  <si>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</si>
  <si>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</si>
  <si>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</si>
  <si>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</si>
  <si>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</si>
  <si>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</si>
  <si>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</si>
  <si>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</si>
  <si>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</si>
  <si>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</si>
  <si>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</si>
  <si>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</si>
  <si>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</si>
  <si>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</si>
  <si>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</si>
  <si>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</si>
  <si>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</si>
  <si>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</si>
  <si>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</si>
  <si>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</si>
  <si>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</si>
  <si>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</si>
  <si>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</si>
  <si>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</si>
  <si>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</si>
  <si>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</si>
  <si>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</si>
  <si>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</si>
  <si>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</si>
  <si>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</si>
  <si>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</si>
  <si>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</si>
  <si>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</si>
  <si>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</si>
  <si>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</si>
  <si>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</si>
  <si>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</si>
  <si>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</si>
  <si>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</si>
  <si>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</si>
  <si>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</si>
  <si>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</si>
  <si>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</si>
  <si>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</si>
  <si>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</si>
  <si>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</si>
  <si>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</si>
  <si>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</si>
  <si>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</si>
  <si>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</si>
  <si>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</si>
  <si>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</si>
  <si>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</si>
  <si>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</si>
  <si>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</si>
  <si>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</si>
  <si>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</si>
  <si>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</si>
  <si>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</si>
  <si>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</si>
  <si>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</si>
  <si>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</si>
  <si>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</si>
  <si>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</si>
  <si>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</si>
  <si>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</si>
  <si>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</si>
  <si>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</si>
  <si>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</si>
  <si>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</si>
  <si>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</si>
  <si>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</si>
  <si>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</si>
  <si>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</si>
  <si>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</si>
  <si>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</si>
  <si>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</si>
  <si>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</si>
  <si>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</si>
  <si>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</si>
  <si>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</si>
  <si>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</si>
  <si>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</si>
  <si>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</si>
  <si>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</si>
  <si>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</si>
  <si>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</si>
  <si>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</si>
  <si>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</si>
  <si>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</si>
  <si>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</si>
  <si>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</si>
  <si>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</si>
  <si>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</si>
  <si>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</si>
  <si>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</si>
  <si>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</si>
  <si>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</si>
  <si>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</si>
  <si>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</si>
  <si>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</si>
  <si>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</si>
  <si>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</si>
  <si>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</si>
  <si>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</si>
  <si>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</si>
  <si>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</si>
  <si>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</si>
  <si>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</si>
  <si>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</si>
  <si>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</si>
  <si>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</si>
  <si>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</si>
  <si>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</si>
  <si>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</si>
  <si>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</si>
  <si>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</si>
  <si>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</si>
  <si>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</si>
  <si>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</si>
  <si>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</si>
  <si>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</si>
  <si>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</si>
  <si>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</si>
  <si>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</si>
  <si>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</si>
  <si>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</si>
  <si>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</si>
  <si>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</si>
  <si>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</si>
  <si>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</si>
  <si>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</si>
  <si>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</si>
  <si>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</si>
  <si>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</si>
  <si>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</si>
  <si>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</si>
  <si>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</si>
  <si>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</si>
  <si>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</si>
  <si>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</si>
  <si>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</si>
  <si>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</si>
  <si>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</si>
  <si>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</si>
  <si>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</si>
  <si>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</si>
  <si>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</si>
  <si>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</si>
  <si>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</si>
  <si>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</si>
  <si>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</si>
  <si>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</si>
  <si>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</si>
  <si>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</si>
  <si>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</si>
  <si>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</si>
  <si>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</si>
  <si>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</si>
  <si>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</si>
  <si>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</si>
  <si>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</si>
  <si>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</si>
  <si>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</si>
  <si>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</si>
  <si>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</si>
  <si>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</si>
  <si>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</si>
  <si>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</si>
  <si>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</si>
  <si>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</si>
  <si>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</si>
  <si>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</si>
  <si>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</si>
  <si>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</si>
  <si>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</si>
  <si>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</si>
  <si>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</si>
  <si>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</si>
  <si>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</si>
  <si>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</si>
  <si>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</si>
  <si>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</si>
  <si>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</si>
  <si>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</si>
  <si>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</si>
  <si>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</si>
  <si>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</si>
  <si>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</si>
  <si>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</si>
  <si>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</si>
  <si>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</si>
  <si>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</si>
  <si>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</si>
  <si>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</si>
  <si>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</si>
  <si>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</si>
  <si>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</si>
  <si>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</si>
  <si>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</si>
  <si>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</si>
  <si>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</si>
  <si>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</si>
  <si>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</si>
  <si>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</si>
  <si>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</si>
  <si>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</si>
  <si>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</si>
  <si>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</si>
  <si>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</si>
  <si>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</si>
  <si>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</si>
  <si>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</si>
  <si>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</si>
  <si>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</si>
  <si>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</si>
  <si>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</si>
  <si>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</si>
  <si>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</si>
  <si>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</si>
  <si>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</si>
  <si>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</si>
  <si>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</si>
  <si>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</si>
  <si>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</si>
  <si>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</si>
  <si>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</si>
  <si>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</si>
  <si>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</si>
  <si>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</si>
  <si>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</si>
  <si>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</si>
  <si>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</si>
  <si>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</si>
  <si>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</si>
  <si>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</si>
  <si>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</si>
  <si>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</si>
  <si>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</si>
  <si>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</si>
  <si>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</si>
  <si>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</si>
  <si>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</si>
  <si>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</si>
  <si>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</si>
  <si>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</si>
  <si>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</si>
  <si>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</si>
  <si>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</si>
  <si>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</si>
  <si>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</si>
  <si>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</si>
  <si>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</si>
  <si>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</si>
  <si>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</si>
  <si>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</si>
  <si>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</si>
  <si>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</si>
  <si>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</si>
  <si>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</si>
  <si>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</si>
  <si>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</si>
  <si>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</si>
  <si>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</si>
  <si>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</si>
  <si>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</si>
  <si>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</si>
  <si>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</si>
  <si>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</si>
  <si>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</si>
  <si>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</si>
  <si>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</si>
  <si>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</si>
  <si>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</si>
  <si>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</si>
  <si>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</si>
  <si>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</si>
  <si>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</si>
  <si>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</si>
  <si>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</si>
  <si>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</si>
  <si>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</si>
  <si>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</si>
  <si>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</si>
  <si>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</si>
  <si>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</si>
  <si>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</si>
  <si>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</si>
  <si>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</si>
  <si>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</si>
  <si>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</si>
  <si>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</si>
  <si>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</si>
  <si>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</si>
  <si>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</si>
  <si>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</si>
  <si>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</si>
  <si>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</si>
  <si>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</si>
  <si>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</si>
  <si>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</si>
  <si>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</si>
  <si>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</si>
  <si>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</si>
  <si>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</si>
  <si>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</si>
  <si>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</si>
  <si>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</si>
  <si>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</si>
  <si>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</si>
  <si>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</si>
  <si>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</si>
  <si>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</si>
  <si>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</si>
  <si>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</si>
  <si>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</si>
  <si>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</si>
  <si>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</si>
  <si>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</si>
  <si>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</si>
  <si>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</si>
  <si>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</si>
  <si>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</si>
  <si>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</si>
  <si>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</si>
  <si>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</si>
  <si>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</si>
  <si>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</si>
  <si>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</si>
  <si>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</si>
  <si>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</si>
  <si>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</si>
  <si>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</si>
  <si>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</si>
  <si>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</si>
  <si>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</si>
  <si>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</si>
  <si>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</si>
  <si>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</si>
  <si>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</si>
  <si>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</si>
  <si>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</si>
  <si>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</si>
  <si>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</si>
  <si>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</si>
  <si>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</si>
  <si>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</si>
  <si>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</si>
  <si>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</si>
  <si>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</si>
  <si>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</si>
  <si>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</si>
  <si>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</si>
  <si>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</si>
  <si>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</si>
  <si>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</si>
  <si>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</si>
  <si>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</si>
  <si>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</si>
  <si>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</si>
  <si>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</si>
  <si>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</si>
  <si>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</si>
  <si>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</si>
  <si>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</si>
  <si>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</si>
  <si>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</si>
  <si>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</si>
  <si>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</si>
  <si>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</si>
  <si>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</si>
  <si>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</si>
  <si>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</si>
  <si>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</si>
  <si>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</si>
  <si>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</si>
  <si>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</si>
  <si>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</si>
  <si>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</si>
  <si>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</si>
  <si>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</si>
  <si>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</si>
  <si>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</si>
  <si>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</si>
  <si>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</si>
  <si>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</si>
  <si>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</si>
  <si>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</si>
  <si>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</si>
  <si>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</si>
  <si>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</si>
  <si>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</si>
  <si>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</si>
  <si>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</si>
  <si>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</si>
  <si>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</si>
  <si>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</si>
  <si>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</si>
  <si>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</si>
  <si>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</si>
  <si>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</si>
  <si>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</si>
  <si>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</si>
  <si>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</si>
  <si>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</si>
  <si>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</si>
  <si>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</si>
  <si>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</si>
  <si>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</si>
  <si>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</si>
  <si>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</si>
  <si>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</si>
  <si>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</si>
  <si>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</si>
  <si>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</si>
  <si>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</si>
  <si>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</si>
  <si>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</si>
  <si>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</si>
  <si>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</si>
  <si>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</si>
  <si>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</si>
  <si>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</si>
  <si>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</si>
  <si>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</si>
  <si>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</si>
  <si>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</si>
  <si>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</si>
  <si>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</si>
  <si>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</si>
  <si>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</si>
  <si>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</si>
  <si>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</si>
  <si>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</si>
  <si>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</si>
  <si>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</si>
  <si>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</si>
  <si>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</si>
  <si>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</si>
  <si>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</si>
  <si>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</si>
  <si>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</si>
  <si>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</si>
  <si>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</si>
  <si>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</si>
  <si>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</si>
  <si>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</si>
  <si>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</si>
  <si>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</si>
  <si>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</si>
  <si>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</si>
  <si>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</si>
  <si>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</si>
  <si>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</si>
  <si>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</si>
  <si>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</si>
  <si>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</si>
  <si>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</si>
  <si>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</si>
  <si>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</si>
  <si>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</si>
  <si>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</si>
  <si>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</si>
  <si>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</si>
  <si>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</si>
  <si>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</si>
  <si>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</si>
  <si>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</si>
  <si>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</si>
  <si>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</si>
  <si>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</si>
  <si>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</si>
  <si>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</si>
  <si>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</si>
  <si>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</si>
  <si>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</si>
  <si>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</si>
  <si>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</si>
  <si>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</si>
  <si>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</si>
  <si>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</si>
  <si>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</si>
  <si>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</si>
  <si>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</si>
  <si>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</si>
  <si>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</si>
  <si>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</si>
  <si>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</si>
  <si>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</si>
  <si>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</si>
  <si>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</si>
  <si>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</si>
  <si>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</si>
  <si>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</si>
  <si>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</si>
  <si>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</si>
  <si>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</si>
  <si>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</si>
  <si>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</si>
  <si>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</si>
  <si>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</si>
  <si>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</si>
  <si>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</si>
  <si>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</si>
  <si>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</si>
  <si>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</si>
  <si>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</si>
  <si>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</si>
  <si>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</si>
  <si>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</si>
  <si>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</si>
  <si>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</si>
  <si>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</si>
  <si>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</si>
  <si>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</si>
  <si>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</si>
  <si>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</si>
  <si>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</si>
  <si>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</si>
  <si>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</si>
  <si>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</si>
  <si>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</si>
  <si>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</si>
  <si>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</si>
  <si>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</si>
  <si>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</si>
  <si>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</si>
  <si>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</si>
  <si>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</si>
  <si>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</si>
  <si>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</si>
  <si>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</si>
  <si>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</si>
  <si>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</si>
  <si>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</si>
  <si>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</si>
  <si>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</si>
  <si>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</si>
  <si>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</si>
  <si>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</si>
  <si>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</si>
  <si>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</si>
  <si>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</si>
  <si>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</si>
  <si>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</si>
  <si>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</si>
  <si>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</si>
  <si>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</si>
  <si>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</si>
  <si>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</si>
  <si>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</si>
  <si>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</si>
  <si>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</si>
  <si>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</si>
  <si>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</si>
  <si>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</si>
  <si>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</si>
  <si>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</si>
  <si>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</si>
  <si>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</si>
  <si>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</si>
  <si>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</si>
  <si>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</si>
  <si>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</si>
  <si>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</si>
  <si>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</si>
  <si>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</si>
  <si>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</si>
  <si>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</si>
  <si>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</si>
  <si>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</si>
  <si>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</si>
  <si>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</si>
  <si>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</si>
  <si>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</si>
  <si>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</si>
  <si>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</si>
  <si>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</si>
  <si>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</si>
  <si>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</si>
  <si>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</si>
  <si>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</si>
  <si>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</si>
  <si>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</si>
  <si>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</si>
  <si>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</si>
  <si>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</si>
  <si>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</si>
  <si>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</si>
  <si>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</si>
  <si>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</si>
  <si>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</si>
  <si>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</si>
  <si>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</si>
  <si>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</si>
  <si>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</si>
  <si>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</si>
  <si>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</si>
  <si>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</si>
  <si>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</si>
  <si>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</si>
  <si>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</si>
  <si>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</si>
  <si>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</si>
  <si>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</si>
  <si>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</si>
  <si>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</si>
  <si>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</si>
  <si>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</si>
  <si>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</si>
  <si>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</si>
  <si>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</si>
  <si>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</si>
  <si>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</si>
  <si>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</si>
  <si>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</si>
  <si>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</si>
  <si>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</si>
  <si>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</si>
  <si>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</si>
  <si>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</si>
  <si>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</si>
  <si>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</si>
  <si>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</si>
  <si>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</si>
  <si>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</si>
  <si>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</si>
  <si>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</si>
  <si>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</si>
  <si>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</si>
  <si>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</si>
  <si>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</si>
  <si>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</si>
  <si>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</si>
  <si>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</si>
  <si>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</si>
  <si>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</si>
  <si>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</si>
  <si>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</si>
  <si>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</si>
  <si>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</si>
  <si>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</si>
  <si>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</si>
  <si>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</si>
  <si>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</si>
  <si>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</si>
  <si>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</si>
  <si>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</si>
  <si>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</si>
  <si>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</si>
  <si>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</si>
  <si>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</si>
  <si>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</si>
  <si>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</si>
  <si>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</si>
  <si>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</si>
  <si>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</si>
  <si>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</si>
  <si>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</si>
  <si>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</si>
  <si>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</si>
  <si>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</si>
  <si>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</si>
  <si>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</si>
  <si>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</si>
  <si>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</si>
  <si>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</si>
  <si>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</si>
  <si>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</si>
  <si>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</si>
  <si>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</si>
  <si>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</si>
  <si>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</si>
  <si>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</si>
  <si>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</si>
  <si>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</si>
  <si>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</si>
  <si>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</si>
  <si>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</si>
  <si>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</si>
  <si>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</si>
  <si>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</si>
  <si>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</si>
  <si>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</si>
  <si>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</si>
  <si>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</si>
  <si>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</si>
  <si>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</si>
  <si>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</si>
  <si>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</si>
  <si>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</si>
  <si>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</si>
  <si>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</si>
  <si>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</si>
  <si>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</si>
  <si>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</si>
  <si>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</si>
  <si>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</si>
  <si>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</si>
  <si>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</si>
  <si>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</si>
  <si>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</si>
  <si>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</si>
  <si>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</si>
  <si>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</si>
  <si>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</si>
  <si>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</si>
  <si>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</si>
  <si>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</si>
  <si>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</si>
  <si>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</si>
  <si>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</si>
  <si>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</si>
  <si>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</si>
  <si>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</si>
  <si>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</si>
  <si>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</si>
  <si>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</si>
  <si>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</si>
  <si>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</si>
  <si>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</si>
  <si>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</si>
  <si>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</si>
  <si>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</si>
  <si>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</si>
  <si>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</si>
  <si>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</si>
  <si>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</si>
  <si>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</si>
  <si>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</si>
  <si>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</si>
  <si>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</si>
  <si>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</si>
  <si>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</si>
  <si>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</si>
  <si>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</si>
  <si>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</si>
  <si>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</si>
  <si>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</si>
  <si>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</si>
  <si>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</si>
  <si>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</si>
  <si>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</si>
  <si>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</si>
  <si>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</si>
  <si>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</si>
  <si>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</si>
  <si>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</si>
  <si>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</si>
  <si>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</si>
  <si>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</si>
  <si>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</si>
  <si>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</si>
  <si>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</si>
  <si>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</si>
  <si>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</si>
  <si>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</si>
  <si>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</si>
  <si>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</si>
  <si>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</si>
  <si>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</si>
  <si>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</si>
  <si>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</si>
  <si>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</si>
  <si>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</si>
  <si>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</si>
  <si>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</si>
  <si>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</si>
  <si>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</si>
  <si>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</si>
  <si>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</si>
  <si>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</si>
  <si>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</si>
  <si>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</si>
  <si>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</si>
  <si>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</si>
  <si>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</si>
  <si>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</si>
  <si>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</si>
  <si>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</si>
  <si>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</si>
  <si>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</si>
  <si>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</si>
  <si>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</si>
  <si>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</si>
  <si>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</si>
  <si>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</si>
  <si>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</si>
  <si>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</si>
  <si>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</si>
  <si>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</si>
  <si>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</si>
  <si>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</si>
  <si>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</si>
  <si>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</si>
  <si>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</si>
  <si>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</si>
  <si>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</si>
  <si>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</si>
  <si>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</si>
  <si>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</si>
  <si>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</si>
  <si>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</si>
  <si>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</si>
  <si>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</si>
  <si>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</si>
  <si>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</si>
  <si>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</si>
  <si>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</si>
  <si>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</si>
  <si>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</si>
  <si>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</si>
  <si>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</si>
  <si>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</si>
  <si>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</si>
  <si>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</si>
  <si>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</si>
  <si>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</si>
  <si>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</si>
  <si>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</si>
  <si>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</si>
  <si>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</si>
  <si>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</si>
  <si>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</si>
  <si>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</si>
  <si>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</si>
  <si>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</si>
  <si>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</si>
  <si>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</si>
  <si>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</si>
  <si>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</si>
  <si>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</si>
  <si>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</si>
  <si>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</si>
  <si>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</si>
  <si>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</si>
  <si>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</si>
  <si>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</si>
  <si>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</si>
  <si>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</si>
  <si>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</si>
  <si>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</si>
  <si>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</si>
  <si>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</si>
  <si>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</si>
  <si>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</si>
  <si>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</si>
  <si>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</si>
  <si>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</si>
  <si>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</si>
  <si>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</si>
  <si>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</si>
  <si>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</si>
  <si>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</si>
  <si>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</si>
  <si>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</si>
  <si>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</si>
  <si>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</si>
  <si>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</si>
  <si>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</si>
  <si>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</si>
  <si>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</si>
  <si>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</si>
  <si>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</si>
  <si>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</si>
  <si>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</si>
  <si>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</si>
  <si>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</si>
  <si>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</si>
  <si>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</si>
  <si>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</si>
  <si>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</si>
  <si>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</si>
  <si>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</si>
  <si>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</si>
  <si>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</si>
  <si>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</si>
  <si>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</si>
  <si>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</si>
  <si>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</si>
  <si>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</si>
  <si>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</si>
  <si>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</si>
  <si>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</si>
  <si>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</si>
  <si>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</si>
  <si>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</si>
  <si>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</si>
  <si>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</si>
  <si>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</si>
  <si>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</si>
  <si>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</si>
  <si>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</si>
  <si>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</si>
  <si>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</si>
  <si>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</si>
  <si>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</si>
  <si>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</si>
  <si>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</si>
  <si>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</si>
  <si>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</si>
  <si>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</si>
  <si>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</si>
  <si>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</si>
  <si>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</si>
  <si>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</si>
  <si>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</si>
  <si>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</si>
  <si>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</si>
  <si>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</si>
  <si>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</si>
  <si>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</si>
  <si>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</si>
  <si>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</si>
  <si>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</si>
  <si>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</si>
  <si>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</si>
  <si>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</si>
  <si>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</si>
  <si>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</si>
  <si>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</si>
  <si>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</si>
  <si>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</si>
  <si>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</si>
  <si>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</si>
  <si>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</si>
  <si>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</si>
  <si>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</si>
  <si>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</si>
  <si>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</si>
  <si>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</si>
  <si>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</si>
  <si>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</si>
  <si>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</si>
  <si>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</si>
  <si>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南北</t>
  </si>
  <si>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</si>
  <si>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</si>
  <si>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</si>
  <si>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</si>
  <si>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</si>
  <si>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</si>
  <si>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</si>
  <si>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</si>
  <si>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</si>
  <si>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</si>
  <si>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</si>
  <si>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</si>
  <si>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</si>
  <si>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</si>
  <si>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</si>
  <si>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</si>
  <si>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</si>
  <si>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</si>
  <si>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</si>
  <si>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</si>
  <si>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</si>
  <si>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</si>
  <si>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</si>
  <si>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</si>
  <si>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</si>
  <si>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</si>
  <si>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</si>
  <si>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</si>
  <si>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</si>
  <si>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</si>
  <si>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</si>
  <si>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</si>
  <si>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</si>
  <si>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</si>
  <si>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</si>
  <si>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月坛西街西里18号楼1层2门1</t>
    <phoneticPr fontId="134" type="noConversion"/>
  </si>
  <si>
    <t>月坛西街西里16号楼3层2门6号</t>
    <phoneticPr fontId="134" type="noConversion"/>
  </si>
  <si>
    <t>月坛西街西里</t>
    <phoneticPr fontId="134" type="noConversion"/>
  </si>
  <si>
    <t>南北</t>
    <phoneticPr fontId="134" type="noConversion"/>
  </si>
  <si>
    <t>简单装修</t>
    <phoneticPr fontId="134" type="noConversion"/>
  </si>
  <si>
    <t>3室1厅1卫1厨</t>
    <phoneticPr fontId="134" type="noConversion"/>
  </si>
  <si>
    <t>月坛西街西里7-3-2</t>
    <phoneticPr fontId="134" type="noConversion"/>
  </si>
  <si>
    <t>周边有三里河一区5号院、月坛西街乙2号院、月坛北小街小区等住宅小区，居住社区成熟度较好。</t>
    <phoneticPr fontId="40" type="noConversion"/>
  </si>
  <si>
    <t>周边有10路、13路、21路、26路、68路等多条公交线路及地铁1号线南礼士路站，综合评价交通便捷度较好</t>
    <phoneticPr fontId="4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</si>
  <si>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t>
    <phoneticPr fontId="40" type="noConversion"/>
  </si>
  <si>
    <t>估价对象所在区域基础设施水平</t>
    <phoneticPr fontId="24" type="noConversion"/>
  </si>
  <si>
    <t>自然环境：月坛公园等自然水系景观；
人文环境：二七剧场等人文场所；
综合评价环境状况较好。</t>
    <phoneticPr fontId="40" type="noConversion"/>
  </si>
  <si>
    <t>月坛西街西里27-2-6号</t>
    <phoneticPr fontId="3" type="noConversion"/>
  </si>
  <si>
    <t>东西北</t>
  </si>
  <si>
    <t>东西北</t>
    <phoneticPr fontId="134" type="noConversion"/>
  </si>
  <si>
    <t>3/3</t>
    <phoneticPr fontId="24" type="noConversion"/>
  </si>
  <si>
    <t>1/3</t>
    <phoneticPr fontId="24" type="noConversion"/>
  </si>
  <si>
    <t>多层板楼</t>
  </si>
  <si>
    <t>2/3</t>
    <phoneticPr fontId="24" type="noConversion"/>
  </si>
  <si>
    <t>物业公司管理</t>
  </si>
  <si>
    <t>建成年代</t>
    <phoneticPr fontId="24" type="noConversion"/>
  </si>
  <si>
    <t>简单装修</t>
  </si>
  <si>
    <t>简单装修</t>
    <phoneticPr fontId="24"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</si>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</sst>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96" fontId="44" fillId="6" borderId="28" xfId="0" applyNumberFormat="1" applyFont="1" applyFill="1" applyBorder="1" applyAlignment="1" applyProtection="1">
      <alignment horizontal="right" vertical="center"/>
    </xf>
    <xf numFmtId="0" fontId="95" fillId="0" borderId="0" xfId="0" applyFont="1" applyFill="1" applyAlignment="1">
      <alignment horizontal="center" vertical="center"/>
    </xf>
    <xf numFmtId="0" fontId="0" fillId="0" borderId="0" xfId="0" applyFill="1" applyAlignment="1">
      <alignment horizontal="center" vertical="center"/>
    </xf>
    <xf numFmtId="49" fontId="94" fillId="0" borderId="39"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Fill="1" applyBorder="1" applyAlignment="1" applyProtection="1">
      <alignment horizontal="center" vertical="center"/>
      <protection locked="0"/>
    </xf>
    <xf numFmtId="0" fontId="100" fillId="0" borderId="78" xfId="0" applyNumberFormat="1" applyFont="1" applyFill="1" applyBorder="1" applyAlignment="1" applyProtection="1">
      <alignment horizontal="center" vertical="center" wrapText="1"/>
      <protection locked="0"/>
    </xf>
    <xf numFmtId="188" fontId="44" fillId="6" borderId="5"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0" fontId="128" fillId="6" borderId="57" xfId="0" applyNumberFormat="1" applyFont="1" applyFill="1" applyBorder="1" applyAlignment="1" applyProtection="1">
      <alignment horizontal="center" vertical="center" wrapText="1"/>
    </xf>
    <xf numFmtId="0" fontId="95" fillId="0" borderId="0" xfId="0" applyFont="1" applyFill="1" applyAlignment="1">
      <alignment horizontal="center" vertical="center"/>
    </xf>
    <xf numFmtId="0" fontId="94" fillId="2" borderId="6" xfId="0" applyFont="1" applyFill="1" applyBorder="1" applyAlignment="1" applyProtection="1">
      <alignment horizontal="center" vertical="center" wrapText="1"/>
      <protection locked="0"/>
    </xf>
    <xf numFmtId="0" fontId="0" fillId="0" borderId="0" xfId="0" applyFill="1" applyAlignment="1">
      <alignment horizontal="center" vertical="center"/>
    </xf>
    <xf numFmtId="0" fontId="94" fillId="0" borderId="14" xfId="0" applyNumberFormat="1" applyFont="1" applyFill="1" applyBorder="1" applyAlignment="1" applyProtection="1">
      <alignment horizontal="center" vertical="center" wrapText="1"/>
      <protection locked="0"/>
    </xf>
    <xf numFmtId="0" fontId="94" fillId="0" borderId="35" xfId="0" applyNumberFormat="1" applyFont="1" applyFill="1" applyBorder="1" applyAlignment="1" applyProtection="1">
      <alignment horizontal="center" vertical="center" wrapText="1"/>
      <protection locked="0"/>
    </xf>
    <xf numFmtId="0" fontId="94" fillId="0" borderId="22"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28" fillId="6" borderId="5" xfId="0" applyFont="1" applyFill="1" applyBorder="1" applyAlignment="1" applyProtection="1">
      <alignment horizontal="center" vertical="center" wrapText="1"/>
    </xf>
    <xf numFmtId="185" fontId="44" fillId="0" borderId="37" xfId="0" applyNumberFormat="1" applyFont="1" applyFill="1" applyBorder="1" applyAlignment="1" applyProtection="1">
      <alignment horizontal="center" vertical="center" wrapText="1"/>
      <protection locked="0"/>
    </xf>
    <xf numFmtId="0" fontId="44" fillId="5" borderId="48" xfId="0" applyNumberFormat="1" applyFont="1" applyFill="1" applyBorder="1" applyAlignment="1" applyProtection="1">
      <alignment horizontal="center" vertical="center" wrapText="1"/>
    </xf>
    <xf numFmtId="176" fontId="44" fillId="9" borderId="3" xfId="0" applyNumberFormat="1" applyFont="1" applyFill="1" applyBorder="1" applyAlignment="1" applyProtection="1">
      <alignment horizontal="center" vertical="center" wrapText="1"/>
      <protection locked="0"/>
    </xf>
    <xf numFmtId="183" fontId="44" fillId="9" borderId="70" xfId="0" applyNumberFormat="1" applyFont="1" applyFill="1" applyBorder="1" applyAlignment="1" applyProtection="1">
      <alignment horizontal="center" vertical="center" wrapText="1"/>
      <protection locked="0"/>
    </xf>
    <xf numFmtId="0" fontId="44" fillId="9" borderId="67"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1171575</xdr:colOff>
      <xdr:row>46</xdr:row>
      <xdr:rowOff>19050</xdr:rowOff>
    </xdr:from>
    <xdr:to>
      <xdr:col>5</xdr:col>
      <xdr:colOff>514350</xdr:colOff>
      <xdr:row>64</xdr:row>
      <xdr:rowOff>123825</xdr:rowOff>
    </xdr:to>
    <xdr:pic>
      <xdr:nvPicPr>
        <xdr:cNvPr id="24"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1410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190499</xdr:colOff>
      <xdr:row>1</xdr:row>
      <xdr:rowOff>11444</xdr:rowOff>
    </xdr:from>
    <xdr:to>
      <xdr:col>25</xdr:col>
      <xdr:colOff>513326</xdr:colOff>
      <xdr:row>20</xdr:row>
      <xdr:rowOff>246648</xdr:rowOff>
    </xdr:to>
    <xdr:pic>
      <xdr:nvPicPr>
        <xdr:cNvPr id="2" name="图片 1"/>
        <xdr:cNvPicPr>
          <a:picLocks noChangeAspect="1"/>
        </xdr:cNvPicPr>
      </xdr:nvPicPr>
      <xdr:blipFill>
        <a:blip xmlns:r="http://schemas.openxmlformats.org/officeDocument/2006/relationships" r:embed="rId2"/>
        <a:stretch>
          <a:fillRect/>
        </a:stretch>
      </xdr:blipFill>
      <xdr:spPr>
        <a:xfrm>
          <a:off x="15906749" y="182894"/>
          <a:ext cx="5390127" cy="5283454"/>
        </a:xfrm>
        <a:prstGeom prst="rect">
          <a:avLst/>
        </a:prstGeom>
      </xdr:spPr>
    </xdr:pic>
    <xdr:clientData/>
  </xdr:twoCellAnchor>
  <xdr:twoCellAnchor editAs="oneCell">
    <xdr:from>
      <xdr:col>2</xdr:col>
      <xdr:colOff>990599</xdr:colOff>
      <xdr:row>6</xdr:row>
      <xdr:rowOff>5067</xdr:rowOff>
    </xdr:from>
    <xdr:to>
      <xdr:col>15</xdr:col>
      <xdr:colOff>8074</xdr:colOff>
      <xdr:row>17</xdr:row>
      <xdr:rowOff>113819</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49" y="1443342"/>
          <a:ext cx="8885375" cy="2947202"/>
        </a:xfrm>
        <a:prstGeom prst="rect">
          <a:avLst/>
        </a:prstGeom>
      </xdr:spPr>
    </xdr:pic>
    <xdr:clientData/>
  </xdr:twoCellAnchor>
  <xdr:twoCellAnchor editAs="oneCell">
    <xdr:from>
      <xdr:col>15</xdr:col>
      <xdr:colOff>27815</xdr:colOff>
      <xdr:row>6</xdr:row>
      <xdr:rowOff>0</xdr:rowOff>
    </xdr:from>
    <xdr:to>
      <xdr:col>17</xdr:col>
      <xdr:colOff>209550</xdr:colOff>
      <xdr:row>17</xdr:row>
      <xdr:rowOff>127264</xdr:rowOff>
    </xdr:to>
    <xdr:pic>
      <xdr:nvPicPr>
        <xdr:cNvPr id="6" name="图片 5"/>
        <xdr:cNvPicPr>
          <a:picLocks noChangeAspect="1"/>
        </xdr:cNvPicPr>
      </xdr:nvPicPr>
      <xdr:blipFill>
        <a:blip xmlns:r="http://schemas.openxmlformats.org/officeDocument/2006/relationships" r:embed="rId4"/>
        <a:stretch>
          <a:fillRect/>
        </a:stretch>
      </xdr:blipFill>
      <xdr:spPr>
        <a:xfrm>
          <a:off x="13191365" y="1438275"/>
          <a:ext cx="2048635" cy="2965714"/>
        </a:xfrm>
        <a:prstGeom prst="rect">
          <a:avLst/>
        </a:prstGeom>
      </xdr:spPr>
    </xdr:pic>
    <xdr:clientData/>
  </xdr:twoCellAnchor>
  <xdr:twoCellAnchor editAs="oneCell">
    <xdr:from>
      <xdr:col>2</xdr:col>
      <xdr:colOff>952501</xdr:colOff>
      <xdr:row>17</xdr:row>
      <xdr:rowOff>119034</xdr:rowOff>
    </xdr:from>
    <xdr:to>
      <xdr:col>15</xdr:col>
      <xdr:colOff>1</xdr:colOff>
      <xdr:row>19</xdr:row>
      <xdr:rowOff>270391</xdr:rowOff>
    </xdr:to>
    <xdr:pic>
      <xdr:nvPicPr>
        <xdr:cNvPr id="7" name="图片 6"/>
        <xdr:cNvPicPr>
          <a:picLocks noChangeAspect="1"/>
        </xdr:cNvPicPr>
      </xdr:nvPicPr>
      <xdr:blipFill>
        <a:blip xmlns:r="http://schemas.openxmlformats.org/officeDocument/2006/relationships" r:embed="rId5"/>
        <a:stretch>
          <a:fillRect/>
        </a:stretch>
      </xdr:blipFill>
      <xdr:spPr>
        <a:xfrm>
          <a:off x="4248151" y="4395759"/>
          <a:ext cx="8915400" cy="780007"/>
        </a:xfrm>
        <a:prstGeom prst="rect">
          <a:avLst/>
        </a:prstGeom>
      </xdr:spPr>
    </xdr:pic>
    <xdr:clientData/>
  </xdr:twoCellAnchor>
  <xdr:twoCellAnchor editAs="oneCell">
    <xdr:from>
      <xdr:col>15</xdr:col>
      <xdr:colOff>0</xdr:colOff>
      <xdr:row>17</xdr:row>
      <xdr:rowOff>171450</xdr:rowOff>
    </xdr:from>
    <xdr:to>
      <xdr:col>17</xdr:col>
      <xdr:colOff>197645</xdr:colOff>
      <xdr:row>20</xdr:row>
      <xdr:rowOff>0</xdr:rowOff>
    </xdr:to>
    <xdr:pic>
      <xdr:nvPicPr>
        <xdr:cNvPr id="8" name="图片 7"/>
        <xdr:cNvPicPr>
          <a:picLocks noChangeAspect="1"/>
        </xdr:cNvPicPr>
      </xdr:nvPicPr>
      <xdr:blipFill>
        <a:blip xmlns:r="http://schemas.openxmlformats.org/officeDocument/2006/relationships" r:embed="rId6"/>
        <a:stretch>
          <a:fillRect/>
        </a:stretch>
      </xdr:blipFill>
      <xdr:spPr>
        <a:xfrm>
          <a:off x="13163550" y="4448175"/>
          <a:ext cx="2064545" cy="771525"/>
        </a:xfrm>
        <a:prstGeom prst="rect">
          <a:avLst/>
        </a:prstGeom>
      </xdr:spPr>
    </xdr:pic>
    <xdr:clientData/>
  </xdr:twoCellAnchor>
  <xdr:twoCellAnchor editAs="oneCell">
    <xdr:from>
      <xdr:col>0</xdr:col>
      <xdr:colOff>143692</xdr:colOff>
      <xdr:row>4</xdr:row>
      <xdr:rowOff>104774</xdr:rowOff>
    </xdr:from>
    <xdr:to>
      <xdr:col>2</xdr:col>
      <xdr:colOff>799448</xdr:colOff>
      <xdr:row>21</xdr:row>
      <xdr:rowOff>208799</xdr:rowOff>
    </xdr:to>
    <xdr:pic>
      <xdr:nvPicPr>
        <xdr:cNvPr id="9" name="图片 8"/>
        <xdr:cNvPicPr>
          <a:picLocks noChangeAspect="1"/>
        </xdr:cNvPicPr>
      </xdr:nvPicPr>
      <xdr:blipFill>
        <a:blip xmlns:r="http://schemas.openxmlformats.org/officeDocument/2006/relationships" r:embed="rId7"/>
        <a:stretch>
          <a:fillRect/>
        </a:stretch>
      </xdr:blipFill>
      <xdr:spPr>
        <a:xfrm>
          <a:off x="143692" y="1200149"/>
          <a:ext cx="3951406" cy="4542675"/>
        </a:xfrm>
        <a:prstGeom prst="rect">
          <a:avLst/>
        </a:prstGeom>
      </xdr:spPr>
    </xdr:pic>
    <xdr:clientData/>
  </xdr:twoCellAnchor>
  <xdr:twoCellAnchor editAs="oneCell">
    <xdr:from>
      <xdr:col>0</xdr:col>
      <xdr:colOff>266699</xdr:colOff>
      <xdr:row>22</xdr:row>
      <xdr:rowOff>190111</xdr:rowOff>
    </xdr:from>
    <xdr:to>
      <xdr:col>5</xdr:col>
      <xdr:colOff>600075</xdr:colOff>
      <xdr:row>36</xdr:row>
      <xdr:rowOff>46371</xdr:rowOff>
    </xdr:to>
    <xdr:pic>
      <xdr:nvPicPr>
        <xdr:cNvPr id="3" name="图片 2"/>
        <xdr:cNvPicPr>
          <a:picLocks noChangeAspect="1"/>
        </xdr:cNvPicPr>
      </xdr:nvPicPr>
      <xdr:blipFill>
        <a:blip xmlns:r="http://schemas.openxmlformats.org/officeDocument/2006/relationships" r:embed="rId8"/>
        <a:stretch>
          <a:fillRect/>
        </a:stretch>
      </xdr:blipFill>
      <xdr:spPr>
        <a:xfrm>
          <a:off x="266699" y="6038461"/>
          <a:ext cx="6096001" cy="3685310"/>
        </a:xfrm>
        <a:prstGeom prst="rect">
          <a:avLst/>
        </a:prstGeom>
      </xdr:spPr>
    </xdr:pic>
    <xdr:clientData/>
  </xdr:twoCellAnchor>
  <xdr:twoCellAnchor editAs="oneCell">
    <xdr:from>
      <xdr:col>0</xdr:col>
      <xdr:colOff>419099</xdr:colOff>
      <xdr:row>35</xdr:row>
      <xdr:rowOff>121754</xdr:rowOff>
    </xdr:from>
    <xdr:to>
      <xdr:col>5</xdr:col>
      <xdr:colOff>704207</xdr:colOff>
      <xdr:row>42</xdr:row>
      <xdr:rowOff>57149</xdr:rowOff>
    </xdr:to>
    <xdr:pic>
      <xdr:nvPicPr>
        <xdr:cNvPr id="5" name="图片 4"/>
        <xdr:cNvPicPr>
          <a:picLocks noChangeAspect="1"/>
        </xdr:cNvPicPr>
      </xdr:nvPicPr>
      <xdr:blipFill>
        <a:blip xmlns:r="http://schemas.openxmlformats.org/officeDocument/2006/relationships" r:embed="rId9"/>
        <a:stretch>
          <a:fillRect/>
        </a:stretch>
      </xdr:blipFill>
      <xdr:spPr>
        <a:xfrm>
          <a:off x="419099" y="9627704"/>
          <a:ext cx="6047733" cy="1135545"/>
        </a:xfrm>
        <a:prstGeom prst="rect">
          <a:avLst/>
        </a:prstGeom>
      </xdr:spPr>
    </xdr:pic>
    <xdr:clientData/>
  </xdr:twoCellAnchor>
  <xdr:twoCellAnchor editAs="oneCell">
    <xdr:from>
      <xdr:col>0</xdr:col>
      <xdr:colOff>409574</xdr:colOff>
      <xdr:row>41</xdr:row>
      <xdr:rowOff>102683</xdr:rowOff>
    </xdr:from>
    <xdr:to>
      <xdr:col>5</xdr:col>
      <xdr:colOff>349708</xdr:colOff>
      <xdr:row>47</xdr:row>
      <xdr:rowOff>47625</xdr:rowOff>
    </xdr:to>
    <xdr:pic>
      <xdr:nvPicPr>
        <xdr:cNvPr id="10" name="图片 9"/>
        <xdr:cNvPicPr>
          <a:picLocks noChangeAspect="1"/>
        </xdr:cNvPicPr>
      </xdr:nvPicPr>
      <xdr:blipFill>
        <a:blip xmlns:r="http://schemas.openxmlformats.org/officeDocument/2006/relationships" r:embed="rId10"/>
        <a:stretch>
          <a:fillRect/>
        </a:stretch>
      </xdr:blipFill>
      <xdr:spPr>
        <a:xfrm>
          <a:off x="409574" y="10637333"/>
          <a:ext cx="5702759" cy="973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估价对象为北京市房地产，为所有。根据《国有土地使用证》[]，估价对象（分摊）出让国有建设用地使用权面积为0平方米，建筑面积为69.1平方米。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2023年11月20日（评估专业人员实地查勘之日）</v>
      </c>
    </row>
    <row r="13" spans="1:2" s="1202" customFormat="1">
      <c r="A13" s="1200" t="s">
        <v>529</v>
      </c>
      <c r="B13" s="1201" t="str">
        <f>'预评函-1'!A18</f>
        <v>本次估价的“房地产价值”是指在正常市场情况下，在价值时点2023年11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69.099999999999994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2575</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2576</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2288</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53" t="s">
        <v>385</v>
      </c>
      <c r="C54" s="1550" t="s">
        <v>583</v>
      </c>
    </row>
    <row r="55" spans="1:4">
      <c r="A55" s="3544"/>
      <c r="B55" s="1553" t="s">
        <v>386</v>
      </c>
      <c r="C55" s="1550" t="s">
        <v>584</v>
      </c>
    </row>
    <row r="56" spans="1:4">
      <c r="A56" s="3544"/>
      <c r="B56" s="1553" t="s">
        <v>387</v>
      </c>
      <c r="C56" s="1550" t="s">
        <v>588</v>
      </c>
    </row>
    <row r="57" spans="1:4">
      <c r="A57" s="354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2498</v>
      </c>
      <c r="B1" s="3009"/>
      <c r="C1" s="3009"/>
      <c r="D1" s="3009"/>
      <c r="E1" s="3009"/>
      <c r="F1" s="3010"/>
      <c r="I1" s="3432" t="s">
        <v>2591</v>
      </c>
      <c r="J1" s="3221"/>
      <c r="K1" s="3221"/>
      <c r="L1" s="3221"/>
      <c r="M1" s="3221"/>
      <c r="N1" s="3433"/>
      <c r="O1" s="3433"/>
      <c r="P1" s="3433"/>
      <c r="Q1" s="3433"/>
      <c r="R1" s="3433"/>
    </row>
    <row r="2" spans="1:18">
      <c r="A2" s="3012"/>
      <c r="B2" s="3013"/>
      <c r="C2" s="3013"/>
      <c r="D2" s="3013"/>
      <c r="E2" s="3013"/>
      <c r="F2" s="3014"/>
      <c r="I2" s="3545" t="s">
        <v>2578</v>
      </c>
      <c r="J2" s="3545"/>
      <c r="K2" s="3545"/>
      <c r="L2" s="3545"/>
      <c r="M2" s="3545"/>
      <c r="N2" s="3545"/>
      <c r="O2" s="3545"/>
      <c r="P2" s="3545"/>
      <c r="Q2" s="3545"/>
      <c r="R2" s="3545"/>
    </row>
    <row r="3" spans="1:18">
      <c r="A3" s="3015" t="s">
        <v>2499</v>
      </c>
      <c r="B3" s="3016">
        <f>项目基本情况!D3</f>
        <v>45250</v>
      </c>
      <c r="C3" s="3018"/>
      <c r="D3" s="3018"/>
      <c r="E3" s="3018"/>
      <c r="F3" s="3014"/>
      <c r="I3" s="3434"/>
      <c r="J3" s="3434" t="s">
        <v>2582</v>
      </c>
      <c r="K3" s="3434" t="s">
        <v>2583</v>
      </c>
      <c r="L3" s="3434" t="s">
        <v>2584</v>
      </c>
      <c r="M3" s="3434" t="s">
        <v>2585</v>
      </c>
      <c r="N3" s="3435" t="s">
        <v>2586</v>
      </c>
      <c r="O3" s="3435" t="s">
        <v>2587</v>
      </c>
      <c r="P3" s="3435" t="s">
        <v>2588</v>
      </c>
      <c r="Q3" s="3435" t="s">
        <v>2589</v>
      </c>
      <c r="R3" s="3435" t="s">
        <v>2590</v>
      </c>
    </row>
    <row r="4" spans="1:18">
      <c r="A4" s="3015" t="s">
        <v>2500</v>
      </c>
      <c r="B4" s="3018" t="s">
        <v>2501</v>
      </c>
      <c r="C4" s="3018" t="s">
        <v>2502</v>
      </c>
      <c r="D4" s="3018" t="s">
        <v>2503</v>
      </c>
      <c r="E4" s="3018" t="s">
        <v>2504</v>
      </c>
      <c r="F4" s="3014"/>
      <c r="I4" s="3434" t="s">
        <v>2579</v>
      </c>
      <c r="J4" s="3434">
        <v>80</v>
      </c>
      <c r="K4" s="3434">
        <v>70</v>
      </c>
      <c r="L4" s="3434">
        <v>20</v>
      </c>
      <c r="M4" s="3434">
        <v>30</v>
      </c>
      <c r="N4" s="3018">
        <v>45</v>
      </c>
      <c r="O4" s="3018">
        <v>60</v>
      </c>
      <c r="P4" s="3018">
        <v>50</v>
      </c>
      <c r="Q4" s="3018">
        <v>20</v>
      </c>
      <c r="R4" s="3018">
        <v>375</v>
      </c>
    </row>
    <row r="5" spans="1:18">
      <c r="A5" s="3019">
        <v>40</v>
      </c>
      <c r="B5" s="3016">
        <v>46375</v>
      </c>
      <c r="C5" s="3018">
        <f>ROUNDDOWN(MIN((B5-B3)/365,A5),2)</f>
        <v>3.08</v>
      </c>
      <c r="D5" s="3020">
        <f>IF(ISERROR(ROUND(POWER(1+E5,A5-C5)*(POWER(1+E5,C5)-1)/(POWER(1+E5,A5)-1),3)),0,ROUND(POWER(1+E5,A5-C5)*(POWER(1+E5,C5)-1)/(POWER(1+E5,A5)-1),4))</f>
        <v>0.14369999999999999</v>
      </c>
      <c r="E5" s="3021">
        <v>0.04</v>
      </c>
      <c r="F5" s="3014"/>
      <c r="I5" s="3434" t="s">
        <v>2580</v>
      </c>
      <c r="J5" s="3434">
        <v>70</v>
      </c>
      <c r="K5" s="3434">
        <v>60</v>
      </c>
      <c r="L5" s="3434">
        <v>15</v>
      </c>
      <c r="M5" s="3434">
        <v>25</v>
      </c>
      <c r="N5" s="3018">
        <v>40</v>
      </c>
      <c r="O5" s="3018">
        <v>50</v>
      </c>
      <c r="P5" s="3018">
        <v>40</v>
      </c>
      <c r="Q5" s="3018">
        <v>15</v>
      </c>
      <c r="R5" s="3018">
        <v>315</v>
      </c>
    </row>
    <row r="6" spans="1:18">
      <c r="A6" s="3019">
        <v>50</v>
      </c>
      <c r="B6" s="3016">
        <v>50028</v>
      </c>
      <c r="C6" s="3018">
        <f>ROUNDDOWN(MIN((B6-B3)/365,A6),2)</f>
        <v>13.09</v>
      </c>
      <c r="D6" s="3020">
        <f>IF(ISERROR(ROUND(POWER(1+E6,A6-C6)*(POWER(1+E6,C6)-1)/(POWER(1+E6,A6)-1),3)),0,ROUND(POWER(1+E6,A6-C6)*(POWER(1+E6,C6)-1)/(POWER(1+E6,A6)-1),4))</f>
        <v>0.46729999999999999</v>
      </c>
      <c r="E6" s="3021">
        <v>0.04</v>
      </c>
      <c r="F6" s="3014"/>
      <c r="I6" s="3434" t="s">
        <v>2581</v>
      </c>
      <c r="J6" s="3434">
        <v>60</v>
      </c>
      <c r="K6" s="3434">
        <v>50</v>
      </c>
      <c r="L6" s="3434">
        <v>10</v>
      </c>
      <c r="M6" s="3434">
        <v>20</v>
      </c>
      <c r="N6" s="3018">
        <v>35</v>
      </c>
      <c r="O6" s="3018">
        <v>40</v>
      </c>
      <c r="P6" s="3018">
        <v>30</v>
      </c>
      <c r="Q6" s="3018">
        <v>10</v>
      </c>
      <c r="R6" s="3018">
        <v>255</v>
      </c>
    </row>
    <row r="7" spans="1:18">
      <c r="A7" s="3019">
        <v>70</v>
      </c>
      <c r="B7" s="3016">
        <v>57333</v>
      </c>
      <c r="C7" s="3018">
        <f>ROUNDDOWN(MIN((B7-B3)/365,A7),2)</f>
        <v>33.1</v>
      </c>
      <c r="D7" s="3020">
        <f>IF(ISERROR(ROUND(POWER(1+E7,A7-C7)*(POWER(1+E7,C7)-1)/(POWER(1+E7,A7)-1),3)),0,ROUND(POWER(1+E7,A7-C7)*(POWER(1+E7,C7)-1)/(POWER(1+E7,A7)-1),4))</f>
        <v>0.77690000000000003</v>
      </c>
      <c r="E7" s="3021">
        <v>0.04</v>
      </c>
      <c r="F7" s="3014"/>
    </row>
    <row r="8" spans="1:18">
      <c r="A8" s="3012"/>
      <c r="B8" s="3013"/>
      <c r="C8" s="3013"/>
      <c r="D8" s="3013"/>
      <c r="E8" s="3013"/>
      <c r="F8" s="3014"/>
    </row>
    <row r="9" spans="1:18">
      <c r="A9" s="3015" t="s">
        <v>2505</v>
      </c>
      <c r="B9" s="3018"/>
      <c r="C9" s="3018"/>
      <c r="D9" s="3018"/>
      <c r="E9" s="3018"/>
      <c r="F9" s="3022"/>
    </row>
    <row r="10" spans="1:18">
      <c r="A10" s="3015" t="s">
        <v>2506</v>
      </c>
      <c r="B10" s="3018"/>
      <c r="C10" s="3018"/>
      <c r="D10" s="3018" t="s">
        <v>2504</v>
      </c>
      <c r="E10" s="3018"/>
      <c r="F10" s="3022" t="s">
        <v>2503</v>
      </c>
    </row>
    <row r="11" spans="1:18">
      <c r="A11" s="3015" t="s">
        <v>2507</v>
      </c>
      <c r="B11" s="3023">
        <v>70</v>
      </c>
      <c r="C11" s="3018" t="s">
        <v>2508</v>
      </c>
      <c r="D11" s="3024">
        <v>4.4999999999999998E-2</v>
      </c>
      <c r="E11" s="3018" t="s">
        <v>2509</v>
      </c>
      <c r="F11" s="3025">
        <f>ROUND(1-(1/(POWER(1+D11,B11))),4)</f>
        <v>0.95409999999999995</v>
      </c>
    </row>
    <row r="12" spans="1:18">
      <c r="A12" s="3015" t="s">
        <v>2510</v>
      </c>
      <c r="B12" s="3023">
        <v>40</v>
      </c>
      <c r="C12" s="3018" t="s">
        <v>2511</v>
      </c>
      <c r="D12" s="3024">
        <v>4.4999999999999998E-2</v>
      </c>
      <c r="E12" s="3018" t="s">
        <v>2512</v>
      </c>
      <c r="F12" s="3025">
        <f>ROUND(1-(1/(POWER(1+D12,B12))),4)</f>
        <v>0.82809999999999995</v>
      </c>
    </row>
    <row r="13" spans="1:18">
      <c r="A13" s="3015" t="s">
        <v>2513</v>
      </c>
      <c r="B13" s="3018"/>
      <c r="C13" s="3018"/>
      <c r="D13" s="3013"/>
      <c r="E13" s="3013"/>
      <c r="F13" s="3014"/>
    </row>
    <row r="14" spans="1:18">
      <c r="A14" s="3015" t="s">
        <v>2514</v>
      </c>
      <c r="B14" s="3023">
        <v>5000</v>
      </c>
      <c r="C14" s="3017"/>
      <c r="D14" s="3013"/>
      <c r="E14" s="3013"/>
      <c r="F14" s="3014"/>
    </row>
    <row r="15" spans="1:18">
      <c r="A15" s="3015" t="s">
        <v>2515</v>
      </c>
      <c r="B15" s="3018">
        <f>ROUND(B14*F12/F11,2)</f>
        <v>4339.6899999999996</v>
      </c>
      <c r="C15" s="3018">
        <f>ROUND(F12/F11,4)</f>
        <v>0.8679</v>
      </c>
      <c r="D15" s="3013"/>
      <c r="E15" s="3013"/>
      <c r="F15" s="3014"/>
    </row>
    <row r="16" spans="1:18">
      <c r="A16" s="3015" t="s">
        <v>2516</v>
      </c>
      <c r="B16" s="3018"/>
      <c r="C16" s="3018"/>
      <c r="D16" s="3013"/>
      <c r="E16" s="3013"/>
      <c r="F16" s="3014"/>
    </row>
    <row r="17" spans="1:13">
      <c r="A17" s="3015" t="s">
        <v>2515</v>
      </c>
      <c r="B17" s="3024">
        <v>4810</v>
      </c>
      <c r="C17" s="3017"/>
      <c r="D17" s="3013"/>
      <c r="E17" s="3013"/>
      <c r="F17" s="3014"/>
    </row>
    <row r="18" spans="1:13" ht="14.25" thickBot="1">
      <c r="A18" s="3026" t="s">
        <v>2514</v>
      </c>
      <c r="B18" s="3027">
        <f>ROUND(B17*F11/F12,2)</f>
        <v>5541.87</v>
      </c>
      <c r="C18" s="3027">
        <f>ROUND(F11/F12,4)</f>
        <v>1.1521999999999999</v>
      </c>
      <c r="D18" s="3028"/>
      <c r="E18" s="3028"/>
      <c r="F18" s="3029"/>
    </row>
    <row r="19" spans="1:13" ht="14.25" thickBot="1"/>
    <row r="20" spans="1:13" s="3064" customFormat="1" ht="14.25" thickTop="1">
      <c r="A20" s="3061" t="s">
        <v>2517</v>
      </c>
      <c r="B20" s="3062"/>
      <c r="C20" s="3062"/>
      <c r="D20" s="3062"/>
      <c r="E20" s="3062"/>
      <c r="F20" s="3062"/>
      <c r="G20" s="3063"/>
      <c r="I20" s="3065" t="s">
        <v>2562</v>
      </c>
      <c r="J20" s="3065" t="s">
        <v>2567</v>
      </c>
      <c r="K20" s="3065"/>
      <c r="L20" s="3065"/>
      <c r="M20" s="3065"/>
    </row>
    <row r="21" spans="1:13">
      <c r="A21" s="3030"/>
      <c r="B21" s="3031" t="s">
        <v>2518</v>
      </c>
      <c r="C21" s="3031" t="s">
        <v>2519</v>
      </c>
      <c r="D21" s="3031" t="s">
        <v>2520</v>
      </c>
      <c r="E21" s="3031" t="s">
        <v>2521</v>
      </c>
      <c r="F21" s="3031" t="s">
        <v>2522</v>
      </c>
      <c r="G21" s="3032" t="s">
        <v>2523</v>
      </c>
      <c r="I21" s="3053">
        <v>5</v>
      </c>
      <c r="J21" s="3053">
        <v>54.2</v>
      </c>
    </row>
    <row r="22" spans="1:13">
      <c r="A22" s="3030" t="s">
        <v>2524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2525</v>
      </c>
      <c r="B23" s="3033">
        <v>70</v>
      </c>
      <c r="C23" s="3033">
        <v>40</v>
      </c>
      <c r="D23" s="3034">
        <v>0.04</v>
      </c>
      <c r="E23" s="3031">
        <f>ROUND(POWER(1+D23,B23-C23)*(POWER(1+D23,C23)-1)/(POWER(1+D23,B23)-1),3)</f>
        <v>0.84599999999999997</v>
      </c>
      <c r="F23" s="3034">
        <f>F22</f>
        <v>0.7</v>
      </c>
      <c r="G23" s="3032">
        <f>ROUND(100*(1-(1-E23)*F23),1)</f>
        <v>89.2</v>
      </c>
      <c r="I23" s="3053">
        <v>15</v>
      </c>
      <c r="J23" s="3053">
        <v>74.099999999999994</v>
      </c>
      <c r="K23" s="3053">
        <f t="shared" ref="K23:K30" si="0">J23-J22</f>
        <v>8.6999999999999886</v>
      </c>
      <c r="L23" s="3053" t="s">
        <v>2565</v>
      </c>
      <c r="M23" s="3053" t="s">
        <v>2566</v>
      </c>
    </row>
    <row r="24" spans="1:13">
      <c r="A24" s="3030" t="s">
        <v>2526</v>
      </c>
      <c r="B24" s="3033">
        <v>70</v>
      </c>
      <c r="C24" s="3033">
        <v>50</v>
      </c>
      <c r="D24" s="3034">
        <v>0.04</v>
      </c>
      <c r="E24" s="3031">
        <f>ROUND(POWER(1+D24,B24-C24)*(POWER(1+D24,C24)-1)/(POWER(1+D24,B24)-1),3)</f>
        <v>0.91800000000000004</v>
      </c>
      <c r="F24" s="3034">
        <f>F23</f>
        <v>0.7</v>
      </c>
      <c r="G24" s="3032">
        <f>ROUND(100*(1-(1-E24)*F24),1)</f>
        <v>94.3</v>
      </c>
      <c r="I24" s="3053">
        <v>20</v>
      </c>
      <c r="J24" s="3053">
        <v>81</v>
      </c>
      <c r="K24" s="3053">
        <f t="shared" si="0"/>
        <v>6.9000000000000057</v>
      </c>
      <c r="L24" s="3053" t="s">
        <v>2564</v>
      </c>
      <c r="M24" s="3053">
        <v>10</v>
      </c>
    </row>
    <row r="25" spans="1:13">
      <c r="A25" s="3030" t="s">
        <v>2527</v>
      </c>
      <c r="B25" s="3033">
        <v>70</v>
      </c>
      <c r="C25" s="3033">
        <v>60</v>
      </c>
      <c r="D25" s="3034">
        <v>0.04</v>
      </c>
      <c r="E25" s="3031">
        <f>ROUND(POWER(1+D25,B25-C25)*(POWER(1+D25,C25)-1)/(POWER(1+D25,B25)-1),3)</f>
        <v>0.96699999999999997</v>
      </c>
      <c r="F25" s="3034">
        <f>F24</f>
        <v>0.7</v>
      </c>
      <c r="G25" s="3032">
        <f>ROUND(100*(1-(1-E25)*F25),1)</f>
        <v>97.7</v>
      </c>
      <c r="I25" s="3053">
        <v>25</v>
      </c>
      <c r="J25" s="3053">
        <v>86.3</v>
      </c>
      <c r="K25" s="3053">
        <f t="shared" si="0"/>
        <v>5.2999999999999972</v>
      </c>
      <c r="L25" s="3053" t="s">
        <v>2568</v>
      </c>
      <c r="M25" s="3053">
        <v>8</v>
      </c>
    </row>
    <row r="26" spans="1:13">
      <c r="A26" s="3035"/>
      <c r="B26" s="3036"/>
      <c r="C26" s="3036"/>
      <c r="D26" s="3036"/>
      <c r="E26" s="3036"/>
      <c r="F26" s="3036"/>
      <c r="G26" s="3037"/>
      <c r="I26" s="3053">
        <v>30</v>
      </c>
      <c r="J26" s="3053">
        <v>90.5</v>
      </c>
      <c r="K26" s="3053">
        <f t="shared" si="0"/>
        <v>4.2000000000000028</v>
      </c>
      <c r="L26" s="3053" t="s">
        <v>2569</v>
      </c>
      <c r="M26" s="3053">
        <v>5</v>
      </c>
    </row>
    <row r="27" spans="1:13">
      <c r="A27" s="3035" t="s">
        <v>2528</v>
      </c>
      <c r="B27" s="3036"/>
      <c r="C27" s="3036"/>
      <c r="D27" s="3036"/>
      <c r="E27" s="3036"/>
      <c r="F27" s="3036"/>
      <c r="G27" s="3037"/>
      <c r="I27" s="3053">
        <v>35</v>
      </c>
      <c r="J27" s="3053">
        <v>93.8</v>
      </c>
      <c r="K27" s="3053">
        <f t="shared" si="0"/>
        <v>3.2999999999999972</v>
      </c>
      <c r="L27" s="3053" t="s">
        <v>2570</v>
      </c>
      <c r="M27" s="3053">
        <v>3</v>
      </c>
    </row>
    <row r="28" spans="1:13">
      <c r="A28" s="3035" t="s">
        <v>2529</v>
      </c>
      <c r="B28" s="3036"/>
      <c r="C28" s="3036"/>
      <c r="D28" s="3036"/>
      <c r="E28" s="3036"/>
      <c r="F28" s="3036"/>
      <c r="G28" s="3037"/>
      <c r="I28" s="3053">
        <v>40</v>
      </c>
      <c r="J28" s="3053">
        <v>96.4</v>
      </c>
      <c r="K28" s="3053">
        <f t="shared" si="0"/>
        <v>2.6000000000000085</v>
      </c>
      <c r="L28" s="3053" t="s">
        <v>2571</v>
      </c>
      <c r="M28" s="3053">
        <v>2</v>
      </c>
    </row>
    <row r="29" spans="1:13">
      <c r="A29" s="3035" t="s">
        <v>2530</v>
      </c>
      <c r="B29" s="3036"/>
      <c r="C29" s="3036"/>
      <c r="D29" s="3036"/>
      <c r="E29" s="3036"/>
      <c r="F29" s="3036"/>
      <c r="G29" s="3037"/>
      <c r="I29" s="3053">
        <v>45</v>
      </c>
      <c r="J29" s="3053">
        <v>98.4</v>
      </c>
      <c r="K29" s="3053">
        <f t="shared" si="0"/>
        <v>2</v>
      </c>
    </row>
    <row r="30" spans="1:13">
      <c r="A30" s="3035" t="s">
        <v>2531</v>
      </c>
      <c r="B30" s="3036"/>
      <c r="C30" s="3036"/>
      <c r="D30" s="3036"/>
      <c r="E30" s="3036"/>
      <c r="F30" s="3036"/>
      <c r="G30" s="3037"/>
      <c r="I30" s="3053">
        <v>50</v>
      </c>
      <c r="J30" s="3053">
        <v>100</v>
      </c>
      <c r="K30" s="3053">
        <f t="shared" si="0"/>
        <v>1.5999999999999943</v>
      </c>
    </row>
    <row r="31" spans="1:13">
      <c r="A31" s="3035" t="s">
        <v>2532</v>
      </c>
      <c r="B31" s="3036"/>
      <c r="C31" s="3036"/>
      <c r="D31" s="3036"/>
      <c r="E31" s="3036"/>
      <c r="F31" s="3036"/>
      <c r="G31" s="3037"/>
      <c r="I31" s="3053" t="s">
        <v>2563</v>
      </c>
    </row>
    <row r="32" spans="1:13">
      <c r="A32" s="3035" t="s">
        <v>2533</v>
      </c>
      <c r="B32" s="3036"/>
      <c r="C32" s="3036"/>
      <c r="D32" s="3036"/>
      <c r="E32" s="3036"/>
      <c r="F32" s="3036"/>
      <c r="G32" s="3037"/>
    </row>
    <row r="33" spans="1:13">
      <c r="A33" s="3035" t="s">
        <v>2534</v>
      </c>
      <c r="B33" s="3036"/>
      <c r="C33" s="3036"/>
      <c r="D33" s="3036"/>
      <c r="E33" s="3036"/>
      <c r="F33" s="3036"/>
      <c r="G33" s="3037"/>
      <c r="I33" s="3053" t="s">
        <v>2562</v>
      </c>
      <c r="J33" s="3053" t="s">
        <v>2572</v>
      </c>
    </row>
    <row r="34" spans="1:13">
      <c r="A34" s="3035" t="s">
        <v>2535</v>
      </c>
      <c r="B34" s="3036"/>
      <c r="C34" s="3036"/>
      <c r="D34" s="3036"/>
      <c r="E34" s="3036"/>
      <c r="F34" s="3036"/>
      <c r="G34" s="3037"/>
      <c r="I34" s="3053">
        <v>5</v>
      </c>
      <c r="J34" s="3053">
        <v>55.1</v>
      </c>
    </row>
    <row r="35" spans="1:13">
      <c r="A35" s="3035" t="s">
        <v>2536</v>
      </c>
      <c r="B35" s="3036"/>
      <c r="C35" s="3036"/>
      <c r="D35" s="3036"/>
      <c r="E35" s="3036"/>
      <c r="F35" s="3036"/>
      <c r="G35" s="3037"/>
      <c r="I35" s="3053">
        <v>10</v>
      </c>
      <c r="J35" s="3053">
        <v>67</v>
      </c>
      <c r="K35" s="3053">
        <f>J35-J34</f>
        <v>11.899999999999999</v>
      </c>
    </row>
    <row r="36" spans="1:13">
      <c r="A36" s="3035" t="s">
        <v>2537</v>
      </c>
      <c r="B36" s="3036"/>
      <c r="C36" s="3036"/>
      <c r="D36" s="3036"/>
      <c r="E36" s="3036"/>
      <c r="F36" s="3036"/>
      <c r="G36" s="3037"/>
      <c r="I36" s="3053">
        <v>15</v>
      </c>
      <c r="J36" s="3053">
        <v>76.3</v>
      </c>
      <c r="K36" s="3053">
        <f t="shared" ref="K36:K41" si="1">J36-J35</f>
        <v>9.2999999999999972</v>
      </c>
      <c r="L36" s="3053" t="s">
        <v>2565</v>
      </c>
      <c r="M36" s="3053" t="s">
        <v>2566</v>
      </c>
    </row>
    <row r="37" spans="1:13">
      <c r="A37" s="3035" t="s">
        <v>2538</v>
      </c>
      <c r="B37" s="3036"/>
      <c r="C37" s="3036"/>
      <c r="D37" s="3036"/>
      <c r="E37" s="3036"/>
      <c r="F37" s="3036"/>
      <c r="G37" s="3037"/>
      <c r="I37" s="3053">
        <v>20</v>
      </c>
      <c r="J37" s="3053">
        <v>83.6</v>
      </c>
      <c r="K37" s="3053">
        <f t="shared" si="1"/>
        <v>7.2999999999999972</v>
      </c>
      <c r="L37" s="3053" t="s">
        <v>2564</v>
      </c>
      <c r="M37" s="3053">
        <v>10</v>
      </c>
    </row>
    <row r="38" spans="1:13">
      <c r="A38" s="3035" t="s">
        <v>2539</v>
      </c>
      <c r="B38" s="3036"/>
      <c r="C38" s="3036"/>
      <c r="D38" s="3036"/>
      <c r="E38" s="3036"/>
      <c r="F38" s="3036"/>
      <c r="G38" s="3037"/>
      <c r="I38" s="3053">
        <v>25</v>
      </c>
      <c r="J38" s="3053">
        <v>89.3</v>
      </c>
      <c r="K38" s="3053">
        <f t="shared" si="1"/>
        <v>5.7000000000000028</v>
      </c>
      <c r="L38" s="3053" t="s">
        <v>2568</v>
      </c>
      <c r="M38" s="3053">
        <v>8</v>
      </c>
    </row>
    <row r="39" spans="1:13">
      <c r="A39" s="3035"/>
      <c r="B39" s="3036"/>
      <c r="C39" s="3036"/>
      <c r="D39" s="3036"/>
      <c r="E39" s="3036"/>
      <c r="F39" s="3036"/>
      <c r="G39" s="3037"/>
      <c r="I39" s="3053">
        <v>30</v>
      </c>
      <c r="J39" s="3053">
        <v>93.8</v>
      </c>
      <c r="K39" s="3053">
        <f t="shared" si="1"/>
        <v>4.5</v>
      </c>
      <c r="L39" s="3053" t="s">
        <v>2569</v>
      </c>
      <c r="M39" s="3053">
        <v>6</v>
      </c>
    </row>
    <row r="40" spans="1:13">
      <c r="A40" s="3038" t="s">
        <v>2540</v>
      </c>
      <c r="B40" s="3039"/>
      <c r="C40" s="3039"/>
      <c r="D40" s="3039"/>
      <c r="E40" s="3039"/>
      <c r="F40" s="3039"/>
      <c r="G40" s="3040"/>
      <c r="I40" s="3053">
        <v>35</v>
      </c>
      <c r="J40" s="3053">
        <v>97.2</v>
      </c>
      <c r="K40" s="3053">
        <f t="shared" si="1"/>
        <v>3.4000000000000057</v>
      </c>
      <c r="L40" s="3053" t="s">
        <v>2570</v>
      </c>
      <c r="M40" s="3053">
        <v>3</v>
      </c>
    </row>
    <row r="41" spans="1:13">
      <c r="A41" s="3041" t="s">
        <v>2541</v>
      </c>
      <c r="B41" s="3042" t="s">
        <v>2542</v>
      </c>
      <c r="C41" s="3043" t="s">
        <v>2543</v>
      </c>
      <c r="D41" s="3043" t="s">
        <v>2544</v>
      </c>
      <c r="E41" s="3044"/>
      <c r="F41" s="3045"/>
      <c r="G41" s="3046"/>
      <c r="I41" s="3053">
        <v>40</v>
      </c>
      <c r="J41" s="3053">
        <v>100</v>
      </c>
      <c r="K41" s="3053">
        <f t="shared" si="1"/>
        <v>2.7999999999999972</v>
      </c>
    </row>
    <row r="42" spans="1:13">
      <c r="A42" s="3041" t="s">
        <v>2545</v>
      </c>
      <c r="B42" s="3042" t="s">
        <v>2546</v>
      </c>
      <c r="C42" s="3043" t="s">
        <v>2547</v>
      </c>
      <c r="D42" s="3047" t="s">
        <v>2548</v>
      </c>
      <c r="E42" s="3039" t="s">
        <v>2549</v>
      </c>
      <c r="F42" s="3039"/>
      <c r="G42" s="3040"/>
    </row>
    <row r="43" spans="1:13">
      <c r="A43" s="3041" t="s">
        <v>2550</v>
      </c>
      <c r="B43" s="3042" t="s">
        <v>2551</v>
      </c>
      <c r="C43" s="3043" t="s">
        <v>2552</v>
      </c>
      <c r="D43" s="3043" t="s">
        <v>2553</v>
      </c>
      <c r="E43" s="3044" t="s">
        <v>2554</v>
      </c>
      <c r="F43" s="3045"/>
      <c r="G43" s="3046"/>
      <c r="I43" s="3053" t="s">
        <v>2562</v>
      </c>
      <c r="J43" s="3053" t="s">
        <v>2573</v>
      </c>
    </row>
    <row r="44" spans="1:13">
      <c r="A44" s="3041" t="s">
        <v>2555</v>
      </c>
      <c r="B44" s="3042" t="s">
        <v>2556</v>
      </c>
      <c r="C44" s="3043" t="s">
        <v>2557</v>
      </c>
      <c r="D44" s="3047">
        <v>0.5</v>
      </c>
      <c r="E44" s="3044" t="s">
        <v>2558</v>
      </c>
      <c r="F44" s="3045"/>
      <c r="G44" s="3046"/>
      <c r="I44" s="3053">
        <v>30</v>
      </c>
      <c r="J44" s="3053">
        <v>81.7</v>
      </c>
    </row>
    <row r="45" spans="1:13" ht="14.25" thickBot="1">
      <c r="A45" s="3048" t="s">
        <v>2559</v>
      </c>
      <c r="B45" s="3049" t="s">
        <v>2546</v>
      </c>
      <c r="C45" s="3050" t="s">
        <v>2546</v>
      </c>
      <c r="D45" s="3050" t="s">
        <v>2560</v>
      </c>
      <c r="E45" s="3051" t="s">
        <v>2561</v>
      </c>
      <c r="F45" s="3051"/>
      <c r="G45" s="3052"/>
      <c r="I45" s="3053">
        <v>40</v>
      </c>
      <c r="J45" s="3053">
        <v>89.2</v>
      </c>
      <c r="K45" s="3053">
        <f>J45-J44</f>
        <v>7.5</v>
      </c>
    </row>
    <row r="46" spans="1:13">
      <c r="I46" s="3053">
        <v>50</v>
      </c>
      <c r="J46" s="3053">
        <v>94.3</v>
      </c>
      <c r="K46" s="3053">
        <f>J46-J45</f>
        <v>5.0999999999999943</v>
      </c>
    </row>
    <row r="47" spans="1:13">
      <c r="I47" s="3053">
        <v>60</v>
      </c>
      <c r="J47" s="3053">
        <v>97.7</v>
      </c>
      <c r="K47" s="305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7" sqref="G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2165</v>
      </c>
      <c r="B1" s="3554" t="str">
        <f>IF(B10="北京市","北京市",C10)&amp;F10&amp;IF(结果表!G1="在建","出让国有建设用地使用权及在建建筑物",IF(结果表!G1="土地","出让国有建设用地使用权",))&amp;B9&amp;"预评估"</f>
        <v>北京市预评估</v>
      </c>
      <c r="C1" s="3555"/>
      <c r="D1" s="3555"/>
      <c r="E1" s="3555"/>
      <c r="F1" s="3555"/>
      <c r="G1" s="3555"/>
      <c r="H1" s="3555"/>
      <c r="I1" s="3556"/>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2166</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69">
        <v>45250</v>
      </c>
      <c r="C3" s="2370" t="s">
        <v>2168</v>
      </c>
      <c r="D3" s="2369">
        <f>B3</f>
        <v>45250</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2170</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2171</v>
      </c>
      <c r="B6" s="2380"/>
      <c r="C6" s="2381"/>
      <c r="D6" s="2382"/>
      <c r="E6" s="2657"/>
      <c r="F6" s="2659"/>
      <c r="G6" s="2659"/>
      <c r="H6" s="1742"/>
      <c r="I6" s="3459">
        <v>40658</v>
      </c>
      <c r="J6" s="2435"/>
      <c r="K6" s="2610" t="str">
        <f>IF(COUNTIF(B6,"*上海银行*"),"上海银行","")</f>
        <v/>
      </c>
      <c r="L6" s="2608"/>
      <c r="M6" s="2608"/>
      <c r="N6" s="2435"/>
      <c r="O6" s="2446"/>
      <c r="P6" s="2435"/>
      <c r="Q6" s="2435"/>
      <c r="R6" s="2435"/>
    </row>
    <row r="7" spans="1:30">
      <c r="A7" s="2379" t="s">
        <v>2172</v>
      </c>
      <c r="B7" s="2383"/>
      <c r="C7" s="2381"/>
      <c r="D7" s="2382"/>
      <c r="E7" s="2657"/>
      <c r="F7" s="2659"/>
      <c r="G7" s="2659"/>
      <c r="H7" s="1742"/>
      <c r="I7" s="3459">
        <f>I6-1.5*365+70*365</f>
        <v>65660.5</v>
      </c>
      <c r="J7" s="2435"/>
      <c r="K7" s="2611"/>
      <c r="L7" s="2608"/>
      <c r="M7" s="2608"/>
      <c r="N7" s="2435"/>
      <c r="O7" s="2446"/>
      <c r="P7" s="2435"/>
      <c r="Q7" s="2435"/>
      <c r="R7" s="2435"/>
    </row>
    <row r="8" spans="1:30">
      <c r="A8" s="2384" t="s">
        <v>2173</v>
      </c>
      <c r="B8" s="2385"/>
      <c r="C8" s="2386"/>
      <c r="D8" s="3557" t="s">
        <v>2174</v>
      </c>
      <c r="E8" s="2387"/>
      <c r="F8" s="2388"/>
      <c r="G8" s="2658"/>
      <c r="H8" s="2658"/>
      <c r="I8" s="2658">
        <f>(I7-B3)/365</f>
        <v>55.919178082191777</v>
      </c>
      <c r="J8" s="2435"/>
      <c r="K8" s="2609"/>
      <c r="L8" s="2608"/>
      <c r="M8" s="2608"/>
      <c r="N8" s="2435"/>
      <c r="O8" s="2446"/>
      <c r="P8" s="2435"/>
      <c r="Q8" s="2435"/>
      <c r="R8" s="2435"/>
    </row>
    <row r="9" spans="1:30" ht="13.5" thickBot="1">
      <c r="A9" s="2389" t="s">
        <v>2175</v>
      </c>
      <c r="B9" s="2390"/>
      <c r="C9" s="2391"/>
      <c r="D9" s="3558"/>
      <c r="E9" s="2390"/>
      <c r="F9" s="2392"/>
      <c r="G9" s="2660"/>
      <c r="H9" s="2660"/>
      <c r="I9" s="2660"/>
      <c r="J9" s="2435"/>
      <c r="K9" s="2611"/>
      <c r="L9" s="2608"/>
      <c r="M9" s="2608"/>
      <c r="N9" s="2435"/>
      <c r="O9" s="2446"/>
      <c r="P9" s="2435"/>
      <c r="Q9" s="2435"/>
      <c r="R9" s="2435"/>
    </row>
    <row r="10" spans="1:30" ht="13.5" thickTop="1">
      <c r="A10" s="2393" t="s">
        <v>2176</v>
      </c>
      <c r="B10" s="2394" t="s">
        <v>3374</v>
      </c>
      <c r="C10" s="2395"/>
      <c r="D10" s="2378"/>
      <c r="E10" s="2396" t="s">
        <v>2177</v>
      </c>
      <c r="F10" s="2661"/>
      <c r="G10" s="2662"/>
      <c r="H10" s="2663"/>
      <c r="I10" s="2664"/>
      <c r="J10" s="2435"/>
      <c r="K10" s="2611"/>
      <c r="L10" s="2608"/>
      <c r="M10" s="2608"/>
      <c r="N10" s="2435"/>
      <c r="O10" s="2446"/>
      <c r="P10" s="2435"/>
      <c r="Q10" s="2435"/>
      <c r="R10" s="2435"/>
    </row>
    <row r="11" spans="1:30">
      <c r="A11" s="2397" t="s">
        <v>2178</v>
      </c>
      <c r="B11" s="2398" t="s">
        <v>3373</v>
      </c>
      <c r="C11" s="2399"/>
      <c r="D11" s="2400"/>
      <c r="E11" s="2366"/>
      <c r="F11" s="2366"/>
      <c r="G11" s="2366"/>
      <c r="H11" s="2366"/>
      <c r="I11" s="2366"/>
      <c r="J11" s="3056"/>
      <c r="K11" s="3055"/>
      <c r="L11" s="2608"/>
      <c r="M11" s="2608"/>
      <c r="N11" s="2435"/>
      <c r="O11" s="2446"/>
      <c r="P11" s="2435"/>
      <c r="Q11" s="2435"/>
      <c r="R11" s="2435"/>
    </row>
    <row r="12" spans="1:30">
      <c r="A12" s="2401" t="s">
        <v>2179</v>
      </c>
      <c r="B12" s="323" t="s">
        <v>2180</v>
      </c>
      <c r="C12" s="2402" t="s">
        <v>2181</v>
      </c>
      <c r="D12" s="2402" t="s">
        <v>2182</v>
      </c>
      <c r="E12" s="2402" t="s">
        <v>2183</v>
      </c>
      <c r="F12" s="2402" t="s">
        <v>2184</v>
      </c>
      <c r="G12" s="2402" t="s">
        <v>2185</v>
      </c>
      <c r="H12" s="2402" t="s">
        <v>2186</v>
      </c>
      <c r="I12" s="3054" t="s">
        <v>2574</v>
      </c>
      <c r="J12" s="3057"/>
      <c r="K12" s="2608"/>
      <c r="L12" s="2608"/>
      <c r="M12" s="2435"/>
      <c r="N12" s="2446"/>
      <c r="O12" s="2435"/>
      <c r="P12" s="2435"/>
      <c r="Q12" s="2435"/>
      <c r="AD12" s="1744"/>
    </row>
    <row r="13" spans="1:30">
      <c r="A13" s="3418" t="s">
        <v>3332</v>
      </c>
      <c r="B13" s="2403" t="s">
        <v>2187</v>
      </c>
      <c r="C13" s="856">
        <f>B3+365*70</f>
        <v>70800</v>
      </c>
      <c r="D13" s="856"/>
      <c r="E13" s="856"/>
      <c r="F13" s="856"/>
      <c r="G13" s="856"/>
      <c r="H13" s="856"/>
      <c r="I13" s="856"/>
      <c r="J13" s="3057"/>
      <c r="K13" s="2608"/>
      <c r="L13" s="2608"/>
      <c r="M13" s="2435"/>
      <c r="N13" s="2446"/>
      <c r="O13" s="2435"/>
      <c r="P13" s="2435"/>
      <c r="Q13" s="2435"/>
      <c r="AD13" s="1744"/>
    </row>
    <row r="14" spans="1:30">
      <c r="A14" s="1081"/>
      <c r="B14" s="2403" t="s">
        <v>2188</v>
      </c>
      <c r="C14" s="2404">
        <v>70</v>
      </c>
      <c r="D14" s="2404"/>
      <c r="E14" s="2404"/>
      <c r="F14" s="2404"/>
      <c r="G14" s="2404"/>
      <c r="H14" s="2404"/>
      <c r="I14" s="2404"/>
      <c r="J14" s="3058"/>
      <c r="K14" s="2608"/>
      <c r="L14" s="2608"/>
      <c r="M14" s="2435"/>
      <c r="N14" s="2446"/>
      <c r="O14" s="2435"/>
      <c r="P14" s="2435"/>
      <c r="Q14" s="2435"/>
      <c r="AD14" s="1744"/>
    </row>
    <row r="15" spans="1:30">
      <c r="A15" s="320"/>
      <c r="B15" s="2405" t="s">
        <v>2189</v>
      </c>
      <c r="C15" s="2406">
        <f>IF(A13="出让",IF(C13="","",ROUNDDOWN(MIN((C13-$D$3)/365,C14),2)),C14)</f>
        <v>70</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2190</v>
      </c>
      <c r="B16" s="3564"/>
      <c r="C16" s="3565"/>
      <c r="D16" s="3566"/>
      <c r="E16" s="2409" t="s">
        <v>2191</v>
      </c>
      <c r="F16" s="3567"/>
      <c r="G16" s="3568"/>
      <c r="H16" s="3568"/>
      <c r="I16" s="3569"/>
      <c r="J16" s="2435"/>
      <c r="K16" s="2612"/>
      <c r="L16" s="2447"/>
      <c r="M16" s="2447"/>
      <c r="N16" s="2504"/>
      <c r="O16" s="2447"/>
      <c r="P16" s="2504"/>
      <c r="Q16" s="2435"/>
      <c r="R16" s="2435"/>
    </row>
    <row r="17" spans="1:28">
      <c r="A17" s="313" t="s">
        <v>2192</v>
      </c>
      <c r="B17" s="302" t="s">
        <v>2193</v>
      </c>
      <c r="C17" s="8">
        <f>'数据-汇总表'!E3</f>
        <v>69.099999999999994</v>
      </c>
      <c r="D17" s="2318" t="s">
        <v>2194</v>
      </c>
      <c r="E17" s="3570" t="s">
        <v>2195</v>
      </c>
      <c r="F17" s="3571"/>
      <c r="G17" s="3571"/>
      <c r="H17" s="3571"/>
      <c r="I17" s="3572"/>
      <c r="J17" s="2435"/>
      <c r="K17" s="2613"/>
      <c r="L17" s="2447"/>
      <c r="M17" s="2447"/>
      <c r="N17" s="2504"/>
      <c r="O17" s="2447"/>
      <c r="P17" s="2504"/>
      <c r="Q17" s="2435"/>
      <c r="R17" s="2435"/>
      <c r="S17" s="2435"/>
      <c r="T17" s="2435"/>
      <c r="U17" s="2435"/>
      <c r="V17" s="2435"/>
    </row>
    <row r="18" spans="1:28" ht="24.75" thickBot="1">
      <c r="A18" s="2410" t="s">
        <v>2196</v>
      </c>
      <c r="B18" s="1090" t="s">
        <v>2197</v>
      </c>
      <c r="C18" s="2411">
        <f>'数据-汇总表'!D3</f>
        <v>0</v>
      </c>
      <c r="D18" s="1092" t="s">
        <v>2198</v>
      </c>
      <c r="E18" s="3573" t="s">
        <v>2199</v>
      </c>
      <c r="F18" s="3574"/>
      <c r="G18" s="3574"/>
      <c r="H18" s="3574"/>
      <c r="I18" s="3575"/>
      <c r="J18" s="2435"/>
      <c r="K18" s="2613"/>
      <c r="L18" s="2447"/>
      <c r="M18" s="2447"/>
      <c r="N18" s="2504"/>
      <c r="O18" s="2447"/>
      <c r="P18" s="2504"/>
      <c r="Q18" s="2435"/>
      <c r="R18" s="2435"/>
      <c r="S18" s="2435"/>
      <c r="T18" s="2435"/>
      <c r="U18" s="2435"/>
      <c r="V18" s="2435"/>
    </row>
    <row r="19" spans="1:28" ht="37.5" thickTop="1" thickBot="1">
      <c r="A19" s="327" t="s">
        <v>1055</v>
      </c>
      <c r="B19" s="307" t="s">
        <v>2200</v>
      </c>
      <c r="C19" s="1562" t="s">
        <v>3385</v>
      </c>
      <c r="D19" s="1563" t="s">
        <v>2201</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2202</v>
      </c>
      <c r="B20" s="3560" t="s">
        <v>2203</v>
      </c>
      <c r="C20" s="3561"/>
      <c r="D20" s="3562" t="s">
        <v>2204</v>
      </c>
      <c r="E20" s="3563"/>
      <c r="F20" s="2642" t="s">
        <v>1056</v>
      </c>
      <c r="G20" s="2659"/>
      <c r="H20" s="2659"/>
      <c r="I20" s="2659"/>
      <c r="J20" s="2435"/>
      <c r="K20" s="3559"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2206</v>
      </c>
      <c r="C21" s="2629" t="s">
        <v>1057</v>
      </c>
      <c r="D21" s="1567" t="s">
        <v>2207</v>
      </c>
      <c r="E21" s="2630" t="s">
        <v>1057</v>
      </c>
      <c r="F21" s="2643"/>
      <c r="G21" s="2659"/>
      <c r="H21" s="2659"/>
      <c r="I21" s="2659"/>
      <c r="J21" s="2435"/>
      <c r="K21" s="35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2208</v>
      </c>
      <c r="C22" s="2629" t="s">
        <v>1058</v>
      </c>
      <c r="D22" s="2658"/>
      <c r="E22" s="2658"/>
      <c r="F22" s="2658"/>
      <c r="G22" s="2659"/>
      <c r="H22" s="2659"/>
      <c r="I22" s="2659"/>
      <c r="J22" s="2435"/>
      <c r="K22" s="35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47" t="s">
        <v>2211</v>
      </c>
      <c r="B27" s="320" t="s">
        <v>2212</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47"/>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47"/>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48"/>
      <c r="B30" s="302" t="s">
        <v>2215</v>
      </c>
      <c r="C30" s="3549"/>
      <c r="D30" s="3550"/>
      <c r="E30" s="2659"/>
      <c r="F30" s="2659"/>
      <c r="G30" s="2659"/>
      <c r="H30" s="2659"/>
      <c r="I30" s="2659"/>
      <c r="J30" s="2435"/>
      <c r="K30" s="2611"/>
      <c r="L30" s="2608"/>
      <c r="M30" s="2608"/>
      <c r="N30" s="2435"/>
      <c r="O30" s="2446"/>
      <c r="P30" s="2435"/>
      <c r="Q30" s="2435"/>
      <c r="R30" s="2435"/>
      <c r="S30" s="2435"/>
      <c r="T30" s="2435"/>
      <c r="U30" s="2435"/>
      <c r="V30" s="2435"/>
    </row>
    <row r="31" spans="1:28">
      <c r="A31" s="3551" t="s">
        <v>2216</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52"/>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52"/>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2"/>
      <c r="C34" s="2022"/>
      <c r="D34" s="2022"/>
      <c r="E34" s="2022"/>
      <c r="F34" s="2022"/>
      <c r="G34" s="2022"/>
      <c r="H34" s="2022"/>
      <c r="I34" s="2659"/>
      <c r="J34" s="2435"/>
      <c r="K34" s="2423">
        <f>COUNTIF(B34:H34,"——")</f>
        <v>0</v>
      </c>
      <c r="L34" s="323" t="s">
        <v>2218</v>
      </c>
      <c r="M34" s="323" t="s">
        <v>2219</v>
      </c>
      <c r="N34" s="323" t="s">
        <v>2220</v>
      </c>
      <c r="O34" s="323" t="s">
        <v>2221</v>
      </c>
      <c r="P34" s="323" t="s">
        <v>2222</v>
      </c>
      <c r="Q34" s="323" t="s">
        <v>2223</v>
      </c>
      <c r="R34" s="323" t="s">
        <v>2224</v>
      </c>
      <c r="S34" s="3546" t="s">
        <v>2225</v>
      </c>
      <c r="T34" s="2424" t="str">
        <f>NUMBERSTRING(7-K34,1)&amp;"通"</f>
        <v>七通</v>
      </c>
      <c r="U34" s="2435"/>
      <c r="V34" s="2435"/>
    </row>
    <row r="35" spans="1:30">
      <c r="A35" s="2425"/>
      <c r="B35" s="3553" t="s">
        <v>2226</v>
      </c>
      <c r="C35" s="3553"/>
      <c r="D35" s="3553"/>
      <c r="E35" s="3553"/>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5"/>
      <c r="V35" s="2435"/>
    </row>
    <row r="36" spans="1:30">
      <c r="A36" s="2426"/>
      <c r="B36" s="664" t="s">
        <v>2182</v>
      </c>
      <c r="C36" s="664" t="s">
        <v>2183</v>
      </c>
      <c r="D36" s="664" t="s">
        <v>2181</v>
      </c>
      <c r="E36" s="664" t="s">
        <v>2186</v>
      </c>
      <c r="F36" s="3060" t="s">
        <v>2577</v>
      </c>
      <c r="G36" s="2659"/>
      <c r="H36" s="2659"/>
      <c r="I36" s="2659"/>
      <c r="J36" s="2435"/>
      <c r="K36" s="2611"/>
      <c r="L36" s="2608"/>
      <c r="M36" s="2608"/>
      <c r="N36" s="2435"/>
      <c r="O36" s="2446"/>
      <c r="P36" s="2435"/>
      <c r="Q36" s="2435"/>
      <c r="R36" s="2435"/>
      <c r="S36" s="2435"/>
      <c r="T36" s="2435"/>
      <c r="U36" s="2435"/>
      <c r="V36" s="2435"/>
    </row>
    <row r="37" spans="1:30">
      <c r="A37" s="2625" t="s">
        <v>2227</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2230</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69.099999999999994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69.099999999999994</v>
      </c>
      <c r="H5" s="13">
        <f t="shared" ref="H5:AT5" si="0">SUM(H13:H656)</f>
        <v>69.099999999999994</v>
      </c>
      <c r="I5" s="13">
        <f t="shared" si="0"/>
        <v>69.099999999999994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69.099999999999994</v>
      </c>
      <c r="BA5" s="15">
        <f t="shared" si="1"/>
        <v>69.099999999999994</v>
      </c>
      <c r="BB5" s="15">
        <f t="shared" si="1"/>
        <v>69.099999999999994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3375</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3423</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69.099999999999994</v>
      </c>
      <c r="H13" s="17">
        <f>SUMIF(I$12:AB$12,"总值",I13:AB13)</f>
        <v>69.099999999999994</v>
      </c>
      <c r="I13" s="1625">
        <v>69.099999999999994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69.099999999999994</v>
      </c>
      <c r="BA13" s="13">
        <f>SUM(BB13:BK13)</f>
        <v>69.099999999999994</v>
      </c>
      <c r="BB13" s="13">
        <f>IF($D13="是",I13-J13,0)</f>
        <v>69.099999999999994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5" t="s">
        <v>1131</v>
      </c>
      <c r="B2" s="3585"/>
      <c r="C2" s="3585"/>
      <c r="D2" s="796" t="s">
        <v>1107</v>
      </c>
      <c r="E2" s="1638" t="s">
        <v>1108</v>
      </c>
      <c r="F2" s="2654"/>
      <c r="G2" s="2645"/>
      <c r="H2" s="2646"/>
      <c r="I2" s="2321" t="s">
        <v>1132</v>
      </c>
      <c r="J2" s="2654"/>
      <c r="K2" s="2654"/>
      <c r="L2" s="2654"/>
      <c r="M2" s="2654"/>
      <c r="N2" s="2656"/>
      <c r="O2" s="2654"/>
      <c r="P2" s="2654"/>
    </row>
    <row r="3" spans="1:16" ht="15.75" thickBot="1">
      <c r="A3" s="3586" t="s">
        <v>1105</v>
      </c>
      <c r="B3" s="3586"/>
      <c r="C3" s="3586"/>
      <c r="D3" s="43">
        <f>'数据-基础表'!AY6</f>
        <v>0</v>
      </c>
      <c r="E3" s="43">
        <f>'数据-基础表'!AZ5</f>
        <v>69.099999999999994</v>
      </c>
      <c r="F3" s="2654"/>
      <c r="G3" s="1145"/>
      <c r="H3" s="1026" t="s">
        <v>1106</v>
      </c>
      <c r="I3" s="855" t="e">
        <f>ROUND('数据-基础表'!B3/'数据-基础表'!A3,2)</f>
        <v>#DIV/0!</v>
      </c>
      <c r="J3" s="2654"/>
      <c r="K3" s="2654"/>
      <c r="L3" s="2654"/>
      <c r="M3" s="2654"/>
      <c r="N3" s="2656"/>
      <c r="O3" s="2654"/>
      <c r="P3" s="2654"/>
    </row>
    <row r="4" spans="1:16" ht="15">
      <c r="A4" s="3587"/>
      <c r="B4" s="3588"/>
      <c r="C4" s="3589"/>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90" t="s">
        <v>1110</v>
      </c>
      <c r="C5" s="3590"/>
      <c r="D5" s="45">
        <f>ROUND($D$3*E5/$E$3,2)</f>
        <v>0</v>
      </c>
      <c r="E5" s="46">
        <f>SUMIF('数据-基础表'!$11:$11,"住宅",'数据-基础表'!$5:$5)</f>
        <v>69.099999999999994</v>
      </c>
      <c r="F5" s="2654"/>
      <c r="G5" s="1145"/>
      <c r="H5" s="1026" t="s">
        <v>1106</v>
      </c>
      <c r="I5" s="855" t="e">
        <f>ROUND(E31/D31,2)</f>
        <v>#DIV/0!</v>
      </c>
      <c r="J5" s="2654"/>
      <c r="K5" s="2654"/>
      <c r="L5" s="2654"/>
      <c r="M5" s="2654"/>
      <c r="N5" s="2654"/>
      <c r="O5" s="2654"/>
      <c r="P5" s="2654"/>
    </row>
    <row r="6" spans="1:16" ht="15" thickBot="1">
      <c r="A6" s="1643"/>
      <c r="B6" s="3590" t="s">
        <v>1111</v>
      </c>
      <c r="C6" s="3590"/>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82"/>
      <c r="B7" s="3583"/>
      <c r="C7" s="3584"/>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69.099999999999994</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69.099999999999994</v>
      </c>
      <c r="F16" s="2654"/>
      <c r="G16" s="2655"/>
      <c r="H16" s="1647" t="s">
        <v>1135</v>
      </c>
      <c r="I16" s="1648"/>
      <c r="J16" s="1139"/>
      <c r="K16" s="3579" t="s">
        <v>1135</v>
      </c>
      <c r="L16" s="3580"/>
      <c r="M16" s="3580"/>
      <c r="N16" s="3580"/>
      <c r="O16" s="3580"/>
      <c r="P16" s="3581"/>
    </row>
    <row r="17" spans="1:19" ht="15">
      <c r="A17" s="1649" t="s">
        <v>1136</v>
      </c>
      <c r="B17" s="1650" t="s">
        <v>1137</v>
      </c>
      <c r="C17" s="1651" t="s">
        <v>1138</v>
      </c>
      <c r="D17" s="1652" t="s">
        <v>1126</v>
      </c>
      <c r="E17" s="1653" t="s">
        <v>1127</v>
      </c>
      <c r="F17" s="1654"/>
      <c r="G17" s="1655"/>
      <c r="H17" s="1656" t="s">
        <v>1139</v>
      </c>
      <c r="I17" s="1657" t="s">
        <v>1124</v>
      </c>
      <c r="J17" s="1139"/>
      <c r="K17" s="3576" t="s">
        <v>1140</v>
      </c>
      <c r="L17" s="3577"/>
      <c r="M17" s="3578"/>
      <c r="N17" s="3576" t="s">
        <v>1141</v>
      </c>
      <c r="O17" s="3577"/>
      <c r="P17" s="357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3387</v>
      </c>
      <c r="D19" s="45">
        <f>ROUND($D$3*E19/$E$3,2)</f>
        <v>0</v>
      </c>
      <c r="E19" s="53">
        <f t="shared" ref="E19:E26" si="1">SUM(F19:G19)</f>
        <v>69.099999999999994</v>
      </c>
      <c r="F19" s="2790">
        <f>'数据-基础表'!I13</f>
        <v>69.099999999999994</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69.099999999999994</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69.099999999999994</v>
      </c>
      <c r="F27" s="1140">
        <f>IF(SUM(F19:F26)=E8,SUM(F19:F26),"地上面积有误")</f>
        <v>69.099999999999994</v>
      </c>
      <c r="G27" s="1142">
        <f>SUM(G19:G26)</f>
        <v>0</v>
      </c>
      <c r="H27" s="1143">
        <f>SUM(H19:H26)</f>
        <v>0</v>
      </c>
      <c r="I27" s="1144">
        <f>SUM(I19:I26)</f>
        <v>0</v>
      </c>
      <c r="J27" s="1139"/>
      <c r="K27" s="1147">
        <f t="shared" ref="K27:P27" si="10">SUM(K19:K26)</f>
        <v>0</v>
      </c>
      <c r="L27" s="1148">
        <f t="shared" si="10"/>
        <v>0</v>
      </c>
      <c r="M27" s="1151">
        <f t="shared" si="10"/>
        <v>0</v>
      </c>
      <c r="N27" s="1147">
        <f t="shared" si="10"/>
        <v>0</v>
      </c>
      <c r="O27" s="1148">
        <f t="shared" si="10"/>
        <v>0</v>
      </c>
      <c r="P27" s="1149">
        <f t="shared" si="10"/>
        <v>0</v>
      </c>
      <c r="R27" s="1028">
        <f>IF(SUM(R19:R26)=$D$3,SUM(R19:R26),SUM(R19:R26)&amp;"误差"&amp;ROUND(SUM(R19:R26)-$D$3,2))</f>
        <v>0</v>
      </c>
      <c r="S27" s="1026">
        <f>IF(SUM(S19:S26)=$E$3,SUM(S19:S26),SUM(S19:S26)&amp;"误差"&amp;ROUND(SUM(S19:S26)-E3,2))</f>
        <v>69.099999999999994</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69.099999999999994</v>
      </c>
      <c r="F31" s="677">
        <f>F27+F30</f>
        <v>69.099999999999994</v>
      </c>
      <c r="G31" s="678">
        <f>G27+G30</f>
        <v>0</v>
      </c>
      <c r="H31" s="2654"/>
      <c r="I31" s="2654"/>
      <c r="J31" s="2654"/>
      <c r="K31" s="2654"/>
      <c r="L31" s="2654"/>
      <c r="M31" s="2654"/>
      <c r="N31" s="2654"/>
      <c r="O31" s="2654"/>
      <c r="P31" s="2654"/>
    </row>
    <row r="32" spans="1:19">
      <c r="A32" s="1642"/>
      <c r="B32" s="1642" t="s">
        <v>1159</v>
      </c>
      <c r="C32" s="1642"/>
      <c r="D32" s="1642"/>
      <c r="E32" s="1053">
        <f>SUMIF(C19:C26,"*住宅*",E19:E26)</f>
        <v>69.099999999999994</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45250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3375</v>
      </c>
      <c r="D6" s="858">
        <f>SUMIF(项目基本情况!C$12:I$12,C6,项目基本情况!C$14:I$14)</f>
        <v>70</v>
      </c>
      <c r="E6" s="857">
        <f>IF(B6="","",SUMIF(项目基本情况!C$12:I$12,C6,项目基本情况!C$13:I$13))</f>
        <v>70800</v>
      </c>
      <c r="F6" s="64">
        <f>SUMIF(项目基本情况!C$12:I$12,C6,项目基本情况!C$15:I$15)</f>
        <v>70</v>
      </c>
      <c r="G6" s="65">
        <f t="shared" ref="G6:G13" si="0">IF(ISERROR(ROUND(POWER(1+H6,D6-F6)*(POWER(1+H6,F6)-1)/(POWER(1+H6,D6)-1),3)),0,ROUND(POWER(1+H6,D6-F6)*(POWER(1+H6,F6)-1)/(POWER(1+H6,D6)-1),3))</f>
        <v>1</v>
      </c>
      <c r="H6" s="732">
        <v>4.4999999999999998E-2</v>
      </c>
      <c r="I6" s="732">
        <v>4.4999999999999998E-2</v>
      </c>
      <c r="J6" s="66">
        <v>0.05</v>
      </c>
      <c r="K6" s="1030">
        <f>SUMIF('数据-汇总表'!C$19:C$33,A6,'数据-汇总表'!E$19:E$33)</f>
        <v>69.099999999999994</v>
      </c>
      <c r="L6" s="733">
        <v>3000</v>
      </c>
      <c r="M6" s="67">
        <f t="shared" ref="M6:M14" si="1">ROUND(K6*L6/10000,0)</f>
        <v>21</v>
      </c>
      <c r="N6" s="731">
        <v>0.65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11000</v>
      </c>
      <c r="V6" s="70">
        <v>3.5000000000000003E-2</v>
      </c>
      <c r="W6" s="70">
        <v>0.05</v>
      </c>
      <c r="X6" s="1040"/>
      <c r="Y6" s="71">
        <f>N6</f>
        <v>0.65</v>
      </c>
      <c r="Z6" s="72"/>
      <c r="AA6" s="66"/>
      <c r="AB6" s="66"/>
      <c r="AC6" s="1040"/>
      <c r="AD6" s="73"/>
      <c r="AE6" s="1041">
        <f ca="1">IF(AN6="",0,SUMIF(INDIRECT("'"&amp;AN6&amp;"'"&amp;"!E:E"),$AE$5,INDIRECT("'"&amp;AN6&amp;"'"&amp;"!F:F")))</f>
        <v>70</v>
      </c>
      <c r="AF6" s="1347"/>
      <c r="AG6" s="138">
        <f>IF(AF6="",0,AE6-AF6)</f>
        <v>0</v>
      </c>
      <c r="AH6" s="74">
        <v>1</v>
      </c>
      <c r="AI6" s="76">
        <v>12</v>
      </c>
      <c r="AJ6" s="77"/>
      <c r="AK6" s="78">
        <v>1.4999999999999999E-2</v>
      </c>
      <c r="AL6" s="79">
        <v>1.5E-3</v>
      </c>
      <c r="AM6" s="80">
        <v>0.01</v>
      </c>
      <c r="AN6" s="1714" t="s">
        <v>3394</v>
      </c>
      <c r="AO6" s="52">
        <f ca="1">SUMIF(INDIRECT("'"&amp;AN6&amp;"'"&amp;"!A:A"),"总价",INDIRECT("'"&amp;AN6&amp;"'"&amp;"!B:B"))</f>
        <v>567.45600000000002</v>
      </c>
      <c r="AP6" s="1715">
        <f>IF(C6="住宅",K6*L6,0)</f>
        <v>207299.99999999997</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2">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si="0"/>
        <v>0</v>
      </c>
      <c r="H7" s="732"/>
      <c r="I7" s="732"/>
      <c r="J7" s="66"/>
      <c r="K7" s="1030">
        <f>SUMIF('数据-汇总表'!C$19:C$33,A7,'数据-汇总表'!E$19:E$33)</f>
        <v>0</v>
      </c>
      <c r="L7" s="733"/>
      <c r="M7" s="67">
        <f t="shared" si="1"/>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2"/>
        <v/>
      </c>
      <c r="C8" s="1713"/>
      <c r="D8" s="858">
        <f>SUMIF(项目基本情况!C$12:I$12,C8,项目基本情况!C$14:I$14)</f>
        <v>0</v>
      </c>
      <c r="E8" s="857" t="str">
        <f>IF(B8="","",SUMIF(项目基本情况!C$12:I$12,C8,项目基本情况!C$13:I$13))</f>
        <v/>
      </c>
      <c r="F8" s="64">
        <f>SUMIF(项目基本情况!C$12:I$12,C8,项目基本情况!C$15:I$15)</f>
        <v>0</v>
      </c>
      <c r="G8" s="65">
        <f t="shared" si="0"/>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2"/>
        <v/>
      </c>
      <c r="C9" s="1713"/>
      <c r="D9" s="858">
        <f>SUMIF(项目基本情况!C$12:I$12,C9,项目基本情况!C$14:I$14)</f>
        <v>0</v>
      </c>
      <c r="E9" s="857" t="str">
        <f>IF(B9="","",SUMIF(项目基本情况!C$12:I$12,C9,项目基本情况!C$13:I$13))</f>
        <v/>
      </c>
      <c r="F9" s="64">
        <f>SUMIF(项目基本情况!C$12:I$12,C9,项目基本情况!C$15:I$15)</f>
        <v>0</v>
      </c>
      <c r="G9" s="65">
        <f t="shared" si="0"/>
        <v>0</v>
      </c>
      <c r="H9" s="66"/>
      <c r="I9" s="66"/>
      <c r="J9" s="66"/>
      <c r="K9" s="1030">
        <f>SUMIF('数据-汇总表'!C$19:C$33,A9,'数据-汇总表'!E$19:E$33)</f>
        <v>0</v>
      </c>
      <c r="L9" s="733"/>
      <c r="M9" s="67">
        <f t="shared" si="1"/>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2"/>
        <v/>
      </c>
      <c r="C10" s="1713"/>
      <c r="D10" s="858">
        <f>SUMIF(项目基本情况!C$12:I$12,C10,项目基本情况!C$14:I$14)</f>
        <v>0</v>
      </c>
      <c r="E10" s="857" t="str">
        <f>IF(B10="","",SUMIF(项目基本情况!C$12:I$12,C10,项目基本情况!C$13:I$13))</f>
        <v/>
      </c>
      <c r="F10" s="64">
        <f>SUMIF(项目基本情况!C$12:I$12,C10,项目基本情况!C$15:I$15)</f>
        <v>0</v>
      </c>
      <c r="G10" s="65">
        <f t="shared" si="0"/>
        <v>0</v>
      </c>
      <c r="H10" s="66"/>
      <c r="I10" s="66"/>
      <c r="J10" s="66"/>
      <c r="K10" s="1030">
        <f>SUMIF('数据-汇总表'!C$19:C$33,A10,'数据-汇总表'!E$19:E$33)</f>
        <v>0</v>
      </c>
      <c r="L10" s="733"/>
      <c r="M10" s="67">
        <f t="shared" si="1"/>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2"/>
        <v/>
      </c>
      <c r="C11" s="1713"/>
      <c r="D11" s="858">
        <f>SUMIF(项目基本情况!C$12:I$12,C11,项目基本情况!C$14:I$14)</f>
        <v>0</v>
      </c>
      <c r="E11" s="857" t="str">
        <f>IF(B11="","",SUMIF(项目基本情况!C$12:I$12,C11,项目基本情况!C$13:I$13))</f>
        <v/>
      </c>
      <c r="F11" s="64">
        <f>SUMIF(项目基本情况!C$12:I$12,C11,项目基本情况!C$15:I$15)</f>
        <v>0</v>
      </c>
      <c r="G11" s="65">
        <f t="shared" si="0"/>
        <v>0</v>
      </c>
      <c r="H11" s="66"/>
      <c r="I11" s="66"/>
      <c r="J11" s="66"/>
      <c r="K11" s="1030">
        <f>SUMIF('数据-汇总表'!C$19:C$33,A11,'数据-汇总表'!E$19:E$33)</f>
        <v>0</v>
      </c>
      <c r="L11" s="82"/>
      <c r="M11" s="67">
        <f t="shared" si="1"/>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2"/>
        <v/>
      </c>
      <c r="C12" s="1713"/>
      <c r="D12" s="858">
        <f>SUMIF(项目基本情况!C$12:I$12,C12,项目基本情况!C$14:I$14)</f>
        <v>0</v>
      </c>
      <c r="E12" s="857" t="str">
        <f>IF(B12="","",SUMIF(项目基本情况!C$12:I$12,C12,项目基本情况!C$13:I$13))</f>
        <v/>
      </c>
      <c r="F12" s="64">
        <f>SUMIF(项目基本情况!C$12:I$12,C12,项目基本情况!C$15:I$15)</f>
        <v>0</v>
      </c>
      <c r="G12" s="65">
        <f t="shared" si="0"/>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2"/>
        <v/>
      </c>
      <c r="C13" s="1713"/>
      <c r="D13" s="858">
        <f>SUMIF(项目基本情况!C$12:I$12,C13,项目基本情况!C$14:I$14)</f>
        <v>0</v>
      </c>
      <c r="E13" s="857" t="str">
        <f>IF(B13="","",SUMIF(项目基本情况!C$12:I$12,C13,项目基本情况!C$13:I$13))</f>
        <v/>
      </c>
      <c r="F13" s="64">
        <f>SUMIF(项目基本情况!C$12:I$12,C13,项目基本情况!C$15:I$15)</f>
        <v>0</v>
      </c>
      <c r="G13" s="65">
        <f t="shared" si="0"/>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1"/>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4.4999999999999998E-2</v>
      </c>
      <c r="I16" s="91"/>
      <c r="J16" s="91"/>
      <c r="K16" s="92">
        <f>SUM(K6:K15)</f>
        <v>69.099999999999994</v>
      </c>
      <c r="L16" s="93">
        <f>ROUND(M16*10000/SUM(K6:K14),0)</f>
        <v>3039</v>
      </c>
      <c r="M16" s="93">
        <f>SUM(M6:M14)</f>
        <v>21</v>
      </c>
      <c r="N16" s="94">
        <f>ROUND(SUMPRODUCT(M6:M14,N6:N14)/M16,3)</f>
        <v>0.65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2300</v>
      </c>
      <c r="D19" s="2671"/>
      <c r="E19" s="2668"/>
      <c r="F19" s="2668"/>
      <c r="G19" s="2668"/>
      <c r="H19" s="2668"/>
      <c r="I19" s="2668"/>
      <c r="J19" s="2668"/>
      <c r="K19" s="2667"/>
      <c r="L19" s="24"/>
      <c r="M19" s="3460">
        <v>1954</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1.5</v>
      </c>
      <c r="C20" s="2795" t="s">
        <v>2298</v>
      </c>
      <c r="D20" s="2671"/>
      <c r="E20" s="2668"/>
      <c r="F20" s="2668"/>
      <c r="G20" s="2668"/>
      <c r="H20" s="2668"/>
      <c r="I20" s="2668"/>
      <c r="J20" s="2668"/>
      <c r="K20" s="2667"/>
      <c r="L20" s="2667"/>
      <c r="M20" s="3460">
        <f>2023-M19</f>
        <v>69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1.5</v>
      </c>
      <c r="C21" s="2668"/>
      <c r="D21" s="2671"/>
      <c r="E21" s="2668"/>
      <c r="F21" s="2668"/>
      <c r="G21" s="2668"/>
      <c r="H21" s="2668"/>
      <c r="I21" s="2668"/>
      <c r="J21" s="2668"/>
      <c r="K21" s="2667"/>
      <c r="L21" s="2667"/>
      <c r="M21" s="3461">
        <f>1-(M20)/60</f>
        <v>-0.14999999999999991</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1.5</v>
      </c>
      <c r="C22" s="2668"/>
      <c r="D22" s="2671"/>
      <c r="E22" s="2668"/>
      <c r="F22" s="2668"/>
      <c r="G22" s="2668"/>
      <c r="H22" s="2668"/>
      <c r="I22" s="2668"/>
      <c r="J22" s="2668"/>
      <c r="K22" s="2667"/>
      <c r="L22" s="2667"/>
      <c r="M22" s="3462">
        <v>0.9</v>
      </c>
      <c r="N22" s="3446">
        <f>ROUND(AVERAGE(M21:M22),3)</f>
        <v>0.375</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11056</v>
      </c>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3389</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91" t="s">
        <v>2281</v>
      </c>
      <c r="B1" s="3592"/>
      <c r="C1" s="3592"/>
      <c r="D1" s="3592"/>
      <c r="E1" s="3592"/>
      <c r="F1" s="3592"/>
      <c r="G1" s="359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9"/>
      <c r="I2" s="799"/>
      <c r="J2" s="799"/>
      <c r="K2" s="799"/>
      <c r="L2" s="799"/>
      <c r="M2" s="799"/>
      <c r="N2" s="799"/>
      <c r="O2" s="799"/>
      <c r="P2" s="799"/>
      <c r="Q2" s="799"/>
      <c r="R2" s="799"/>
    </row>
    <row r="3" spans="1:29" ht="36">
      <c r="A3" s="2437" t="s">
        <v>2279</v>
      </c>
      <c r="B3" s="2459" t="s">
        <v>2249</v>
      </c>
      <c r="C3" s="3468" t="s">
        <v>3471</v>
      </c>
      <c r="D3" s="2460"/>
      <c r="E3" s="2438" t="s">
        <v>2279</v>
      </c>
      <c r="F3" s="2461" t="s">
        <v>2250</v>
      </c>
      <c r="G3" s="2462" t="s">
        <v>2280</v>
      </c>
      <c r="H3" s="799"/>
      <c r="I3" s="799"/>
      <c r="J3" s="799"/>
      <c r="K3" s="799"/>
      <c r="L3" s="799"/>
      <c r="M3" s="799"/>
      <c r="N3" s="799"/>
      <c r="O3" s="799"/>
      <c r="P3" s="799"/>
      <c r="Q3" s="799"/>
      <c r="R3" s="799"/>
    </row>
    <row r="4" spans="1:29" ht="36.75">
      <c r="A4" s="2438"/>
      <c r="B4" s="323" t="s">
        <v>2251</v>
      </c>
      <c r="C4" s="2463" t="s">
        <v>2252</v>
      </c>
      <c r="D4" s="2460"/>
      <c r="E4" s="2464"/>
      <c r="F4" s="1372" t="s">
        <v>2253</v>
      </c>
      <c r="G4" s="2465" t="s">
        <v>2254</v>
      </c>
      <c r="H4" s="799"/>
      <c r="I4" s="799"/>
      <c r="J4" s="799"/>
      <c r="K4" s="799"/>
      <c r="L4" s="799"/>
      <c r="M4" s="799"/>
      <c r="N4" s="799"/>
      <c r="O4" s="799"/>
      <c r="P4" s="799"/>
      <c r="Q4" s="799"/>
      <c r="R4" s="799"/>
    </row>
    <row r="5" spans="1:29" ht="36.75">
      <c r="A5" s="2438"/>
      <c r="B5" s="323" t="s">
        <v>2255</v>
      </c>
      <c r="C5" s="2463" t="s">
        <v>2256</v>
      </c>
      <c r="D5" s="2460"/>
      <c r="E5" s="2464"/>
      <c r="F5" s="323" t="s">
        <v>2257</v>
      </c>
      <c r="G5" s="2465" t="s">
        <v>2258</v>
      </c>
      <c r="H5" s="799"/>
      <c r="I5" s="799"/>
      <c r="J5" s="799"/>
      <c r="K5" s="799"/>
      <c r="L5" s="799"/>
      <c r="M5" s="799"/>
      <c r="N5" s="799"/>
      <c r="O5" s="799"/>
      <c r="P5" s="799"/>
      <c r="Q5" s="799"/>
      <c r="R5" s="799"/>
    </row>
    <row r="6" spans="1:29" ht="48">
      <c r="A6" s="2438"/>
      <c r="B6" s="323" t="s">
        <v>2259</v>
      </c>
      <c r="C6" s="3469" t="s">
        <v>3472</v>
      </c>
      <c r="D6" s="2460"/>
      <c r="E6" s="2464"/>
      <c r="F6" s="323" t="s">
        <v>2260</v>
      </c>
      <c r="G6" s="2465" t="s">
        <v>2261</v>
      </c>
      <c r="H6" s="799"/>
      <c r="I6" s="799"/>
      <c r="J6" s="799"/>
      <c r="K6" s="799"/>
      <c r="L6" s="799"/>
      <c r="M6" s="799"/>
      <c r="N6" s="799"/>
      <c r="O6" s="799"/>
      <c r="P6" s="799"/>
      <c r="Q6" s="799"/>
      <c r="R6" s="799"/>
    </row>
    <row r="7" spans="1:29" ht="144.75" thickBot="1">
      <c r="A7" s="2438"/>
      <c r="B7" s="323" t="s">
        <v>2257</v>
      </c>
      <c r="C7" s="3469" t="s">
        <v>3473</v>
      </c>
      <c r="D7" s="2466"/>
      <c r="E7" s="2467"/>
      <c r="F7" s="2468" t="s">
        <v>2262</v>
      </c>
      <c r="G7" s="2469" t="s">
        <v>2263</v>
      </c>
      <c r="H7" s="799"/>
      <c r="I7" s="799"/>
      <c r="J7" s="799"/>
      <c r="K7" s="799"/>
      <c r="L7" s="799"/>
      <c r="M7" s="799"/>
      <c r="N7" s="799"/>
      <c r="O7" s="799"/>
      <c r="P7" s="799"/>
      <c r="Q7" s="799"/>
      <c r="R7" s="799"/>
    </row>
    <row r="8" spans="1:29">
      <c r="A8" s="2438"/>
      <c r="B8" s="323" t="s">
        <v>2260</v>
      </c>
      <c r="C8" s="3469" t="s">
        <v>3474</v>
      </c>
      <c r="D8" s="2466"/>
      <c r="E8" s="2466"/>
      <c r="F8" s="2470"/>
      <c r="G8" s="2470"/>
      <c r="H8" s="799"/>
      <c r="I8" s="799"/>
      <c r="J8" s="799"/>
      <c r="K8" s="799"/>
      <c r="L8" s="799"/>
      <c r="M8" s="799"/>
      <c r="N8" s="799"/>
      <c r="O8" s="799"/>
      <c r="P8" s="799"/>
      <c r="Q8" s="799"/>
      <c r="R8" s="799"/>
    </row>
    <row r="9" spans="1:29" ht="60">
      <c r="A9" s="2438"/>
      <c r="B9" s="323" t="s">
        <v>2264</v>
      </c>
      <c r="C9" s="3472" t="s">
        <v>3475</v>
      </c>
      <c r="D9" s="2460"/>
      <c r="E9" s="2466"/>
      <c r="F9" s="2470"/>
      <c r="G9" s="2470"/>
      <c r="H9" s="799"/>
      <c r="I9" s="799"/>
      <c r="J9" s="799"/>
      <c r="K9" s="799"/>
      <c r="L9" s="799"/>
      <c r="M9" s="799"/>
      <c r="N9" s="799"/>
      <c r="O9" s="799"/>
      <c r="P9" s="799"/>
      <c r="Q9" s="799"/>
      <c r="R9" s="799"/>
    </row>
    <row r="10" spans="1:29" s="2476" customFormat="1" ht="15" thickBot="1">
      <c r="A10" s="2439"/>
      <c r="B10" s="2471" t="s">
        <v>2265</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2282</v>
      </c>
      <c r="B13" s="2479"/>
      <c r="C13" s="2479"/>
      <c r="D13" s="2477"/>
      <c r="E13" s="2479"/>
      <c r="F13" s="2479"/>
      <c r="G13" s="2479"/>
    </row>
    <row r="14" spans="1:29" ht="15" thickBot="1">
      <c r="A14" s="2489"/>
      <c r="B14" s="2489"/>
      <c r="C14" s="2490" t="s">
        <v>2266</v>
      </c>
      <c r="D14" s="2460"/>
      <c r="E14" s="2491"/>
      <c r="F14" s="2491"/>
      <c r="G14" s="2456" t="s">
        <v>2267</v>
      </c>
    </row>
    <row r="15" spans="1:29" ht="38.25">
      <c r="A15" s="2440" t="s">
        <v>2268</v>
      </c>
      <c r="B15" s="2492" t="s">
        <v>2249</v>
      </c>
      <c r="C15" s="2493" t="str">
        <f>C3</f>
        <v>周边有三里河一区5号院、月坛西街乙2号院、月坛北小街小区等住宅小区，居住社区成熟度较好。</v>
      </c>
      <c r="D15" s="2460"/>
      <c r="E15" s="2441" t="s">
        <v>2269</v>
      </c>
      <c r="F15" s="2492" t="s">
        <v>2270</v>
      </c>
      <c r="G15" s="2494" t="str">
        <f>G3</f>
        <v>估价对象位于XX开发区，园区建设成熟度XX，产业集聚程度XX</v>
      </c>
    </row>
    <row r="16" spans="1:29" ht="38.25">
      <c r="A16" s="2442"/>
      <c r="B16" s="2495" t="s">
        <v>2251</v>
      </c>
      <c r="C16" s="2496" t="str">
        <f>C4</f>
        <v>估价对象位于XX商圈，周边商业氛围成熟，人流量大，商业繁华度好</v>
      </c>
      <c r="D16" s="2460"/>
      <c r="E16" s="2443"/>
      <c r="F16" s="2497" t="s">
        <v>2253</v>
      </c>
      <c r="G16" s="2498" t="str">
        <f>G4</f>
        <v>估价对象周边道路状况、公共交通通达情况、停车便捷程度，综合评价交通便捷度较好</v>
      </c>
    </row>
    <row r="17" spans="1:18" ht="38.25">
      <c r="A17" s="2442"/>
      <c r="B17" s="2495" t="s">
        <v>2255</v>
      </c>
      <c r="C17" s="2496" t="str">
        <f>C5</f>
        <v>估价对象位于XX商圈，周边办公楼项目较多，入驻率高，办公集聚程度较好</v>
      </c>
      <c r="D17" s="2466"/>
      <c r="E17" s="2443"/>
      <c r="F17" s="2497" t="s">
        <v>2271</v>
      </c>
      <c r="G17" s="2499"/>
    </row>
    <row r="18" spans="1:18" ht="51">
      <c r="A18" s="2442"/>
      <c r="B18" s="2497" t="s">
        <v>2259</v>
      </c>
      <c r="C18" s="2498" t="str">
        <f>C6</f>
        <v>周边有10路、13路、21路、26路、68路等多条公交线路及地铁1号线南礼士路站，综合评价交通便捷度较好</v>
      </c>
      <c r="D18" s="2466"/>
      <c r="E18" s="2443"/>
      <c r="F18" s="2497" t="s">
        <v>2262</v>
      </c>
      <c r="G18" s="2498" t="str">
        <f>G7</f>
        <v>该园区内是否有污染型企业，绿化情况，卫生条件，整体环境状况判断</v>
      </c>
    </row>
    <row r="19" spans="1:18" ht="25.5">
      <c r="A19" s="2442"/>
      <c r="B19" s="2497" t="s">
        <v>2272</v>
      </c>
      <c r="C19" s="2499"/>
      <c r="D19" s="2460"/>
      <c r="E19" s="2443"/>
      <c r="F19" s="323" t="s">
        <v>2257</v>
      </c>
      <c r="G19" s="2498" t="str">
        <f>G5</f>
        <v>估价对象所在区域公共配套设施齐备情况</v>
      </c>
    </row>
    <row r="20" spans="1:18" ht="63.75">
      <c r="A20" s="2442"/>
      <c r="B20" s="2497" t="s">
        <v>2273</v>
      </c>
      <c r="C20" s="2496" t="str">
        <f>C9</f>
        <v>自然环境：月坛公园等自然水系景观；
人文环境：二七剧场等人文场所；
综合评价环境状况较好。</v>
      </c>
      <c r="D20" s="2466"/>
      <c r="E20" s="2443"/>
      <c r="F20" s="323" t="s">
        <v>2260</v>
      </c>
      <c r="G20" s="2498" t="str">
        <f>G6</f>
        <v>估价对象所在区域基础设施水平</v>
      </c>
    </row>
    <row r="21" spans="1:18" ht="153">
      <c r="A21" s="2442"/>
      <c r="B21" s="323" t="s">
        <v>2257</v>
      </c>
      <c r="C21" s="2498" t="str">
        <f>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D21" s="2460"/>
      <c r="E21" s="2443"/>
      <c r="F21" s="2497" t="s">
        <v>2274</v>
      </c>
      <c r="G21" s="2500"/>
    </row>
    <row r="22" spans="1:18" ht="13.5" customHeight="1">
      <c r="A22" s="2442"/>
      <c r="B22" s="323" t="s">
        <v>2260</v>
      </c>
      <c r="C22" s="2498" t="str">
        <f>C8</f>
        <v>估价对象所在区域基础设施水平</v>
      </c>
      <c r="D22" s="2460"/>
      <c r="E22" s="2443"/>
      <c r="F22" s="2497" t="s">
        <v>2265</v>
      </c>
      <c r="G22" s="2499"/>
    </row>
    <row r="23" spans="1:18" s="799" customFormat="1" ht="15" thickBot="1">
      <c r="A23" s="2442"/>
      <c r="B23" s="2497" t="s">
        <v>2274</v>
      </c>
      <c r="C23" s="2500"/>
      <c r="D23" s="1740"/>
      <c r="E23" s="2444"/>
      <c r="F23" s="2501" t="s">
        <v>2275</v>
      </c>
      <c r="G23" s="2502"/>
      <c r="H23" s="2486"/>
      <c r="I23" s="2487"/>
      <c r="J23" s="2486"/>
      <c r="K23" s="2486"/>
      <c r="L23" s="2487"/>
      <c r="M23" s="2486"/>
      <c r="N23" s="2486"/>
      <c r="O23" s="2487"/>
      <c r="P23" s="2486"/>
      <c r="Q23" s="2486"/>
      <c r="R23" s="2488"/>
    </row>
    <row r="24" spans="1:18" s="799" customFormat="1" ht="15" thickBot="1">
      <c r="A24" s="2445"/>
      <c r="B24" s="2501" t="s">
        <v>2276</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69.099999999999994</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45250</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795.19590000000005</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3356</v>
      </c>
      <c r="D10" s="2507" t="s">
        <v>3357</v>
      </c>
      <c r="E10" s="3436"/>
      <c r="F10" s="3440" t="s">
        <v>3358</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69.099999999999994</v>
      </c>
      <c r="C14" s="2513"/>
      <c r="D14" s="2513">
        <f ca="1">ROUND(E14*B14/10000,4)</f>
        <v>795.19590000000005</v>
      </c>
      <c r="E14" s="2513">
        <f ca="1">结果表!G20</f>
        <v>115079</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K28" sqref="K2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3" t="s">
        <v>1265</v>
      </c>
      <c r="B4" s="1754" t="s">
        <v>1266</v>
      </c>
      <c r="C4" s="1755" t="s">
        <v>3394</v>
      </c>
      <c r="D4" s="1755" t="s">
        <v>3399</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607" t="s">
        <v>1268</v>
      </c>
      <c r="B5" s="3594">
        <v>25</v>
      </c>
      <c r="C5" s="3610"/>
      <c r="D5" s="3630"/>
      <c r="E5" s="131" t="s">
        <v>1269</v>
      </c>
      <c r="F5" s="1756"/>
      <c r="G5" s="1756"/>
      <c r="H5" s="1756"/>
      <c r="I5" s="1372"/>
    </row>
    <row r="6" spans="1:12" ht="12.75">
      <c r="A6" s="3607"/>
      <c r="B6" s="3594"/>
      <c r="C6" s="3611"/>
      <c r="D6" s="3630"/>
      <c r="E6" s="131" t="s">
        <v>1270</v>
      </c>
      <c r="F6" s="1756"/>
      <c r="G6" s="1756"/>
      <c r="H6" s="1756"/>
      <c r="I6" s="1372"/>
    </row>
    <row r="7" spans="1:12" ht="12.75">
      <c r="A7" s="3607"/>
      <c r="B7" s="3594"/>
      <c r="C7" s="3612"/>
      <c r="D7" s="3630"/>
      <c r="E7" s="131" t="s">
        <v>1271</v>
      </c>
      <c r="F7" s="1756"/>
      <c r="G7" s="1756"/>
      <c r="H7" s="1756"/>
      <c r="I7" s="1372"/>
    </row>
    <row r="8" spans="1:12" ht="12.75">
      <c r="A8" s="3607" t="s">
        <v>1272</v>
      </c>
      <c r="B8" s="3594">
        <v>15</v>
      </c>
      <c r="C8" s="3610"/>
      <c r="D8" s="3630"/>
      <c r="E8" s="131" t="s">
        <v>1273</v>
      </c>
      <c r="F8" s="1756"/>
      <c r="G8" s="1756"/>
      <c r="H8" s="1756"/>
      <c r="I8" s="1372"/>
    </row>
    <row r="9" spans="1:12" ht="12.75">
      <c r="A9" s="3607"/>
      <c r="B9" s="3594"/>
      <c r="C9" s="3612"/>
      <c r="D9" s="3630"/>
      <c r="E9" s="131" t="s">
        <v>1274</v>
      </c>
      <c r="F9" s="1756"/>
      <c r="G9" s="1756"/>
      <c r="H9" s="1756"/>
      <c r="I9" s="1372"/>
    </row>
    <row r="10" spans="1:12" ht="12.75">
      <c r="A10" s="3607" t="s">
        <v>1275</v>
      </c>
      <c r="B10" s="3594">
        <v>15</v>
      </c>
      <c r="C10" s="3610"/>
      <c r="D10" s="3630"/>
      <c r="E10" s="131" t="s">
        <v>1276</v>
      </c>
      <c r="F10" s="1756"/>
      <c r="G10" s="1756"/>
      <c r="H10" s="1756"/>
      <c r="I10" s="1372"/>
    </row>
    <row r="11" spans="1:12" ht="12.75">
      <c r="A11" s="3607"/>
      <c r="B11" s="3594"/>
      <c r="C11" s="3612"/>
      <c r="D11" s="3630"/>
      <c r="E11" s="131" t="s">
        <v>1277</v>
      </c>
      <c r="F11" s="1756"/>
      <c r="G11" s="1756"/>
      <c r="H11" s="1756"/>
      <c r="I11" s="1372"/>
    </row>
    <row r="12" spans="1:12" ht="12.75">
      <c r="A12" s="3607" t="s">
        <v>1278</v>
      </c>
      <c r="B12" s="3594">
        <v>15</v>
      </c>
      <c r="C12" s="3610"/>
      <c r="D12" s="3630"/>
      <c r="E12" s="131" t="s">
        <v>1279</v>
      </c>
      <c r="F12" s="1756"/>
      <c r="G12" s="1756"/>
      <c r="H12" s="1756"/>
      <c r="I12" s="1372"/>
    </row>
    <row r="13" spans="1:12" ht="12.75">
      <c r="A13" s="3607"/>
      <c r="B13" s="3594"/>
      <c r="C13" s="3612"/>
      <c r="D13" s="3630"/>
      <c r="E13" s="131" t="s">
        <v>1280</v>
      </c>
      <c r="F13" s="1756"/>
      <c r="G13" s="1756"/>
      <c r="H13" s="1756"/>
      <c r="I13" s="1372"/>
    </row>
    <row r="14" spans="1:12" ht="12.75">
      <c r="A14" s="3607" t="s">
        <v>1281</v>
      </c>
      <c r="B14" s="3594">
        <v>30</v>
      </c>
      <c r="C14" s="3610">
        <v>2</v>
      </c>
      <c r="D14" s="3630">
        <f>10-C14</f>
        <v>8</v>
      </c>
      <c r="E14" s="131" t="s">
        <v>1282</v>
      </c>
      <c r="F14" s="1756"/>
      <c r="G14" s="1756"/>
      <c r="H14" s="1756"/>
      <c r="I14" s="1372"/>
    </row>
    <row r="15" spans="1:12" ht="12.75">
      <c r="A15" s="3607"/>
      <c r="B15" s="3594"/>
      <c r="C15" s="3611"/>
      <c r="D15" s="3630"/>
      <c r="E15" s="131" t="s">
        <v>1283</v>
      </c>
      <c r="F15" s="1756"/>
      <c r="G15" s="1756"/>
      <c r="H15" s="1756"/>
      <c r="I15" s="1372"/>
    </row>
    <row r="16" spans="1:12" ht="12.75">
      <c r="A16" s="3607"/>
      <c r="B16" s="3594"/>
      <c r="C16" s="3612"/>
      <c r="D16" s="3630"/>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17" t="s">
        <v>2128</v>
      </c>
      <c r="F18" s="3618"/>
      <c r="G18" s="3618"/>
      <c r="H18" s="3618"/>
      <c r="I18" s="3618"/>
      <c r="K18" s="302" t="s">
        <v>1289</v>
      </c>
      <c r="L18" s="302">
        <f>IF(C1="",'数据-汇总表'!E3,SUMIF(项目类型,C1,'数据-汇总表'!E17:E26)+SUMIF(项目类型,C1,'数据-汇总表'!I17:I26))</f>
        <v>69.099999999999994</v>
      </c>
      <c r="M18" s="302">
        <f>IF(C1="",'数据-汇总表'!E3,SUMIF(项目类型,C1,'数据-汇总表'!E17:E26))</f>
        <v>69.099999999999994</v>
      </c>
    </row>
    <row r="19" spans="1:36" ht="15">
      <c r="A19" s="1760" t="s">
        <v>1290</v>
      </c>
      <c r="B19" s="1761" t="s">
        <v>1291</v>
      </c>
      <c r="C19" s="134">
        <f ca="1">SUMIF(INDIRECT("'"&amp;C4&amp;"'"&amp;"!A:A"),结果表!B19,INDIRECT("'"&amp;C4&amp;"'"&amp;"!B:B"))</f>
        <v>567.45600000000002</v>
      </c>
      <c r="D19" s="135">
        <f ca="1">SUMIF(INDIRECT("'"&amp;D4&amp;"'"&amp;"!A:A"),结果表!B19,INDIRECT("'"&amp;D4&amp;"'"&amp;"!B:B"))</f>
        <v>852.12739999999997</v>
      </c>
      <c r="E19" s="1760" t="s">
        <v>1292</v>
      </c>
      <c r="F19" s="1761" t="s">
        <v>1291</v>
      </c>
      <c r="G19" s="3478">
        <f ca="1">ROUND((G20*'数据-基础表'!I13)/10000,4)</f>
        <v>795.19590000000005</v>
      </c>
      <c r="H19" s="1762" t="s">
        <v>1293</v>
      </c>
      <c r="I19" s="129">
        <f ca="1">G20*69.1/10000</f>
        <v>795.19588999999996</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82121</v>
      </c>
      <c r="D20" s="138">
        <f ca="1">SUMIF(INDIRECT("'"&amp;D4&amp;"'"&amp;"!A:A"),结果表!B20,INDIRECT("'"&amp;D4&amp;"'"&amp;"!B:B"))</f>
        <v>123318</v>
      </c>
      <c r="E20" s="1763"/>
      <c r="F20" s="1026" t="s">
        <v>1295</v>
      </c>
      <c r="G20" s="139">
        <f ca="1">ROUND(C20*$C$18+D20*$D$18,0)</f>
        <v>115079</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0.50166250775390497</v>
      </c>
      <c r="E22" s="129"/>
      <c r="F22" s="129"/>
      <c r="G22" s="129"/>
      <c r="H22" s="129"/>
      <c r="I22" s="129"/>
    </row>
    <row r="23" spans="1:36" ht="13.5" thickBot="1">
      <c r="A23" s="1746"/>
      <c r="B23" s="1746"/>
      <c r="C23" s="1746"/>
      <c r="D23" s="1746"/>
      <c r="E23" s="129"/>
      <c r="F23" s="129"/>
      <c r="G23" s="129"/>
      <c r="H23" s="129"/>
      <c r="I23" s="129"/>
    </row>
    <row r="24" spans="1:36" ht="14.25">
      <c r="A24" s="3601" t="s">
        <v>1299</v>
      </c>
      <c r="B24" s="1761" t="s">
        <v>1291</v>
      </c>
      <c r="C24" s="136">
        <f>IF(B30=0,0,D30)</f>
        <v>0</v>
      </c>
      <c r="D24" s="1768"/>
      <c r="E24" s="129"/>
      <c r="F24" s="129"/>
      <c r="G24" s="129">
        <f ca="1">系统读取表!D14</f>
        <v>795.19590000000005</v>
      </c>
      <c r="H24" s="129"/>
      <c r="I24" s="129"/>
    </row>
    <row r="25" spans="1:36" ht="14.25">
      <c r="A25" s="360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3484" t="s">
        <v>3458</v>
      </c>
      <c r="B27" s="142">
        <f>'数据-基础表'!I13</f>
        <v>69.099999999999994</v>
      </c>
      <c r="C27" s="142">
        <v>15.6</v>
      </c>
      <c r="D27" s="143">
        <f>ROUND(C27*B27,0)</f>
        <v>1078</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f ca="1">ROUND(D30*10000/B27,0)</f>
        <v>115063</v>
      </c>
      <c r="D30" s="3485">
        <f ca="1">ROUND((G19*10000-D27)/10000,4)</f>
        <v>795.08810000000005</v>
      </c>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115079</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1" t="s">
        <v>1312</v>
      </c>
      <c r="B36" s="1786" t="s">
        <v>1313</v>
      </c>
      <c r="C36" s="145"/>
      <c r="D36" s="1787"/>
      <c r="E36" s="1788"/>
      <c r="F36" s="1789"/>
      <c r="G36" s="129"/>
      <c r="H36" s="129"/>
      <c r="I36" s="129"/>
    </row>
    <row r="37" spans="1:15" ht="15.75" thickBot="1">
      <c r="A37" s="3622"/>
      <c r="B37" s="1673" t="s">
        <v>1314</v>
      </c>
      <c r="C37" s="147"/>
      <c r="D37" s="1139"/>
      <c r="E37" s="1139"/>
      <c r="F37" s="1789"/>
      <c r="G37" s="129"/>
      <c r="H37" s="129"/>
      <c r="I37" s="129"/>
    </row>
    <row r="38" spans="1:15" ht="15.75" thickBot="1">
      <c r="A38" s="362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8" t="s">
        <v>1326</v>
      </c>
      <c r="B45" s="3599"/>
      <c r="C45" s="3600"/>
      <c r="D45" s="155" t="e">
        <f ca="1">ROUND(H101*F45,0)</f>
        <v>#REF!</v>
      </c>
      <c r="E45" s="156" t="s">
        <v>1327</v>
      </c>
      <c r="F45" s="157">
        <v>1</v>
      </c>
      <c r="G45" s="158" t="s">
        <v>1328</v>
      </c>
      <c r="H45" s="129"/>
      <c r="I45" s="129"/>
      <c r="J45" s="3676" t="s">
        <v>1329</v>
      </c>
      <c r="K45" s="3676"/>
      <c r="L45" s="3676"/>
      <c r="M45" s="3676"/>
      <c r="N45" s="3676"/>
      <c r="O45" s="3676"/>
    </row>
    <row r="46" spans="1:15" ht="14.25" customHeight="1">
      <c r="A46" s="3595" t="s">
        <v>1330</v>
      </c>
      <c r="B46" s="3596"/>
      <c r="C46" s="3596"/>
      <c r="D46" s="3596"/>
      <c r="E46" s="3596"/>
      <c r="F46" s="3596"/>
      <c r="G46" s="3597"/>
      <c r="H46" s="1805"/>
      <c r="I46" s="159"/>
      <c r="J46" s="2518">
        <v>1</v>
      </c>
      <c r="K46" s="3657" t="s">
        <v>1331</v>
      </c>
      <c r="L46" s="3657"/>
      <c r="M46" s="3677"/>
      <c r="N46" s="3677"/>
      <c r="O46" s="3677"/>
    </row>
    <row r="47" spans="1:15" ht="12" customHeight="1">
      <c r="A47" s="160" t="s">
        <v>1332</v>
      </c>
      <c r="B47" s="161"/>
      <c r="C47" s="162"/>
      <c r="D47" s="1087" t="s">
        <v>1333</v>
      </c>
      <c r="E47" s="302" t="s">
        <v>1334</v>
      </c>
      <c r="F47" s="163" t="s">
        <v>1335</v>
      </c>
      <c r="G47" s="2541" t="s">
        <v>1336</v>
      </c>
      <c r="H47" s="2542"/>
      <c r="I47" s="159"/>
      <c r="J47" s="2518">
        <v>2</v>
      </c>
      <c r="K47" s="3657" t="s">
        <v>1337</v>
      </c>
      <c r="L47" s="3657"/>
      <c r="M47" s="3678">
        <f>'数据-取费表'!B2</f>
        <v>45250</v>
      </c>
      <c r="N47" s="3678"/>
      <c r="O47" s="3678"/>
    </row>
    <row r="48" spans="1:15" ht="25.5">
      <c r="A48" s="3626" t="s">
        <v>1338</v>
      </c>
      <c r="B48" s="3609"/>
      <c r="C48" s="3609"/>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657" t="s">
        <v>1340</v>
      </c>
      <c r="L48" s="3657"/>
      <c r="M48" s="3679" t="e">
        <f ca="1">H101</f>
        <v>#REF!</v>
      </c>
      <c r="N48" s="3679"/>
      <c r="O48" s="3679"/>
    </row>
    <row r="49" spans="1:35" ht="25.5" customHeight="1">
      <c r="A49" s="2329" t="s">
        <v>1341</v>
      </c>
      <c r="B49" s="3593" t="s">
        <v>1342</v>
      </c>
      <c r="C49" s="3593"/>
      <c r="D49" s="1589">
        <v>0</v>
      </c>
      <c r="E49" s="324" t="s">
        <v>1343</v>
      </c>
      <c r="F49" s="2420" t="s">
        <v>28</v>
      </c>
      <c r="G49" s="3663"/>
      <c r="H49" s="2306" t="s">
        <v>2131</v>
      </c>
      <c r="I49" s="2307"/>
      <c r="J49" s="2518">
        <v>4</v>
      </c>
      <c r="K49" s="3657" t="str">
        <f>IF(项目基本情况!E8="房地产抵押价值","房地产抵押价值","抵押担保权已注销时的房地产抵押价值")</f>
        <v>抵押担保权已注销时的房地产抵押价值</v>
      </c>
      <c r="L49" s="3657"/>
      <c r="M49" s="3679" t="str">
        <f>IF(项目基本情况!E8="房地产抵押价值",H107,H109)</f>
        <v>——</v>
      </c>
      <c r="N49" s="3679"/>
      <c r="O49" s="3679"/>
    </row>
    <row r="50" spans="1:35" ht="25.5" customHeight="1">
      <c r="A50" s="2546"/>
      <c r="B50" s="3593" t="s">
        <v>1344</v>
      </c>
      <c r="C50" s="3593"/>
      <c r="D50" s="2547"/>
      <c r="E50" s="332"/>
      <c r="F50" s="2420"/>
      <c r="G50" s="3664"/>
      <c r="H50" s="2308" t="s">
        <v>2132</v>
      </c>
      <c r="I50" s="2307"/>
      <c r="J50" s="3676" t="s">
        <v>1345</v>
      </c>
      <c r="K50" s="3676"/>
      <c r="L50" s="3676"/>
      <c r="M50" s="3676"/>
      <c r="N50" s="3676"/>
      <c r="O50" s="3676"/>
    </row>
    <row r="51" spans="1:35" ht="20.45" customHeight="1">
      <c r="A51" s="2548"/>
      <c r="B51" s="3593" t="s">
        <v>1346</v>
      </c>
      <c r="C51" s="3593"/>
      <c r="D51" s="1087"/>
      <c r="E51" s="327"/>
      <c r="F51" s="2420"/>
      <c r="G51" s="3665"/>
      <c r="H51" s="2308" t="s">
        <v>2133</v>
      </c>
      <c r="I51" s="2307"/>
      <c r="J51" s="2519" t="s">
        <v>1347</v>
      </c>
      <c r="K51" s="3657" t="s">
        <v>1348</v>
      </c>
      <c r="L51" s="3657"/>
      <c r="M51" s="2519" t="s">
        <v>1349</v>
      </c>
      <c r="N51" s="2519" t="s">
        <v>1350</v>
      </c>
      <c r="O51" s="2519" t="s">
        <v>1351</v>
      </c>
    </row>
    <row r="52" spans="1:35" ht="24" customHeight="1">
      <c r="A52" s="2331" t="s">
        <v>1352</v>
      </c>
      <c r="B52" s="3593" t="s">
        <v>1353</v>
      </c>
      <c r="C52" s="3593"/>
      <c r="D52" s="1087" t="e">
        <f ca="1">ROUND(D45*'数据-取费表'!B41/(1+'数据-取费表'!C42),0)</f>
        <v>#REF!</v>
      </c>
      <c r="E52" s="2330" t="s">
        <v>1354</v>
      </c>
      <c r="F52" s="2549">
        <f>'数据-取费表'!B41</f>
        <v>5.6000000000000001E-2</v>
      </c>
      <c r="G52" s="2550"/>
      <c r="H52" s="2539"/>
      <c r="I52" s="1806"/>
      <c r="J52" s="2518">
        <v>1</v>
      </c>
      <c r="K52" s="3658" t="s">
        <v>1355</v>
      </c>
      <c r="L52" s="3658"/>
      <c r="M52" s="2520" t="b">
        <f>D48</f>
        <v>0</v>
      </c>
      <c r="N52" s="2518" t="str">
        <f>E48</f>
        <v>销售额×税（费）率</v>
      </c>
      <c r="O52" s="2521">
        <f>F48</f>
        <v>5.6000000000000001E-2</v>
      </c>
    </row>
    <row r="53" spans="1:35" ht="12" customHeight="1">
      <c r="A53" s="2331" t="s">
        <v>1356</v>
      </c>
      <c r="B53" s="3619" t="s">
        <v>2286</v>
      </c>
      <c r="C53" s="3620"/>
      <c r="D53" s="1087" t="e">
        <f ca="1">ROUND(D45*'数据-取费表'!B41/(1+'数据-取费表'!C42),0)</f>
        <v>#REF!</v>
      </c>
      <c r="E53" s="2330" t="s">
        <v>1354</v>
      </c>
      <c r="F53" s="2549">
        <f>'数据-取费表'!B41</f>
        <v>5.6000000000000001E-2</v>
      </c>
      <c r="G53" s="2550"/>
      <c r="H53" s="2539"/>
      <c r="I53" s="1806"/>
      <c r="J53" s="2518">
        <v>2</v>
      </c>
      <c r="K53" s="3658" t="s">
        <v>1357</v>
      </c>
      <c r="L53" s="3658"/>
      <c r="M53" s="2520" t="e">
        <f t="shared" ref="M53:O54" ca="1" si="0">D55</f>
        <v>#REF!</v>
      </c>
      <c r="N53" s="2518" t="str">
        <f t="shared" si="0"/>
        <v>销售额×税（费）率</v>
      </c>
      <c r="O53" s="2521" t="str">
        <f t="shared" si="0"/>
        <v>免征</v>
      </c>
    </row>
    <row r="54" spans="1:35" ht="12" customHeight="1">
      <c r="A54" s="2331" t="s">
        <v>1358</v>
      </c>
      <c r="B54" s="3619" t="s">
        <v>2287</v>
      </c>
      <c r="C54" s="3620"/>
      <c r="D54" s="1087" t="e">
        <f ca="1">C68</f>
        <v>#REF!</v>
      </c>
      <c r="E54" s="327" t="s">
        <v>1359</v>
      </c>
      <c r="F54" s="2549">
        <f>'数据-取费表'!B41</f>
        <v>5.6000000000000001E-2</v>
      </c>
      <c r="G54" s="2550"/>
      <c r="H54" s="2551"/>
      <c r="I54" s="1806"/>
      <c r="J54" s="2518">
        <v>3</v>
      </c>
      <c r="K54" s="3658" t="s">
        <v>1360</v>
      </c>
      <c r="L54" s="3658"/>
      <c r="M54" s="2520" t="e">
        <f t="shared" ca="1" si="0"/>
        <v>#REF!</v>
      </c>
      <c r="N54" s="2518" t="str">
        <f t="shared" si="0"/>
        <v>增值额×税（费）率</v>
      </c>
      <c r="O54" s="2522" t="str">
        <f t="shared" si="0"/>
        <v>免征</v>
      </c>
    </row>
    <row r="55" spans="1:35" ht="24" customHeight="1">
      <c r="A55" s="3608" t="s">
        <v>1361</v>
      </c>
      <c r="B55" s="3609"/>
      <c r="C55" s="3609"/>
      <c r="D55" s="2320" t="e">
        <f ca="1">IF(H55="个人住宅",0,ROUND(D45*I55,0))</f>
        <v>#REF!</v>
      </c>
      <c r="E55" s="2330" t="s">
        <v>1362</v>
      </c>
      <c r="F55" s="2549" t="str">
        <f>IF(H55="正常",I55,"免征")</f>
        <v>免征</v>
      </c>
      <c r="G55" s="2550"/>
      <c r="H55" s="2545"/>
      <c r="I55" s="165">
        <f>'数据-取费表'!B49</f>
        <v>5.0000000000000001E-4</v>
      </c>
      <c r="J55" s="2518">
        <f>IF(H59="非个人房产","",4)</f>
        <v>4</v>
      </c>
      <c r="K55" s="3658" t="str">
        <f>IF(H59="非个人房产","——","个人所得税")</f>
        <v>个人所得税</v>
      </c>
      <c r="L55" s="3658"/>
      <c r="M55" s="2523" t="e">
        <f ca="1">D59</f>
        <v>#REF!</v>
      </c>
      <c r="N55" s="2036" t="str">
        <f>E59</f>
        <v>差额计税</v>
      </c>
      <c r="O55" s="2524">
        <f>F59</f>
        <v>0.01</v>
      </c>
    </row>
    <row r="56" spans="1:35" ht="24.75">
      <c r="A56" s="3608" t="s">
        <v>1363</v>
      </c>
      <c r="B56" s="3609"/>
      <c r="C56" s="3609"/>
      <c r="D56" s="2320" t="e">
        <f ca="1">IF(H56="个人住宅",D57,D58)</f>
        <v>#REF!</v>
      </c>
      <c r="E56" s="2330" t="s">
        <v>1364</v>
      </c>
      <c r="F56" s="2549" t="str">
        <f>IF(H56="正常",F58,"免征")</f>
        <v>免征</v>
      </c>
      <c r="G56" s="2552" t="s">
        <v>1365</v>
      </c>
      <c r="H56" s="2553"/>
      <c r="I56" s="1807"/>
      <c r="J56" s="2518" t="str">
        <f>IF(项目基本情况!K6="上海银行",IF(J55="",4,J55+1),"")</f>
        <v/>
      </c>
      <c r="K56" s="3681" t="str">
        <f>IF(项目基本情况!K6="上海银行","其他处置费用","")</f>
        <v/>
      </c>
      <c r="L56" s="3682"/>
      <c r="M56" s="2520" t="str">
        <f>IF(项目基本情况!K6="上海银行",M69,"")</f>
        <v/>
      </c>
      <c r="N56" s="3681" t="str">
        <f>IF(项目基本情况!K6="上海银行","包含处置中涉及的律师、诉讼、拍卖、评估等费用","")</f>
        <v/>
      </c>
      <c r="O56" s="3684"/>
    </row>
    <row r="57" spans="1:35" ht="12.75">
      <c r="A57" s="2331" t="s">
        <v>1341</v>
      </c>
      <c r="B57" s="3619" t="s">
        <v>1366</v>
      </c>
      <c r="C57" s="3620"/>
      <c r="D57" s="1589">
        <v>0</v>
      </c>
      <c r="E57" s="324" t="s">
        <v>1343</v>
      </c>
      <c r="F57" s="302"/>
      <c r="G57" s="2550"/>
      <c r="H57" s="2554"/>
      <c r="I57" s="1807"/>
      <c r="J57" s="3658">
        <f>IF(AND(J55="",J56=""),4,IF(项目基本情况!K6="上海银行",结果表!J56+1,结果表!J55+1))</f>
        <v>5</v>
      </c>
      <c r="K57" s="3658" t="s">
        <v>1367</v>
      </c>
      <c r="L57" s="2525" t="s">
        <v>1368</v>
      </c>
      <c r="M57" s="2526"/>
      <c r="N57" s="2527">
        <f ca="1">SUMIF(M52:M56,"&lt;9e307")</f>
        <v>0</v>
      </c>
      <c r="O57" s="2528"/>
      <c r="P57" s="2685" t="e">
        <f ca="1">N57/M49</f>
        <v>#VALUE!</v>
      </c>
    </row>
    <row r="58" spans="1:35" ht="24.75">
      <c r="A58" s="2331" t="s">
        <v>1352</v>
      </c>
      <c r="B58" s="3619" t="s">
        <v>1369</v>
      </c>
      <c r="C58" s="3593"/>
      <c r="D58" s="2320" t="e">
        <f ca="1">IF(H58="转让取得",C81,C97)</f>
        <v>#REF!</v>
      </c>
      <c r="E58" s="2330" t="s">
        <v>1364</v>
      </c>
      <c r="F58" s="302" t="s">
        <v>28</v>
      </c>
      <c r="G58" s="2550"/>
      <c r="H58" s="2553"/>
      <c r="I58" s="1807"/>
      <c r="J58" s="3658"/>
      <c r="K58" s="3658"/>
      <c r="L58" s="2525" t="s">
        <v>1370</v>
      </c>
      <c r="M58" s="2529"/>
      <c r="N58" s="2530" t="str">
        <f ca="1">NUMBERSTRING(INT(N57*10000),2)&amp;"元整"</f>
        <v>零元整</v>
      </c>
      <c r="O58" s="2531"/>
    </row>
    <row r="59" spans="1:35" ht="24.75" thickBot="1">
      <c r="A59" s="3661" t="s">
        <v>1371</v>
      </c>
      <c r="B59" s="3662"/>
      <c r="C59" s="3662"/>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2134</v>
      </c>
      <c r="J59" s="3659">
        <f>J57+1</f>
        <v>6</v>
      </c>
      <c r="K59" s="3658" t="s">
        <v>1372</v>
      </c>
      <c r="L59" s="2518" t="s">
        <v>1368</v>
      </c>
      <c r="M59" s="2532"/>
      <c r="N59" s="2533" t="e">
        <f ca="1">M49-N57</f>
        <v>#VALUE!</v>
      </c>
      <c r="O59" s="2534"/>
    </row>
    <row r="60" spans="1:35" ht="12" customHeight="1">
      <c r="A60" s="1808"/>
      <c r="B60" s="1746"/>
      <c r="C60" s="1746"/>
      <c r="D60" s="1746"/>
      <c r="E60" s="1577"/>
      <c r="F60" s="1807"/>
      <c r="G60" s="1807"/>
      <c r="H60" s="1809"/>
      <c r="I60" s="129"/>
      <c r="J60" s="3660"/>
      <c r="K60" s="3658"/>
      <c r="L60" s="2525" t="s">
        <v>1370</v>
      </c>
      <c r="M60" s="2529"/>
      <c r="N60" s="2530" t="e">
        <f ca="1">NUMBERSTRING(INT(N59*10000),2)&amp;"元整"</f>
        <v>#VALUE!</v>
      </c>
      <c r="O60" s="2531"/>
    </row>
    <row r="61" spans="1:35" ht="13.5" thickBot="1">
      <c r="A61" s="3606" t="s">
        <v>1373</v>
      </c>
      <c r="B61" s="3606"/>
      <c r="C61" s="3606"/>
      <c r="D61" s="3606"/>
      <c r="E61" s="3606"/>
      <c r="F61" s="1807"/>
      <c r="G61" s="1807"/>
      <c r="H61" s="1809"/>
      <c r="I61" s="129"/>
      <c r="J61" s="2518">
        <f>J59+1</f>
        <v>7</v>
      </c>
      <c r="K61" s="3658" t="s">
        <v>1374</v>
      </c>
      <c r="L61" s="3658"/>
      <c r="M61" s="2535"/>
      <c r="N61" s="2536" t="e">
        <f ca="1">ROUND(N59*10000/'数据-汇总表'!E3,0)</f>
        <v>#VALUE!</v>
      </c>
      <c r="O61" s="2537"/>
    </row>
    <row r="62" spans="1:35" ht="12.75">
      <c r="A62" s="3624" t="s">
        <v>1375</v>
      </c>
      <c r="B62" s="3625"/>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683"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68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ROUND(L64,1)</f>
        <v>#VALUE!</v>
      </c>
      <c r="N64" s="2539" t="s">
        <v>1383</v>
      </c>
      <c r="Z64" s="1751"/>
      <c r="AI64" s="1752"/>
    </row>
    <row r="65" spans="1:35" ht="14.25" customHeight="1">
      <c r="A65" s="169" t="s">
        <v>326</v>
      </c>
      <c r="B65" s="170" t="s">
        <v>1384</v>
      </c>
      <c r="C65" s="2561"/>
      <c r="D65" s="170"/>
      <c r="E65" s="172"/>
      <c r="F65" s="1807"/>
      <c r="G65" s="1807"/>
      <c r="H65" s="1809"/>
      <c r="I65" s="129"/>
      <c r="J65" s="3683"/>
      <c r="K65" s="1331" t="s">
        <v>1385</v>
      </c>
      <c r="L65" s="1331" t="e">
        <f>IF(M49&gt;1000,M49*0.1%,IF(AND(M49&gt;500,M49&lt;=1000),M49*0.5%,IF(AND(M49&gt;50,M49&lt;=500),M49*1%,IF(AND(M49&gt;1,M49&lt;=50),M49*1.5%))))</f>
        <v>#VALUE!</v>
      </c>
      <c r="M65" s="302" t="e">
        <f>ROUND(L65,1)</f>
        <v>#VALUE!</v>
      </c>
      <c r="N65" s="2539" t="s">
        <v>1383</v>
      </c>
      <c r="Z65" s="1751"/>
      <c r="AI65" s="1752"/>
    </row>
    <row r="66" spans="1:35" ht="14.25" customHeight="1">
      <c r="A66" s="173" t="s">
        <v>327</v>
      </c>
      <c r="B66" s="174" t="s">
        <v>1386</v>
      </c>
      <c r="C66" s="2562"/>
      <c r="D66" s="174" t="s">
        <v>26</v>
      </c>
      <c r="E66" s="1337" t="s">
        <v>671</v>
      </c>
      <c r="F66" s="1807"/>
      <c r="G66" s="1807"/>
      <c r="H66" s="1809"/>
      <c r="I66" s="129"/>
      <c r="J66" s="3683"/>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68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683"/>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683"/>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5" t="s">
        <v>1394</v>
      </c>
      <c r="B70" s="3646"/>
      <c r="C70" s="3646"/>
      <c r="D70" s="3646"/>
      <c r="E70" s="3646"/>
      <c r="F70" s="3646"/>
      <c r="G70" s="3646"/>
      <c r="H70" s="3646"/>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4" t="s">
        <v>1375</v>
      </c>
      <c r="B71" s="3625"/>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19" t="s">
        <v>1402</v>
      </c>
      <c r="F76" s="3593"/>
      <c r="G76" s="3593"/>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603" t="s">
        <v>1406</v>
      </c>
      <c r="F78" s="3604"/>
      <c r="G78" s="3604"/>
      <c r="H78" s="361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5" t="s">
        <v>1410</v>
      </c>
      <c r="B83" s="3646"/>
      <c r="C83" s="3646"/>
      <c r="D83" s="3646"/>
      <c r="E83" s="3646"/>
      <c r="F83" s="3646"/>
      <c r="G83" s="3646"/>
      <c r="H83" s="364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4" t="s">
        <v>1375</v>
      </c>
      <c r="B84" s="3625"/>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85" t="s">
        <v>2126</v>
      </c>
      <c r="H90" s="3686"/>
      <c r="I90" s="1820"/>
      <c r="J90" s="2516"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603" t="s">
        <v>1419</v>
      </c>
      <c r="F91" s="3604"/>
      <c r="G91" s="360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603" t="s">
        <v>1422</v>
      </c>
      <c r="F92" s="3604"/>
      <c r="G92" s="3604"/>
      <c r="H92" s="3613"/>
      <c r="I92" s="1820"/>
      <c r="J92" s="2517"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603" t="s">
        <v>1406</v>
      </c>
      <c r="F93" s="3604"/>
      <c r="G93" s="3604"/>
      <c r="H93" s="361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14" t="s">
        <v>1426</v>
      </c>
      <c r="F94" s="3615"/>
      <c r="G94" s="3615"/>
      <c r="H94" s="361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7" t="s">
        <v>1428</v>
      </c>
      <c r="B100" s="3588"/>
      <c r="C100" s="3588"/>
      <c r="D100" s="3605"/>
      <c r="E100" s="3588" t="s">
        <v>1429</v>
      </c>
      <c r="F100" s="3588"/>
      <c r="G100" s="3588"/>
      <c r="H100" s="3605"/>
      <c r="I100" s="129"/>
    </row>
    <row r="101" spans="1:35" ht="18.75" customHeight="1">
      <c r="A101" s="3666" t="s">
        <v>1430</v>
      </c>
      <c r="B101" s="3667"/>
      <c r="C101" s="2580" t="str">
        <f>C4</f>
        <v>收益法 (元)</v>
      </c>
      <c r="D101" s="2581" t="str">
        <f>D4</f>
        <v>比较法-住宅</v>
      </c>
      <c r="E101" s="3680" t="s">
        <v>1431</v>
      </c>
      <c r="F101" s="3637"/>
      <c r="G101" s="1826" t="s">
        <v>1432</v>
      </c>
      <c r="H101" s="2590" t="e">
        <f ca="1">H118</f>
        <v>#REF!</v>
      </c>
      <c r="I101" s="129"/>
    </row>
    <row r="102" spans="1:35" ht="18.75" customHeight="1">
      <c r="A102" s="3639" t="s">
        <v>1433</v>
      </c>
      <c r="B102" s="2579" t="s">
        <v>1432</v>
      </c>
      <c r="C102" s="2580">
        <f ca="1">IF(D32="楼面单价",ROUND(C19,0),C19)</f>
        <v>567.45600000000002</v>
      </c>
      <c r="D102" s="2581">
        <f ca="1">IF(D32="楼面单价",ROUND(D19,0),D19)</f>
        <v>852.12739999999997</v>
      </c>
      <c r="E102" s="3680"/>
      <c r="F102" s="3637"/>
      <c r="G102" s="1826" t="s">
        <v>1434</v>
      </c>
      <c r="H102" s="2550" t="e">
        <f ca="1">I118</f>
        <v>#REF!</v>
      </c>
      <c r="I102" s="129"/>
    </row>
    <row r="103" spans="1:35" ht="42.75" customHeight="1">
      <c r="A103" s="3639"/>
      <c r="B103" s="2579" t="s">
        <v>1434</v>
      </c>
      <c r="C103" s="2582">
        <f ca="1">C20</f>
        <v>82121</v>
      </c>
      <c r="D103" s="2583">
        <f ca="1">D20</f>
        <v>123318</v>
      </c>
      <c r="E103" s="3674" t="s">
        <v>1435</v>
      </c>
      <c r="F103" s="3675"/>
      <c r="G103" s="1827" t="s">
        <v>1436</v>
      </c>
      <c r="H103" s="2590">
        <f>IF(D36="正常操作",H104+H105+H106,H105+H106)</f>
        <v>0</v>
      </c>
      <c r="I103" s="129"/>
    </row>
    <row r="104" spans="1:35" ht="18.75" customHeight="1">
      <c r="A104" s="3639"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40"/>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36" t="str">
        <f>IF(项目基本情况!E8="已注销","——","3.房地产抵押价值")</f>
        <v>3.房地产抵押价值</v>
      </c>
      <c r="F107" s="3637"/>
      <c r="G107" s="1826" t="s">
        <v>1432</v>
      </c>
      <c r="H107" s="2590" t="e">
        <f ca="1">IF(E107="——","——",H101-H103)</f>
        <v>#REF!</v>
      </c>
      <c r="I107" s="129"/>
    </row>
    <row r="108" spans="1:35" ht="18.75" customHeight="1">
      <c r="A108" s="129"/>
      <c r="B108" s="129"/>
      <c r="C108" s="129"/>
      <c r="D108" s="129"/>
      <c r="E108" s="3636"/>
      <c r="F108" s="3637"/>
      <c r="G108" s="1826" t="s">
        <v>1434</v>
      </c>
      <c r="H108" s="2550">
        <f ca="1">IF(H107=H101,H102,ROUND(H107*10000/'数据-汇总表'!E3,0))</f>
        <v>0</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37"/>
      <c r="G109" s="1826" t="s">
        <v>1432</v>
      </c>
      <c r="H109" s="2593" t="str">
        <f>IF(E109="——","——",H101-H105-H106)</f>
        <v>——</v>
      </c>
      <c r="I109" s="129"/>
    </row>
    <row r="110" spans="1:35" ht="18.75" customHeight="1">
      <c r="A110" s="129"/>
      <c r="B110" s="129"/>
      <c r="C110" s="129"/>
      <c r="D110" s="129"/>
      <c r="E110" s="3636"/>
      <c r="F110" s="3637"/>
      <c r="G110" s="1826" t="s">
        <v>1434</v>
      </c>
      <c r="H110" s="2550" t="str">
        <f>IF(H109="——","——",ROUND(H109*10000/'数据-汇总表'!E3,0))</f>
        <v>——</v>
      </c>
      <c r="I110" s="129"/>
    </row>
    <row r="111" spans="1:35" ht="18.75" customHeight="1">
      <c r="A111" s="129"/>
      <c r="B111" s="129"/>
      <c r="C111" s="129"/>
      <c r="D111" s="129"/>
      <c r="E111" s="3668" t="str">
        <f>IF(项目基本情况!E9="抵押净值",IF(OR(项目基本情况!E8="已注销",项目基本情况!E8="房地产抵押价值"),"4.抵押净值","5.抵押净值"),"——")</f>
        <v>——</v>
      </c>
      <c r="F111" s="3638"/>
      <c r="G111" s="1826" t="s">
        <v>1432</v>
      </c>
      <c r="H111" s="2590" t="str">
        <f>IF(E111="——","——",N59)</f>
        <v>——</v>
      </c>
      <c r="I111" s="129"/>
    </row>
    <row r="112" spans="1:35" ht="18.75" customHeight="1" thickBot="1">
      <c r="A112" s="129"/>
      <c r="B112" s="129"/>
      <c r="C112" s="129"/>
      <c r="D112" s="129"/>
      <c r="E112" s="3669"/>
      <c r="F112" s="3670"/>
      <c r="G112" s="1829" t="s">
        <v>1434</v>
      </c>
      <c r="H112" s="2594" t="str">
        <f>IF(E111="——","——",N61)</f>
        <v>——</v>
      </c>
      <c r="I112" s="129"/>
    </row>
    <row r="113" spans="1:27" ht="18.75" customHeight="1">
      <c r="A113" s="129"/>
      <c r="B113" s="129"/>
      <c r="C113" s="129"/>
      <c r="D113" s="129"/>
      <c r="E113" s="3641" t="s">
        <v>1440</v>
      </c>
      <c r="F113" s="3641"/>
      <c r="G113" s="3641"/>
      <c r="H113" s="3641"/>
      <c r="I113" s="129"/>
    </row>
    <row r="114" spans="1:27" ht="3.75" customHeight="1">
      <c r="A114" s="1746"/>
      <c r="B114" s="1746"/>
      <c r="C114" s="1746"/>
      <c r="D114" s="1746"/>
      <c r="E114" s="1808"/>
      <c r="F114" s="1808"/>
      <c r="G114" s="1808"/>
      <c r="H114" s="1808"/>
      <c r="I114" s="1746"/>
    </row>
    <row r="115" spans="1:27" ht="18.75" customHeight="1">
      <c r="A115" s="3651" t="s">
        <v>1442</v>
      </c>
      <c r="B115" s="3652"/>
      <c r="C115" s="3652"/>
      <c r="D115" s="3652"/>
      <c r="E115" s="3652"/>
      <c r="F115" s="3652"/>
      <c r="G115" s="3652"/>
      <c r="H115" s="3652"/>
      <c r="I115" s="3653"/>
    </row>
    <row r="116" spans="1:27" ht="27" customHeight="1">
      <c r="A116" s="3607" t="s">
        <v>1443</v>
      </c>
      <c r="B116" s="3642" t="s">
        <v>1444</v>
      </c>
      <c r="C116" s="3642" t="s">
        <v>1445</v>
      </c>
      <c r="D116" s="3655" t="s">
        <v>1446</v>
      </c>
      <c r="E116" s="3656"/>
      <c r="F116" s="3650" t="s">
        <v>1447</v>
      </c>
      <c r="G116" s="3650"/>
      <c r="H116" s="3607" t="s">
        <v>1448</v>
      </c>
      <c r="I116" s="3607"/>
    </row>
    <row r="117" spans="1:27" ht="18.75" customHeight="1">
      <c r="A117" s="3607"/>
      <c r="B117" s="3643"/>
      <c r="C117" s="3643"/>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69.099999999999994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07" t="s">
        <v>1452</v>
      </c>
      <c r="B119" s="3607"/>
      <c r="C119" s="3607"/>
      <c r="D119" s="3647" t="e">
        <f ca="1">NUMBERSTRING(INT(D118*10000),2)&amp;"元整"</f>
        <v>#REF!</v>
      </c>
      <c r="E119" s="3649"/>
      <c r="F119" s="3647" t="e">
        <f ca="1">NUMBERSTRING(INT(F118*10000),2)&amp;"元整"</f>
        <v>#REF!</v>
      </c>
      <c r="G119" s="3649"/>
      <c r="H119" s="3647" t="e">
        <f ca="1">NUMBERSTRING(INT(H118*10000),2)&amp;"元整"</f>
        <v>#REF!</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7" t="s">
        <v>1452</v>
      </c>
      <c r="B121" s="3648"/>
      <c r="C121" s="3649"/>
      <c r="D121" s="3647" t="str">
        <f>IF(D120=0,"零元整",NUMBERSTRING(INT(D120*10000),2)&amp;"元整")</f>
        <v>零元整</v>
      </c>
      <c r="E121" s="3648"/>
      <c r="F121" s="3648"/>
      <c r="G121" s="3648"/>
      <c r="H121" s="3648"/>
      <c r="I121" s="3649"/>
      <c r="AA121" s="725"/>
    </row>
    <row r="122" spans="1:27" ht="18.75" customHeight="1">
      <c r="A122" s="3638" t="str">
        <f>IF(项目基本情况!B9="房地产市场价值","",MID(E107,3,LEN(E107)-2))</f>
        <v>房地产抵押价值</v>
      </c>
      <c r="B122" s="3638"/>
      <c r="C122" s="3638"/>
      <c r="D122" s="3671" t="e">
        <f ca="1">H107</f>
        <v>#REF!</v>
      </c>
      <c r="E122" s="3672"/>
      <c r="F122" s="3672"/>
      <c r="G122" s="3672"/>
      <c r="H122" s="3672"/>
      <c r="I122" s="3673"/>
      <c r="AA122" s="725"/>
    </row>
    <row r="123" spans="1:27" ht="18.75" customHeight="1">
      <c r="A123" s="3607" t="s">
        <v>1452</v>
      </c>
      <c r="B123" s="3607"/>
      <c r="C123" s="3607"/>
      <c r="D123" s="3647" t="e">
        <f ca="1">NUMBERSTRING(INT(D122*10000),2)&amp;"元整"</f>
        <v>#REF!</v>
      </c>
      <c r="E123" s="3648"/>
      <c r="F123" s="3648"/>
      <c r="G123" s="3648"/>
      <c r="H123" s="3648"/>
      <c r="I123" s="3649"/>
      <c r="AA123" s="725"/>
    </row>
    <row r="124" spans="1:27" ht="18.75" customHeight="1">
      <c r="A124" s="3638" t="str">
        <f>IF(项目基本情况!B9="房地产市场价值","",MID(E109,3,LEN(E109)-2))</f>
        <v/>
      </c>
      <c r="B124" s="3638"/>
      <c r="C124" s="3638"/>
      <c r="D124" s="3671" t="str">
        <f>H109</f>
        <v>——</v>
      </c>
      <c r="E124" s="3672"/>
      <c r="F124" s="3672"/>
      <c r="G124" s="3672"/>
      <c r="H124" s="3672"/>
      <c r="I124" s="3673"/>
      <c r="AA124" s="725"/>
    </row>
    <row r="125" spans="1:27" ht="18.75" customHeight="1">
      <c r="A125" s="3607" t="s">
        <v>1452</v>
      </c>
      <c r="B125" s="3607"/>
      <c r="C125" s="3607"/>
      <c r="D125" s="3647" t="e">
        <f>NUMBERSTRING(INT(D124*10000),2)&amp;"元整"</f>
        <v>#VALUE!</v>
      </c>
      <c r="E125" s="3648"/>
      <c r="F125" s="3648"/>
      <c r="G125" s="3648"/>
      <c r="H125" s="3648"/>
      <c r="I125" s="3649"/>
      <c r="AA125" s="725"/>
    </row>
    <row r="126" spans="1:27" ht="18.75" customHeight="1">
      <c r="A126" s="3638" t="str">
        <f>IF(项目基本情况!B9="房地产市场价值","",MID(E111,3,LEN(E111)-2))</f>
        <v/>
      </c>
      <c r="B126" s="3638"/>
      <c r="C126" s="3638"/>
      <c r="D126" s="3671" t="str">
        <f>H111</f>
        <v>——</v>
      </c>
      <c r="E126" s="3672"/>
      <c r="F126" s="3672"/>
      <c r="G126" s="3672"/>
      <c r="H126" s="3672"/>
      <c r="I126" s="3673"/>
      <c r="AA126" s="725"/>
    </row>
    <row r="127" spans="1:27" ht="18.75" customHeight="1">
      <c r="A127" s="3607" t="s">
        <v>1452</v>
      </c>
      <c r="B127" s="3607"/>
      <c r="C127" s="3607"/>
      <c r="D127" s="3647" t="e">
        <f>NUMBERSTRING(INT(D126*10000),2)&amp;"元整"</f>
        <v>#VALUE!</v>
      </c>
      <c r="E127" s="3648"/>
      <c r="F127" s="3648"/>
      <c r="G127" s="3648"/>
      <c r="H127" s="3648"/>
      <c r="I127" s="3649"/>
      <c r="AA127" s="725"/>
    </row>
    <row r="128" spans="1:27" ht="21.75" customHeight="1">
      <c r="A128" s="3654" t="s">
        <v>1453</v>
      </c>
      <c r="B128" s="3654"/>
      <c r="C128" s="3654"/>
      <c r="D128" s="3654"/>
      <c r="E128" s="3654"/>
      <c r="F128" s="3654"/>
      <c r="G128" s="3654"/>
      <c r="H128" s="3654"/>
      <c r="I128" s="365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16203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2344863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11056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11056</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69.099999999999994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69.099999999999994</v>
      </c>
      <c r="E19" s="211">
        <f>'数据-取费表'!B31</f>
        <v>200</v>
      </c>
      <c r="F19" s="231"/>
      <c r="G19" s="1855"/>
    </row>
    <row r="20" spans="1:7" s="214" customFormat="1" ht="13.5" customHeight="1">
      <c r="A20" s="255" t="s">
        <v>1493</v>
      </c>
      <c r="B20" s="210" t="s">
        <v>1494</v>
      </c>
      <c r="C20" s="232">
        <f ca="1">ROUND((C5+C19)*F20,0)</f>
        <v>221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805</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797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2820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2820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16181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69.099999999999994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7" t="s">
        <v>1544</v>
      </c>
    </row>
    <row r="43" spans="1:7" ht="13.5" customHeight="1">
      <c r="A43" s="780" t="s">
        <v>347</v>
      </c>
      <c r="B43" s="215" t="s">
        <v>1545</v>
      </c>
      <c r="C43" s="238">
        <f ca="1">ROUND(IF('数据-取费表'!B22&lt;=1,C39*F22*'数据-取费表'!B21/2,C39*(POWER((1+F22),'数据-取费表'!B21/2)-1)),0)</f>
        <v>0</v>
      </c>
      <c r="D43" s="238"/>
      <c r="E43" s="238"/>
      <c r="F43" s="239"/>
      <c r="G43" s="3688"/>
    </row>
    <row r="44" spans="1:7" ht="13.5" customHeight="1">
      <c r="A44" s="780" t="s">
        <v>348</v>
      </c>
      <c r="B44" s="215" t="s">
        <v>1546</v>
      </c>
      <c r="C44" s="238">
        <f ca="1">ROUND(IF('数据-取费表'!B22&lt;=1,C40*F22*'数据-取费表'!B21/2,C40*(POWER((1+F22),'数据-取费表'!B21/2)-1)),4)</f>
        <v>6.9999999999999999E-4</v>
      </c>
      <c r="D44" s="238"/>
      <c r="E44" s="238"/>
      <c r="F44" s="239"/>
      <c r="G44" s="3689"/>
    </row>
    <row r="45" spans="1:7" s="214" customFormat="1" ht="13.5" customHeight="1">
      <c r="A45" s="255" t="s">
        <v>1547</v>
      </c>
      <c r="B45" s="244" t="s">
        <v>1513</v>
      </c>
      <c r="C45" s="245">
        <f ca="1">C46</f>
        <v>6</v>
      </c>
      <c r="D45" s="235">
        <f ca="1">C47</f>
        <v>5.0000000000000001E-3</v>
      </c>
      <c r="E45" s="236" t="s">
        <v>1539</v>
      </c>
      <c r="F45" s="246">
        <f ca="1">F27</f>
        <v>0.25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16203</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4" t="str">
        <f>项目基本情况!B1</f>
        <v>北京市预评估</v>
      </c>
      <c r="C37" s="3504"/>
      <c r="D37" s="3504"/>
      <c r="E37" s="3504"/>
      <c r="F37" s="3504"/>
      <c r="G37" s="3504"/>
      <c r="H37" s="3504"/>
      <c r="I37" s="350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13698</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1982344</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69.099999999999994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69.099999999999994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-11055</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69.099999999999994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-11055</v>
      </c>
      <c r="D21" s="815"/>
      <c r="E21" s="281"/>
      <c r="F21" s="281"/>
      <c r="G21" s="131" t="s">
        <v>1629</v>
      </c>
      <c r="H21" s="807"/>
      <c r="I21" s="807"/>
      <c r="J21" s="807"/>
      <c r="K21" s="808"/>
    </row>
    <row r="22" spans="1:33" s="803" customFormat="1" ht="13.5" customHeight="1">
      <c r="A22" s="790" t="s">
        <v>1601</v>
      </c>
      <c r="B22" s="813" t="s">
        <v>1630</v>
      </c>
      <c r="C22" s="814">
        <f ca="1">ROUND(C21*F22,0)</f>
        <v>-221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-2819</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-2819</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92" t="s">
        <v>694</v>
      </c>
      <c r="C6" s="1074">
        <f ca="1">ROUND(F6*F8*F7*(1-F9)/10000,0)</f>
        <v>0</v>
      </c>
      <c r="D6" s="155" t="s">
        <v>2106</v>
      </c>
      <c r="E6" s="302" t="s">
        <v>696</v>
      </c>
      <c r="F6" s="303">
        <f ca="1">INDIRECT("'数据-取费表'!u"&amp;$G$1)</f>
        <v>0</v>
      </c>
      <c r="G6" s="1383"/>
      <c r="H6" s="1069" t="s">
        <v>398</v>
      </c>
      <c r="I6" s="3692" t="s">
        <v>694</v>
      </c>
      <c r="J6" s="301">
        <f ca="1">ROUND(M6*M8*M7*(1-M9)/10000,0)</f>
        <v>0</v>
      </c>
      <c r="K6" s="155" t="s">
        <v>2105</v>
      </c>
      <c r="L6" s="302" t="s">
        <v>696</v>
      </c>
      <c r="M6" s="303">
        <f ca="1">INDIRECT("'数据-取费表'!z"&amp;$G$1)</f>
        <v>0</v>
      </c>
    </row>
    <row r="7" spans="1:37" ht="18" customHeight="1">
      <c r="A7" s="1073"/>
      <c r="B7" s="3693"/>
      <c r="C7" s="1075"/>
      <c r="D7" s="307"/>
      <c r="E7" s="1076" t="s">
        <v>697</v>
      </c>
      <c r="F7" s="303">
        <f ca="1">IF(INDIRECT("'数据-取费表'!ah"&amp;$G$1)="",INDIRECT("'数据-取费表'!k"&amp;$G$1),INDIRECT("'数据-取费表'!ah"&amp;$G$1))</f>
        <v>0</v>
      </c>
      <c r="G7" s="1383"/>
      <c r="H7" s="304"/>
      <c r="I7" s="3693"/>
      <c r="J7" s="306"/>
      <c r="K7" s="307"/>
      <c r="L7" s="302" t="s">
        <v>697</v>
      </c>
      <c r="M7" s="303">
        <f ca="1">F7</f>
        <v>0</v>
      </c>
    </row>
    <row r="8" spans="1:37" ht="18" customHeight="1">
      <c r="A8" s="304"/>
      <c r="B8" s="3693"/>
      <c r="C8" s="306"/>
      <c r="D8" s="307"/>
      <c r="E8" s="302" t="s">
        <v>698</v>
      </c>
      <c r="F8" s="303">
        <f ca="1">INDIRECT("'数据-取费表'!ai"&amp;$G$1)</f>
        <v>0</v>
      </c>
      <c r="G8" s="1383"/>
      <c r="H8" s="304"/>
      <c r="I8" s="3693"/>
      <c r="J8" s="306"/>
      <c r="K8" s="307"/>
      <c r="L8" s="302" t="s">
        <v>698</v>
      </c>
      <c r="M8" s="303">
        <f ca="1">INDIRECT("'数据-取费表'!ai"&amp;$G$1)</f>
        <v>0</v>
      </c>
    </row>
    <row r="9" spans="1:37" ht="18" customHeight="1">
      <c r="A9" s="304"/>
      <c r="B9" s="3694"/>
      <c r="C9" s="306"/>
      <c r="D9" s="307"/>
      <c r="E9" s="302" t="s">
        <v>699</v>
      </c>
      <c r="F9" s="312">
        <f ca="1">INDIRECT("'数据-取费表'!w"&amp;$G$1)</f>
        <v>0</v>
      </c>
      <c r="G9" s="1383"/>
      <c r="H9" s="304"/>
      <c r="I9" s="369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65" t="s">
        <v>2113</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2305</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4">
        <f ca="1">IF(M47="住宅",IF(D1="——",MAX(J51,L48),MAX(J51,L48-'数据-取费表'!B24)),IF(D1="——",MIN(J51,L48),MIN(J51,L48-'数据-取费表'!B24)))</f>
        <v>0</v>
      </c>
      <c r="K53" s="3690" t="s">
        <v>837</v>
      </c>
      <c r="L53" s="3691"/>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F13" sqref="F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3375</v>
      </c>
      <c r="D1" s="1361" t="s">
        <v>43</v>
      </c>
      <c r="E1" s="1362" t="s">
        <v>678</v>
      </c>
      <c r="F1" s="1062">
        <f ca="1">J53</f>
        <v>70</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567.45600000000002</v>
      </c>
      <c r="C2" s="1386" t="s">
        <v>879</v>
      </c>
      <c r="D2" s="1470">
        <f ca="1">C40+J29+L46</f>
        <v>5674560</v>
      </c>
      <c r="E2" s="1387" t="s">
        <v>880</v>
      </c>
      <c r="F2" s="1388"/>
      <c r="G2" s="2701"/>
      <c r="H2" s="2690"/>
      <c r="I2" s="2690"/>
      <c r="J2" s="2690"/>
      <c r="K2" s="2691"/>
      <c r="L2" s="2690"/>
      <c r="M2" s="2690"/>
    </row>
    <row r="3" spans="1:37" ht="18" customHeight="1" thickBot="1">
      <c r="A3" s="1389" t="s">
        <v>881</v>
      </c>
      <c r="B3" s="1390">
        <f ca="1">IF(ISERROR(D2/F43),0,ROUND(D2/F43,0))</f>
        <v>82121</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125557</v>
      </c>
      <c r="D5" s="1363" t="s">
        <v>889</v>
      </c>
      <c r="E5" s="1071"/>
      <c r="F5" s="1072"/>
      <c r="G5" s="1383"/>
      <c r="H5" s="299">
        <v>1</v>
      </c>
      <c r="I5" s="300" t="s">
        <v>888</v>
      </c>
      <c r="J5" s="1070">
        <f ca="1">J6+J10+J12</f>
        <v>0</v>
      </c>
      <c r="K5" s="1363" t="s">
        <v>889</v>
      </c>
      <c r="L5" s="1071"/>
      <c r="M5" s="1072"/>
    </row>
    <row r="6" spans="1:37" ht="18" customHeight="1">
      <c r="A6" s="1069" t="s">
        <v>398</v>
      </c>
      <c r="B6" s="3692" t="s">
        <v>694</v>
      </c>
      <c r="C6" s="1074">
        <f ca="1">ROUND(F6*F8*F7*(1-F9),0)</f>
        <v>125400</v>
      </c>
      <c r="D6" s="155" t="s">
        <v>2103</v>
      </c>
      <c r="E6" s="302" t="s">
        <v>696</v>
      </c>
      <c r="F6" s="303">
        <f ca="1">INDIRECT("'数据-取费表'!u"&amp;$G$1)</f>
        <v>11000</v>
      </c>
      <c r="G6" s="1383"/>
      <c r="H6" s="1069" t="s">
        <v>398</v>
      </c>
      <c r="I6" s="3692" t="s">
        <v>694</v>
      </c>
      <c r="J6" s="301">
        <f ca="1">ROUND(M6*M8*M7*(1-M9),0)</f>
        <v>0</v>
      </c>
      <c r="K6" s="1375" t="s">
        <v>2104</v>
      </c>
      <c r="L6" s="302" t="s">
        <v>696</v>
      </c>
      <c r="M6" s="303">
        <f ca="1">INDIRECT("'数据-取费表'!z"&amp;$G$1)</f>
        <v>0</v>
      </c>
    </row>
    <row r="7" spans="1:37" ht="18" customHeight="1">
      <c r="A7" s="1073"/>
      <c r="B7" s="3693"/>
      <c r="C7" s="1075"/>
      <c r="D7" s="307"/>
      <c r="E7" s="1076" t="s">
        <v>697</v>
      </c>
      <c r="F7" s="303">
        <f ca="1">IF(INDIRECT("'数据-取费表'!ah"&amp;$G$1)="",INDIRECT("'数据-取费表'!k"&amp;$G$1),INDIRECT("'数据-取费表'!ah"&amp;$G$1))</f>
        <v>1</v>
      </c>
      <c r="G7" s="1383"/>
      <c r="H7" s="304"/>
      <c r="I7" s="3693"/>
      <c r="J7" s="306"/>
      <c r="K7" s="307"/>
      <c r="L7" s="302" t="s">
        <v>697</v>
      </c>
      <c r="M7" s="303">
        <f ca="1">F7</f>
        <v>1</v>
      </c>
    </row>
    <row r="8" spans="1:37" ht="18" customHeight="1">
      <c r="A8" s="304"/>
      <c r="B8" s="3693"/>
      <c r="C8" s="306"/>
      <c r="D8" s="307"/>
      <c r="E8" s="302" t="s">
        <v>698</v>
      </c>
      <c r="F8" s="303">
        <f ca="1">INDIRECT("'数据-取费表'!ai"&amp;$G$1)</f>
        <v>12</v>
      </c>
      <c r="G8" s="1383"/>
      <c r="H8" s="304"/>
      <c r="I8" s="3693"/>
      <c r="J8" s="306"/>
      <c r="K8" s="307"/>
      <c r="L8" s="302" t="s">
        <v>698</v>
      </c>
      <c r="M8" s="303">
        <f ca="1">INDIRECT("'数据-取费表'!ai"&amp;$G$1)</f>
        <v>12</v>
      </c>
    </row>
    <row r="9" spans="1:37" ht="18" customHeight="1">
      <c r="A9" s="304"/>
      <c r="B9" s="3694"/>
      <c r="C9" s="306"/>
      <c r="D9" s="307"/>
      <c r="E9" s="302" t="s">
        <v>699</v>
      </c>
      <c r="F9" s="312">
        <f ca="1">INDIRECT("'数据-取费表'!w"&amp;$G$1)</f>
        <v>0.05</v>
      </c>
      <c r="G9" s="1383"/>
      <c r="H9" s="304"/>
      <c r="I9" s="3694"/>
      <c r="J9" s="306"/>
      <c r="K9" s="307"/>
      <c r="L9" s="313" t="s">
        <v>699</v>
      </c>
      <c r="M9" s="314">
        <f ca="1">INDIRECT("'数据-取费表'!ab"&amp;$G$1)</f>
        <v>0</v>
      </c>
    </row>
    <row r="10" spans="1:37" ht="18" customHeight="1">
      <c r="A10" s="1069" t="s">
        <v>402</v>
      </c>
      <c r="B10" s="1364" t="s">
        <v>700</v>
      </c>
      <c r="C10" s="316">
        <f ca="1">ROUND(IF(F10="押一",C6/12*F11,IF(F10="押二",C6/12*2*F11,IF(F10="押三",C6/12*3*F11,C11*F11))),0)</f>
        <v>157</v>
      </c>
      <c r="D10" s="1365" t="s">
        <v>2113</v>
      </c>
      <c r="E10" s="313" t="s">
        <v>701</v>
      </c>
      <c r="F10" s="1116" t="s">
        <v>3395</v>
      </c>
      <c r="G10" s="1383"/>
      <c r="H10" s="1069" t="s">
        <v>402</v>
      </c>
      <c r="I10" s="1364" t="s">
        <v>700</v>
      </c>
      <c r="J10" s="301">
        <f ca="1">ROUND(IF(M10="押一",J6/12*M11,IF(M10="押二",J6/12*2*M11,IF(M10="押三",J6/12*3*M11,J11*M11))),0)</f>
        <v>0</v>
      </c>
      <c r="K10" s="1376" t="s">
        <v>2115</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222834</v>
      </c>
      <c r="D13" s="1081" t="s">
        <v>705</v>
      </c>
      <c r="E13" s="1081" t="s">
        <v>706</v>
      </c>
      <c r="F13" s="1082">
        <f ca="1">INDIRECT("'数据-取费表'!y"&amp;$G$1)</f>
        <v>0.65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207300</v>
      </c>
      <c r="D14" s="1344" t="s">
        <v>708</v>
      </c>
      <c r="E14" s="1341"/>
      <c r="F14" s="319"/>
      <c r="G14" s="1383"/>
      <c r="H14" s="982" t="s">
        <v>398</v>
      </c>
      <c r="I14" s="302" t="s">
        <v>709</v>
      </c>
      <c r="J14" s="21">
        <f ca="1">C29</f>
        <v>342821</v>
      </c>
      <c r="K14" s="12"/>
      <c r="L14" s="807"/>
      <c r="M14" s="808"/>
    </row>
    <row r="15" spans="1:37" s="1396" customFormat="1" ht="18" customHeight="1" thickBot="1">
      <c r="A15" s="982" t="s">
        <v>399</v>
      </c>
      <c r="B15" s="302" t="s">
        <v>710</v>
      </c>
      <c r="C15" s="21">
        <f ca="1">ROUND(C14*F15,0)</f>
        <v>6219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10365</v>
      </c>
      <c r="D16" s="302" t="s">
        <v>711</v>
      </c>
      <c r="E16" s="302" t="s">
        <v>712</v>
      </c>
      <c r="F16" s="322">
        <f ca="1">IF(INDIRECT("'数据-取费表'!c"&amp;$G$1)="住宅",'数据-取费表'!B34,0)</f>
        <v>0.05</v>
      </c>
      <c r="G16" s="1383"/>
      <c r="H16" s="1079" t="s">
        <v>393</v>
      </c>
      <c r="I16" s="1080" t="s">
        <v>714</v>
      </c>
      <c r="J16" s="310">
        <f ca="1">ROUND(J17+J22+J23+J24,0)</f>
        <v>5142</v>
      </c>
      <c r="K16" s="1087" t="s">
        <v>715</v>
      </c>
      <c r="L16" s="1088"/>
      <c r="M16" s="1072"/>
    </row>
    <row r="17" spans="1:37" s="1396" customFormat="1" ht="18" customHeight="1">
      <c r="A17" s="982" t="s">
        <v>681</v>
      </c>
      <c r="B17" s="302" t="s">
        <v>716</v>
      </c>
      <c r="C17" s="21">
        <f ca="1">ROUND(F17*(F43+INDIRECT("'数据-取费表'!S"&amp;$G$1)),0)</f>
        <v>13820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3110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240814</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4816</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5142</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8700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-5142</v>
      </c>
      <c r="K25" s="1095" t="s">
        <v>753</v>
      </c>
      <c r="L25" s="1096"/>
      <c r="M25" s="1097"/>
    </row>
    <row r="26" spans="1:37" ht="18" customHeight="1">
      <c r="A26" s="982" t="s">
        <v>397</v>
      </c>
      <c r="B26" s="302" t="s">
        <v>754</v>
      </c>
      <c r="C26" s="21">
        <f ca="1">ROUND((C19+C20)*F26,0)</f>
        <v>61408</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342821</v>
      </c>
      <c r="D29" s="1092"/>
      <c r="E29" s="1090"/>
      <c r="F29" s="1093"/>
      <c r="G29" s="1395"/>
      <c r="H29" s="334" t="s">
        <v>396</v>
      </c>
      <c r="I29" s="335" t="s">
        <v>768</v>
      </c>
      <c r="J29" s="336">
        <f ca="1">ROUND(J26/(1+F40)^F41,0)</f>
        <v>0</v>
      </c>
      <c r="K29" s="337" t="s">
        <v>769</v>
      </c>
      <c r="L29" s="338"/>
      <c r="M29" s="339">
        <f ca="1">INDIRECT("'数据-取费表'!k"&amp;$G$1)</f>
        <v>69.099999999999994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9718</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2986</v>
      </c>
      <c r="D31" s="1344" t="s">
        <v>720</v>
      </c>
      <c r="E31" s="1343" t="s">
        <v>770</v>
      </c>
      <c r="F31" s="2311">
        <f ca="1">IF(项目基本情况!B11="企业","——",IF(M47="住宅",IF(F6*F7*F8/12/(1+'数据-取费表'!F30)&gt;100000,4%,2.5%),IF(F6*F7*F8/12/(1+'数据-取费表'!F30)&gt;100000,12%,7%)))</f>
        <v>2.5000000000000001E-2</v>
      </c>
      <c r="G31" s="1383"/>
      <c r="H31" s="2803" t="s">
        <v>2305</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5142</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334</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1256</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115839</v>
      </c>
      <c r="D39" s="1095" t="s">
        <v>773</v>
      </c>
      <c r="E39" s="1096"/>
      <c r="F39" s="1097"/>
      <c r="G39" s="1383"/>
      <c r="H39" s="2695"/>
      <c r="I39" s="1397"/>
      <c r="J39" s="1398"/>
      <c r="K39" s="2699"/>
      <c r="L39" s="2695"/>
      <c r="M39" s="2695"/>
    </row>
    <row r="40" spans="1:18" ht="18" customHeight="1">
      <c r="A40" s="299" t="s">
        <v>395</v>
      </c>
      <c r="B40" s="300" t="s">
        <v>774</v>
      </c>
      <c r="C40" s="301">
        <f ca="1">ROUND(C39*(1-((1+F42)/(1+F40))^F41)/(F40-F42),0)</f>
        <v>5674560</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70</v>
      </c>
      <c r="G41" s="1383"/>
      <c r="H41" s="1190"/>
      <c r="I41" s="1397"/>
      <c r="J41" s="1398"/>
      <c r="K41" s="2539"/>
      <c r="L41" s="1190"/>
      <c r="M41" s="1190"/>
    </row>
    <row r="42" spans="1:18" ht="18" customHeight="1">
      <c r="A42" s="308"/>
      <c r="B42" s="309"/>
      <c r="C42" s="310"/>
      <c r="D42" s="327"/>
      <c r="E42" s="302" t="s">
        <v>766</v>
      </c>
      <c r="F42" s="312">
        <f ca="1">INDIRECT("'数据-取费表'!v"&amp;$G$1)</f>
        <v>3.5000000000000003E-2</v>
      </c>
      <c r="G42" s="1383"/>
      <c r="H42" s="1190"/>
      <c r="I42" s="1397"/>
      <c r="J42" s="1398"/>
      <c r="K42" s="2539"/>
      <c r="L42" s="1190"/>
      <c r="M42" s="1190"/>
    </row>
    <row r="43" spans="1:18" ht="18" customHeight="1" thickBot="1">
      <c r="A43" s="334" t="s">
        <v>396</v>
      </c>
      <c r="B43" s="335" t="s">
        <v>776</v>
      </c>
      <c r="C43" s="336">
        <f ca="1">ROUND(C40/F43,0)</f>
        <v>82121</v>
      </c>
      <c r="D43" s="337" t="s">
        <v>777</v>
      </c>
      <c r="E43" s="338" t="s">
        <v>778</v>
      </c>
      <c r="F43" s="339">
        <f ca="1">INDIRECT("'数据-取费表'!k"&amp;$G$1)</f>
        <v>69.099999999999994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3352</v>
      </c>
      <c r="B45" s="1399"/>
      <c r="C45" s="1471">
        <f ca="1">ROUND((C68-C40)/10000,4)</f>
        <v>-579.06629999999996</v>
      </c>
      <c r="D45" s="3427" t="s">
        <v>3353</v>
      </c>
      <c r="E45" s="1399"/>
      <c r="F45" s="1399"/>
      <c r="O45" s="1402" t="s">
        <v>808</v>
      </c>
      <c r="P45" s="1460"/>
      <c r="Q45" s="1460"/>
      <c r="R45" s="1460"/>
    </row>
    <row r="46" spans="1:18" s="1383" customFormat="1" ht="13.5" thickBot="1">
      <c r="A46" s="1403" t="s">
        <v>809</v>
      </c>
      <c r="C46" s="1404">
        <f ca="1">ROUND(C45,0)</f>
        <v>-579</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3396</v>
      </c>
      <c r="K47" s="1415" t="s">
        <v>816</v>
      </c>
      <c r="L47" s="1416">
        <f ca="1">INDIRECT("'数据-取费表'!d"&amp;$G$1)</f>
        <v>70</v>
      </c>
      <c r="M47" s="1379" t="str">
        <f>IF(ISNUMBER(FIND("住宅",C1)),"住宅","非住宅")</f>
        <v>住宅</v>
      </c>
      <c r="O47" s="1417" t="s">
        <v>403</v>
      </c>
      <c r="P47" s="1418" t="s">
        <v>817</v>
      </c>
      <c r="Q47" s="1419">
        <f ca="1">C40+J29</f>
        <v>5674560</v>
      </c>
      <c r="R47" s="1419" t="s">
        <v>818</v>
      </c>
    </row>
    <row r="48" spans="1:18" s="1383" customFormat="1" ht="28.5" thickBot="1">
      <c r="A48" s="1110" t="s">
        <v>438</v>
      </c>
      <c r="B48" s="300" t="s">
        <v>692</v>
      </c>
      <c r="C48" s="1358">
        <f ca="1">C49+C53+C55</f>
        <v>0</v>
      </c>
      <c r="D48" s="1112"/>
      <c r="E48" s="1113"/>
      <c r="F48" s="962"/>
      <c r="G48" s="722"/>
      <c r="H48" s="723"/>
      <c r="I48" s="1420" t="s">
        <v>819</v>
      </c>
      <c r="J48" s="1421" t="s">
        <v>3397</v>
      </c>
      <c r="K48" s="1422" t="s">
        <v>820</v>
      </c>
      <c r="L48" s="1423">
        <f ca="1">INDIRECT("'数据-取费表'!f"&amp;$G$1)</f>
        <v>70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1979</v>
      </c>
      <c r="K49" s="1422" t="s">
        <v>824</v>
      </c>
      <c r="L49" s="1426"/>
      <c r="O49" s="1427" t="s">
        <v>405</v>
      </c>
      <c r="P49" s="1418" t="s">
        <v>825</v>
      </c>
      <c r="Q49" s="1419">
        <f ca="1">C29</f>
        <v>342821</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16</v>
      </c>
      <c r="K51" s="1433" t="s">
        <v>830</v>
      </c>
      <c r="L51" s="1434">
        <f ca="1">ROUND(-PV(INDIRECT("'数据-取费表'!h"&amp;$G$1),J51,(C39-C13*C76),0),0)</f>
        <v>1176171</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70</v>
      </c>
      <c r="R52" s="1419" t="s">
        <v>835</v>
      </c>
    </row>
    <row r="53" spans="1:18" s="1383" customFormat="1" ht="30.75" customHeight="1" thickBot="1">
      <c r="A53" s="1111" t="s">
        <v>440</v>
      </c>
      <c r="B53" s="323"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70</v>
      </c>
      <c r="K53" s="3690" t="s">
        <v>837</v>
      </c>
      <c r="L53" s="3691"/>
      <c r="O53" s="1417" t="s">
        <v>409</v>
      </c>
      <c r="P53" s="1418" t="s">
        <v>838</v>
      </c>
      <c r="Q53" s="1419">
        <f ca="1">Q47+Q48</f>
        <v>5674560</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222834</v>
      </c>
      <c r="D56" s="1446"/>
      <c r="E56" s="1447"/>
      <c r="F56" s="1439"/>
      <c r="I56" s="1448" t="s">
        <v>842</v>
      </c>
      <c r="J56" s="1449" t="s">
        <v>3398</v>
      </c>
      <c r="K56" s="1420" t="s">
        <v>843</v>
      </c>
      <c r="L56" s="1423">
        <f ca="1">IF(L48&lt;J51,"——",L48-J51)</f>
        <v>54</v>
      </c>
      <c r="O56" s="1417" t="s">
        <v>403</v>
      </c>
      <c r="P56" s="1418" t="s">
        <v>817</v>
      </c>
      <c r="Q56" s="1419">
        <f ca="1">C40+J29</f>
        <v>5674560</v>
      </c>
      <c r="R56" s="1419" t="s">
        <v>818</v>
      </c>
    </row>
    <row r="57" spans="1:18" s="1383" customFormat="1" ht="24.75" thickBot="1">
      <c r="A57" s="1450"/>
      <c r="B57" s="950" t="s">
        <v>767</v>
      </c>
      <c r="C57" s="238">
        <f ca="1">C29</f>
        <v>342821</v>
      </c>
      <c r="D57" s="1451"/>
      <c r="E57" s="1452"/>
      <c r="F57" s="1453"/>
      <c r="I57" s="1454" t="s">
        <v>844</v>
      </c>
      <c r="J57" s="1455" t="str">
        <f ca="1">IF(OR(M47="住宅",J51&lt;L48,J56="是"),"——",J51-L48)</f>
        <v>——</v>
      </c>
      <c r="K57" s="1420" t="s">
        <v>892</v>
      </c>
      <c r="L57" s="1423">
        <f ca="1">IF(L48&lt;J51,"——",IF(L55="比较法",L49,IF(L55="基准地价",L50,L51)))</f>
        <v>1176171</v>
      </c>
      <c r="O57" s="1417" t="s">
        <v>404</v>
      </c>
      <c r="P57" s="1418" t="s">
        <v>893</v>
      </c>
      <c r="Q57" s="1419">
        <f ca="1">L60</f>
        <v>0</v>
      </c>
      <c r="R57" s="1419" t="s">
        <v>894</v>
      </c>
    </row>
    <row r="58" spans="1:18" s="1383" customFormat="1" ht="24.75" thickBot="1">
      <c r="A58" s="315" t="s">
        <v>393</v>
      </c>
      <c r="B58" s="958" t="s">
        <v>714</v>
      </c>
      <c r="C58" s="316">
        <f ca="1">ROUND(C59+C64+C65+C66,0)</f>
        <v>5476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5674560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5142</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334</v>
      </c>
      <c r="D65" s="964" t="s">
        <v>743</v>
      </c>
      <c r="E65" s="950" t="s">
        <v>744</v>
      </c>
      <c r="F65" s="330">
        <f t="shared" ca="1" si="0"/>
        <v>1.5E-3</v>
      </c>
      <c r="I65" s="1461" t="s">
        <v>867</v>
      </c>
      <c r="J65" s="1462">
        <v>40</v>
      </c>
      <c r="K65" s="1462">
        <v>30</v>
      </c>
      <c r="L65" s="1462">
        <v>50</v>
      </c>
      <c r="M65" s="1464">
        <v>0.02</v>
      </c>
      <c r="O65" s="1417" t="s">
        <v>403</v>
      </c>
      <c r="P65" s="1418" t="s">
        <v>868</v>
      </c>
      <c r="Q65" s="1419">
        <f ca="1">C40+J29</f>
        <v>5674560</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-5476</v>
      </c>
      <c r="D67" s="963" t="s">
        <v>753</v>
      </c>
      <c r="E67" s="968"/>
      <c r="F67" s="969"/>
      <c r="O67" s="1427" t="s">
        <v>405</v>
      </c>
      <c r="P67" s="1418" t="s">
        <v>850</v>
      </c>
      <c r="Q67" s="1465">
        <f ca="1">L51</f>
        <v>1176171</v>
      </c>
      <c r="R67" s="1419" t="s">
        <v>870</v>
      </c>
    </row>
    <row r="68" spans="1:18" s="1383" customFormat="1" ht="16.5" thickBot="1">
      <c r="A68" s="947" t="s">
        <v>395</v>
      </c>
      <c r="B68" s="948" t="s">
        <v>774</v>
      </c>
      <c r="C68" s="301">
        <f ca="1">ROUND(C67*(1-((1+F70)/(1+F68))^F69)/(F68-F70),0)</f>
        <v>-116103</v>
      </c>
      <c r="D68" s="965" t="s">
        <v>758</v>
      </c>
      <c r="E68" s="950" t="s">
        <v>759</v>
      </c>
      <c r="F68" s="312">
        <f ca="1">F40</f>
        <v>4.4999999999999998E-2</v>
      </c>
      <c r="O68" s="1427" t="s">
        <v>406</v>
      </c>
      <c r="P68" s="1466" t="s">
        <v>871</v>
      </c>
      <c r="Q68" s="1419">
        <f ca="1">ROUND(Q69-Q70*Q71,0)</f>
        <v>104697</v>
      </c>
      <c r="R68" s="1419" t="s">
        <v>414</v>
      </c>
    </row>
    <row r="69" spans="1:18" s="1383" customFormat="1" ht="13.5" thickBot="1">
      <c r="A69" s="951"/>
      <c r="B69" s="952"/>
      <c r="C69" s="306"/>
      <c r="D69" s="970" t="s">
        <v>762</v>
      </c>
      <c r="E69" s="950" t="s">
        <v>763</v>
      </c>
      <c r="F69" s="333">
        <f ca="1">F41</f>
        <v>70</v>
      </c>
      <c r="O69" s="1427" t="s">
        <v>411</v>
      </c>
      <c r="P69" s="1466" t="s">
        <v>872</v>
      </c>
      <c r="Q69" s="1419">
        <f ca="1">C39</f>
        <v>115839</v>
      </c>
      <c r="R69" s="1419" t="s">
        <v>818</v>
      </c>
    </row>
    <row r="70" spans="1:18" s="1383" customFormat="1" ht="13.5" thickBot="1">
      <c r="A70" s="954"/>
      <c r="B70" s="955"/>
      <c r="C70" s="310"/>
      <c r="D70" s="966"/>
      <c r="E70" s="950" t="s">
        <v>766</v>
      </c>
      <c r="F70" s="1054"/>
      <c r="O70" s="1427" t="s">
        <v>412</v>
      </c>
      <c r="P70" s="1466" t="s">
        <v>873</v>
      </c>
      <c r="Q70" s="1419">
        <f ca="1">C13</f>
        <v>222834</v>
      </c>
      <c r="R70" s="1419" t="s">
        <v>818</v>
      </c>
    </row>
    <row r="71" spans="1:18" s="1383" customFormat="1" ht="13.5" thickBot="1">
      <c r="A71" s="971" t="s">
        <v>396</v>
      </c>
      <c r="B71" s="972" t="s">
        <v>776</v>
      </c>
      <c r="C71" s="336">
        <f ca="1">ROUND(C68/F71,0)</f>
        <v>-1680</v>
      </c>
      <c r="D71" s="973" t="s">
        <v>777</v>
      </c>
      <c r="E71" s="974" t="s">
        <v>778</v>
      </c>
      <c r="F71" s="339">
        <f ca="1">F43</f>
        <v>69.099999999999994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11142</v>
      </c>
      <c r="D75" s="1383"/>
      <c r="E75" s="1383"/>
      <c r="F75" s="1383"/>
      <c r="K75" s="1401"/>
      <c r="L75" s="1383"/>
      <c r="O75" s="1417" t="s">
        <v>409</v>
      </c>
      <c r="P75" s="1418" t="s">
        <v>838</v>
      </c>
      <c r="Q75" s="1419">
        <f ca="1">Q65+Q66</f>
        <v>5674560</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0.90400000000000003</v>
      </c>
    </row>
    <row r="80" spans="1:18">
      <c r="B80" s="340" t="s">
        <v>800</v>
      </c>
      <c r="C80" s="274">
        <f ca="1">ROUND(C75/C39,3)</f>
        <v>9.6000000000000002E-2</v>
      </c>
    </row>
    <row r="81" spans="2:3">
      <c r="B81" s="270" t="s">
        <v>801</v>
      </c>
      <c r="C81" s="238"/>
    </row>
    <row r="82" spans="2:3">
      <c r="B82" s="273" t="s">
        <v>802</v>
      </c>
      <c r="C82" s="275">
        <f ca="1">1-C83</f>
        <v>0.96099999999999997</v>
      </c>
    </row>
    <row r="83" spans="2:3">
      <c r="B83" s="273" t="s">
        <v>803</v>
      </c>
      <c r="C83" s="274">
        <f ca="1">ROUND(C13/C40,3)</f>
        <v>3.9E-2</v>
      </c>
    </row>
  </sheetData>
  <sheetProtection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2433</v>
      </c>
      <c r="B1" s="2827"/>
      <c r="C1" s="2839"/>
      <c r="D1" s="2839"/>
      <c r="E1" s="2828"/>
      <c r="F1" s="2829"/>
      <c r="G1" s="2830"/>
      <c r="J1" s="2833" t="s">
        <v>2312</v>
      </c>
      <c r="K1" s="2834"/>
      <c r="L1" s="2834"/>
      <c r="M1" s="2834"/>
      <c r="N1" s="2834"/>
      <c r="O1" s="2834"/>
      <c r="P1" s="2834"/>
      <c r="Q1" s="2834"/>
      <c r="R1" s="2835"/>
      <c r="S1" s="2836"/>
      <c r="T1" s="2836"/>
      <c r="U1" s="2836"/>
    </row>
    <row r="2" spans="1:22" s="2848" customFormat="1" ht="13.15" customHeight="1">
      <c r="A2" s="1384" t="s">
        <v>2313</v>
      </c>
      <c r="B2" s="2838" t="e">
        <f>IF(D2="——",C40,C40+E2)</f>
        <v>#DIV/0!</v>
      </c>
      <c r="C2" s="2839" t="s">
        <v>2314</v>
      </c>
      <c r="D2" s="3438" t="s">
        <v>3359</v>
      </c>
      <c r="E2" s="3439"/>
      <c r="F2" s="2841"/>
      <c r="G2" s="2842"/>
      <c r="H2" s="2843"/>
      <c r="I2" s="2844"/>
      <c r="J2" s="3701" t="s">
        <v>2315</v>
      </c>
      <c r="K2" s="3702"/>
      <c r="L2" s="2845" t="s">
        <v>2316</v>
      </c>
      <c r="M2" s="2845" t="s">
        <v>2317</v>
      </c>
      <c r="N2" s="2845" t="s">
        <v>2318</v>
      </c>
      <c r="O2" s="2845" t="s">
        <v>2319</v>
      </c>
      <c r="P2" s="2845" t="s">
        <v>2320</v>
      </c>
      <c r="Q2" s="2846" t="s">
        <v>2321</v>
      </c>
      <c r="R2" s="2847" t="s">
        <v>2322</v>
      </c>
      <c r="S2" s="2836"/>
      <c r="T2" s="2836"/>
      <c r="U2" s="2836"/>
      <c r="V2" s="2844"/>
    </row>
    <row r="3" spans="1:22" s="2848" customFormat="1" ht="13.15" customHeight="1">
      <c r="A3" s="2849" t="s">
        <v>2323</v>
      </c>
      <c r="B3" s="2850" t="e">
        <f>ROUND(B2*10000/B4,0)</f>
        <v>#DIV/0!</v>
      </c>
      <c r="C3" s="2839" t="s">
        <v>2324</v>
      </c>
      <c r="D3" s="2839"/>
      <c r="E3" s="2840"/>
      <c r="F3" s="2841"/>
      <c r="G3" s="2842"/>
      <c r="H3" s="2843"/>
      <c r="I3" s="2844"/>
      <c r="J3" s="3703" t="s">
        <v>2325</v>
      </c>
      <c r="K3" s="3704"/>
      <c r="L3" s="2851"/>
      <c r="M3" s="2851"/>
      <c r="N3" s="2851"/>
      <c r="O3" s="2851"/>
      <c r="P3" s="2851"/>
      <c r="Q3" s="2852"/>
      <c r="R3" s="2853">
        <f>SUM(L3:Q3)</f>
        <v>0</v>
      </c>
      <c r="S3" s="2836"/>
      <c r="T3" s="2836"/>
      <c r="U3" s="2836"/>
      <c r="V3" s="2844"/>
    </row>
    <row r="4" spans="1:22" s="2848" customFormat="1" ht="13.15" customHeight="1">
      <c r="A4" s="2854" t="s">
        <v>2326</v>
      </c>
      <c r="B4" s="2855"/>
      <c r="C4" s="2839"/>
      <c r="D4" s="2839"/>
      <c r="E4" s="2840"/>
      <c r="F4" s="2841"/>
      <c r="G4" s="2842"/>
      <c r="H4" s="2843"/>
      <c r="I4" s="2844"/>
      <c r="J4" s="3703" t="s">
        <v>2327</v>
      </c>
      <c r="K4" s="3704"/>
      <c r="L4" s="2856"/>
      <c r="M4" s="2856"/>
      <c r="N4" s="2856"/>
      <c r="O4" s="2856"/>
      <c r="P4" s="2856"/>
      <c r="Q4" s="2857"/>
      <c r="R4" s="2858">
        <f>SUM(L4:Q4)</f>
        <v>0</v>
      </c>
      <c r="S4" s="2836"/>
      <c r="T4" s="2836"/>
      <c r="U4" s="2836"/>
      <c r="V4" s="2844"/>
    </row>
    <row r="5" spans="1:22" s="2848" customFormat="1" ht="13.15" customHeight="1" thickBot="1">
      <c r="A5" s="2859" t="s">
        <v>2328</v>
      </c>
      <c r="B5" s="2860"/>
      <c r="C5" s="2839"/>
      <c r="D5" s="2861"/>
      <c r="E5" s="2841"/>
      <c r="F5" s="2841"/>
      <c r="G5" s="2842"/>
      <c r="H5" s="2843"/>
      <c r="I5" s="2844"/>
      <c r="J5" s="2862" t="s">
        <v>2329</v>
      </c>
      <c r="K5" s="2863"/>
      <c r="L5" s="2863"/>
      <c r="M5" s="2864"/>
      <c r="N5" s="2864"/>
      <c r="O5" s="2864"/>
      <c r="P5" s="2864"/>
      <c r="Q5" s="2864"/>
      <c r="R5" s="2847">
        <f>SUM(R14,R19,R24,R25,R27,R28)</f>
        <v>0</v>
      </c>
      <c r="S5" s="2836"/>
      <c r="T5" s="2836" t="s">
        <v>2330</v>
      </c>
      <c r="U5" s="2836" t="e">
        <f>ROUND(R5*10000/365/R3,1)</f>
        <v>#DIV/0!</v>
      </c>
      <c r="V5" s="2844"/>
    </row>
    <row r="6" spans="1:22" s="2848" customFormat="1" ht="13.15" customHeight="1" thickBot="1">
      <c r="A6" s="3709" t="s">
        <v>2331</v>
      </c>
      <c r="B6" s="3710"/>
      <c r="C6" s="3711"/>
      <c r="D6" s="2865"/>
      <c r="E6" s="2866"/>
      <c r="F6" s="2867"/>
      <c r="G6" s="2868"/>
      <c r="H6" s="2843"/>
      <c r="I6" s="2844"/>
      <c r="J6" s="3695">
        <v>1</v>
      </c>
      <c r="K6" s="3696" t="s">
        <v>2332</v>
      </c>
      <c r="L6" s="2869" t="s">
        <v>2333</v>
      </c>
      <c r="M6" s="2870" t="s">
        <v>2334</v>
      </c>
      <c r="N6" s="2870" t="s">
        <v>2335</v>
      </c>
      <c r="O6" s="2870" t="s">
        <v>2336</v>
      </c>
      <c r="P6" s="2870" t="s">
        <v>2337</v>
      </c>
      <c r="Q6" s="2870" t="s">
        <v>2338</v>
      </c>
      <c r="R6" s="2853" t="s">
        <v>2339</v>
      </c>
      <c r="S6" s="2836"/>
      <c r="T6" s="2836" t="s">
        <v>2340</v>
      </c>
      <c r="U6" s="2836"/>
      <c r="V6" s="2844"/>
    </row>
    <row r="7" spans="1:22" s="2848" customFormat="1" ht="13.15" customHeight="1">
      <c r="A7" s="2871" t="s">
        <v>2341</v>
      </c>
      <c r="B7" s="2872"/>
      <c r="C7" s="2873"/>
      <c r="D7" s="2874">
        <f>SUM(D9,D10,D11,D17,0)</f>
        <v>0</v>
      </c>
      <c r="E7" s="2875" t="e">
        <f>E9+E10+E11+E17</f>
        <v>#DIV/0!</v>
      </c>
      <c r="F7" s="2876"/>
      <c r="G7" s="2877"/>
      <c r="H7" s="2843"/>
      <c r="I7" s="2844"/>
      <c r="J7" s="3695"/>
      <c r="K7" s="3697"/>
      <c r="L7" s="2878" t="s">
        <v>2342</v>
      </c>
      <c r="M7" s="2879"/>
      <c r="N7" s="2855"/>
      <c r="O7" s="2880"/>
      <c r="P7" s="2880"/>
      <c r="Q7" s="2881">
        <v>365</v>
      </c>
      <c r="R7" s="2882">
        <f>ROUND(M7*N7*O7*P7*Q7/10000,0)</f>
        <v>0</v>
      </c>
      <c r="S7" s="2836"/>
      <c r="T7" s="2836" t="s">
        <v>2343</v>
      </c>
      <c r="U7" s="2836"/>
      <c r="V7" s="2844"/>
    </row>
    <row r="8" spans="1:22" s="2848" customFormat="1" ht="13.15" customHeight="1">
      <c r="A8" s="2883" t="s">
        <v>2344</v>
      </c>
      <c r="B8" s="3712" t="s">
        <v>2345</v>
      </c>
      <c r="C8" s="3713"/>
      <c r="D8" s="2884" t="s">
        <v>2346</v>
      </c>
      <c r="E8" s="2885" t="s">
        <v>2347</v>
      </c>
      <c r="F8" s="2886" t="s">
        <v>2348</v>
      </c>
      <c r="G8" s="2887"/>
      <c r="H8" s="2843"/>
      <c r="I8" s="2844"/>
      <c r="J8" s="3695"/>
      <c r="K8" s="3697"/>
      <c r="L8" s="2878" t="s">
        <v>2349</v>
      </c>
      <c r="M8" s="2879"/>
      <c r="N8" s="2855"/>
      <c r="O8" s="2880"/>
      <c r="P8" s="2880"/>
      <c r="Q8" s="2881">
        <v>365</v>
      </c>
      <c r="R8" s="2882">
        <f t="shared" ref="R8:R13" si="0">ROUND(M8*N8*O8*P8*Q8/10000,0)</f>
        <v>0</v>
      </c>
      <c r="S8" s="2836"/>
      <c r="T8" s="2836" t="s">
        <v>2350</v>
      </c>
      <c r="U8" s="2836"/>
      <c r="V8" s="2844"/>
    </row>
    <row r="9" spans="1:22" s="2848" customFormat="1" ht="13.15" customHeight="1">
      <c r="A9" s="2883">
        <v>1</v>
      </c>
      <c r="B9" s="3712" t="s">
        <v>2351</v>
      </c>
      <c r="C9" s="3713"/>
      <c r="D9" s="2884">
        <f>ROUND(D6*E9,0)</f>
        <v>0</v>
      </c>
      <c r="E9" s="2888"/>
      <c r="F9" s="2889" t="s">
        <v>2352</v>
      </c>
      <c r="G9" s="2868"/>
      <c r="H9" s="2843"/>
      <c r="I9" s="2844"/>
      <c r="J9" s="3695"/>
      <c r="K9" s="3697"/>
      <c r="L9" s="2878" t="s">
        <v>2353</v>
      </c>
      <c r="M9" s="2879"/>
      <c r="N9" s="2855"/>
      <c r="O9" s="2880"/>
      <c r="P9" s="2880"/>
      <c r="Q9" s="2881">
        <v>365</v>
      </c>
      <c r="R9" s="2882">
        <f t="shared" si="0"/>
        <v>0</v>
      </c>
      <c r="S9" s="2836"/>
      <c r="T9" s="2836"/>
      <c r="U9" s="2836"/>
      <c r="V9" s="2844"/>
    </row>
    <row r="10" spans="1:22" s="2848" customFormat="1" ht="13.15" customHeight="1">
      <c r="A10" s="2883">
        <v>2</v>
      </c>
      <c r="B10" s="3712" t="s">
        <v>2354</v>
      </c>
      <c r="C10" s="3713"/>
      <c r="D10" s="2884">
        <f>ROUND(D6*E10,0)</f>
        <v>0</v>
      </c>
      <c r="E10" s="2888"/>
      <c r="F10" s="2889" t="s">
        <v>2355</v>
      </c>
      <c r="G10" s="2868"/>
      <c r="H10" s="2843"/>
      <c r="I10" s="2844"/>
      <c r="J10" s="3695"/>
      <c r="K10" s="3697"/>
      <c r="L10" s="2878" t="s">
        <v>2356</v>
      </c>
      <c r="M10" s="2879"/>
      <c r="N10" s="2855"/>
      <c r="O10" s="2880"/>
      <c r="P10" s="2880"/>
      <c r="Q10" s="2881">
        <v>365</v>
      </c>
      <c r="R10" s="2882">
        <f t="shared" si="0"/>
        <v>0</v>
      </c>
      <c r="S10" s="2836"/>
      <c r="T10" s="2836"/>
      <c r="U10" s="2836"/>
      <c r="V10" s="2844"/>
    </row>
    <row r="11" spans="1:22" s="2848" customFormat="1" ht="13.15" customHeight="1">
      <c r="A11" s="2883">
        <v>3</v>
      </c>
      <c r="B11" s="3712" t="s">
        <v>2357</v>
      </c>
      <c r="C11" s="3713"/>
      <c r="D11" s="2884">
        <f>D12+D14+D15+D16</f>
        <v>0</v>
      </c>
      <c r="E11" s="2890" t="e">
        <f>D11/D6</f>
        <v>#DIV/0!</v>
      </c>
      <c r="F11" s="2886"/>
      <c r="G11" s="2887"/>
      <c r="H11" s="2843"/>
      <c r="I11" s="2844"/>
      <c r="J11" s="3695"/>
      <c r="K11" s="3697"/>
      <c r="L11" s="2878" t="s">
        <v>2358</v>
      </c>
      <c r="M11" s="2879"/>
      <c r="N11" s="2855"/>
      <c r="O11" s="2880"/>
      <c r="P11" s="2880"/>
      <c r="Q11" s="2881">
        <v>365</v>
      </c>
      <c r="R11" s="2882">
        <f t="shared" si="0"/>
        <v>0</v>
      </c>
      <c r="S11" s="2836"/>
      <c r="T11" s="2836"/>
      <c r="U11" s="2836"/>
      <c r="V11" s="2844"/>
    </row>
    <row r="12" spans="1:22" s="2848" customFormat="1" ht="13.15" customHeight="1">
      <c r="A12" s="2891" t="s">
        <v>2359</v>
      </c>
      <c r="B12" s="3705" t="s">
        <v>2360</v>
      </c>
      <c r="C12" s="3706"/>
      <c r="D12" s="2892">
        <f>ROUND(D13*1.2%*(1-30%),0)</f>
        <v>0</v>
      </c>
      <c r="E12" s="2893">
        <v>1.2E-2</v>
      </c>
      <c r="F12" s="2886" t="s">
        <v>2361</v>
      </c>
      <c r="G12" s="2887"/>
      <c r="H12" s="2843"/>
      <c r="I12" s="2844"/>
      <c r="J12" s="3695"/>
      <c r="K12" s="3697"/>
      <c r="L12" s="2878" t="s">
        <v>2362</v>
      </c>
      <c r="M12" s="2879"/>
      <c r="N12" s="2855"/>
      <c r="O12" s="2880"/>
      <c r="P12" s="2880"/>
      <c r="Q12" s="2881">
        <v>365</v>
      </c>
      <c r="R12" s="2882">
        <f t="shared" si="0"/>
        <v>0</v>
      </c>
      <c r="S12" s="2836"/>
      <c r="T12" s="2836"/>
      <c r="U12" s="2836"/>
      <c r="V12" s="2844"/>
    </row>
    <row r="13" spans="1:22" s="2848" customFormat="1" ht="13.15" customHeight="1">
      <c r="A13" s="2891"/>
      <c r="B13" s="2894"/>
      <c r="C13" s="2895" t="s">
        <v>2363</v>
      </c>
      <c r="D13" s="2896"/>
      <c r="E13" s="2897"/>
      <c r="F13" s="2886"/>
      <c r="G13" s="2887"/>
      <c r="H13" s="2843"/>
      <c r="I13" s="2844"/>
      <c r="J13" s="3695"/>
      <c r="K13" s="3697"/>
      <c r="L13" s="2878" t="s">
        <v>2364</v>
      </c>
      <c r="M13" s="2879"/>
      <c r="N13" s="2855"/>
      <c r="O13" s="2880"/>
      <c r="P13" s="2880"/>
      <c r="Q13" s="2881">
        <v>365</v>
      </c>
      <c r="R13" s="2882">
        <f t="shared" si="0"/>
        <v>0</v>
      </c>
      <c r="S13" s="2836"/>
      <c r="T13" s="2836"/>
      <c r="U13" s="2836"/>
      <c r="V13" s="2844"/>
    </row>
    <row r="14" spans="1:22" s="2848" customFormat="1" ht="13.15" customHeight="1">
      <c r="A14" s="2891" t="s">
        <v>2365</v>
      </c>
      <c r="B14" s="3705" t="s">
        <v>2366</v>
      </c>
      <c r="C14" s="3706"/>
      <c r="D14" s="2892">
        <f>ROUND(E14*B5/10000,0)</f>
        <v>0</v>
      </c>
      <c r="E14" s="2881"/>
      <c r="F14" s="2886" t="s">
        <v>2367</v>
      </c>
      <c r="G14" s="2887"/>
      <c r="H14" s="2843"/>
      <c r="I14" s="2844"/>
      <c r="J14" s="3695"/>
      <c r="K14" s="3698"/>
      <c r="L14" s="2898" t="s">
        <v>2368</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2369</v>
      </c>
      <c r="B15" s="3705" t="s">
        <v>2370</v>
      </c>
      <c r="C15" s="3706"/>
      <c r="D15" s="2892">
        <f>ROUND(D6*E15,0)</f>
        <v>0</v>
      </c>
      <c r="E15" s="2893">
        <v>5.5E-2</v>
      </c>
      <c r="F15" s="2886" t="s">
        <v>2371</v>
      </c>
      <c r="G15" s="2868"/>
      <c r="H15" s="2843"/>
      <c r="I15" s="2844"/>
      <c r="J15" s="3695">
        <v>2</v>
      </c>
      <c r="K15" s="3696" t="s">
        <v>2372</v>
      </c>
      <c r="L15" s="2878" t="s">
        <v>2373</v>
      </c>
      <c r="M15" s="2879" t="s">
        <v>2374</v>
      </c>
      <c r="N15" s="2879" t="s">
        <v>2375</v>
      </c>
      <c r="O15" s="2880" t="s">
        <v>2376</v>
      </c>
      <c r="P15" s="2880" t="s">
        <v>2338</v>
      </c>
      <c r="Q15" s="2855" t="s">
        <v>2377</v>
      </c>
      <c r="R15" s="2902" t="s">
        <v>2339</v>
      </c>
      <c r="S15" s="2836"/>
      <c r="T15" s="2836"/>
      <c r="U15" s="2836"/>
      <c r="V15" s="2844"/>
    </row>
    <row r="16" spans="1:22" s="2848" customFormat="1" ht="13.15" customHeight="1">
      <c r="A16" s="2891" t="s">
        <v>2378</v>
      </c>
      <c r="B16" s="3705" t="s">
        <v>2379</v>
      </c>
      <c r="C16" s="3706"/>
      <c r="D16" s="2903">
        <f>D6*E16</f>
        <v>0</v>
      </c>
      <c r="E16" s="2904"/>
      <c r="F16" s="2889" t="s">
        <v>2380</v>
      </c>
      <c r="G16" s="2868"/>
      <c r="H16" s="2843"/>
      <c r="I16" s="2844"/>
      <c r="J16" s="3695"/>
      <c r="K16" s="3697"/>
      <c r="L16" s="2878" t="s">
        <v>2381</v>
      </c>
      <c r="M16" s="2879"/>
      <c r="N16" s="2879"/>
      <c r="O16" s="2880"/>
      <c r="P16" s="2881">
        <v>365</v>
      </c>
      <c r="Q16" s="2855"/>
      <c r="R16" s="2902">
        <f>ROUND(M16*N16*O16*P16/10000,0)</f>
        <v>0</v>
      </c>
      <c r="S16" s="2836"/>
      <c r="T16" s="2836"/>
      <c r="U16" s="2836"/>
      <c r="V16" s="2844"/>
    </row>
    <row r="17" spans="1:22" s="2848" customFormat="1" ht="13.15" customHeight="1" thickBot="1">
      <c r="A17" s="2905">
        <v>4</v>
      </c>
      <c r="B17" s="3707" t="s">
        <v>2382</v>
      </c>
      <c r="C17" s="3708"/>
      <c r="D17" s="2906">
        <f>ROUND(D6*E17,0)</f>
        <v>0</v>
      </c>
      <c r="E17" s="2907"/>
      <c r="F17" s="2908" t="s">
        <v>2383</v>
      </c>
      <c r="G17" s="2868"/>
      <c r="H17" s="2843"/>
      <c r="I17" s="2844"/>
      <c r="J17" s="3695"/>
      <c r="K17" s="3697"/>
      <c r="L17" s="2878" t="s">
        <v>2384</v>
      </c>
      <c r="M17" s="2879"/>
      <c r="N17" s="2879"/>
      <c r="O17" s="2880"/>
      <c r="P17" s="2881">
        <v>365</v>
      </c>
      <c r="Q17" s="2855"/>
      <c r="R17" s="2902">
        <f>ROUND(M17*N17*O17*P17/10000,0)</f>
        <v>0</v>
      </c>
      <c r="S17" s="2836"/>
      <c r="T17" s="2836"/>
      <c r="U17" s="2836"/>
      <c r="V17" s="2844"/>
    </row>
    <row r="18" spans="1:22" s="2848" customFormat="1" ht="13.15" customHeight="1" thickBot="1">
      <c r="A18" s="2871" t="s">
        <v>2385</v>
      </c>
      <c r="B18" s="2872"/>
      <c r="C18" s="2872"/>
      <c r="D18" s="2909">
        <f>ROUND(D6*E18,0)</f>
        <v>0</v>
      </c>
      <c r="E18" s="2910"/>
      <c r="F18" s="2911" t="s">
        <v>2386</v>
      </c>
      <c r="G18" s="2868"/>
      <c r="H18" s="2843"/>
      <c r="I18" s="2844"/>
      <c r="J18" s="3695"/>
      <c r="K18" s="3697"/>
      <c r="L18" s="2878" t="s">
        <v>2387</v>
      </c>
      <c r="M18" s="2879"/>
      <c r="N18" s="2879"/>
      <c r="O18" s="2880"/>
      <c r="P18" s="2881">
        <v>365</v>
      </c>
      <c r="Q18" s="2855"/>
      <c r="R18" s="2902">
        <f>ROUND(M18*N18*O18*P18/10000,0)</f>
        <v>0</v>
      </c>
      <c r="S18" s="2836"/>
      <c r="T18" s="2836"/>
      <c r="U18" s="2836"/>
      <c r="V18" s="2844"/>
    </row>
    <row r="19" spans="1:22" s="2848" customFormat="1" ht="13.15" customHeight="1" thickBot="1">
      <c r="A19" s="2912" t="s">
        <v>2388</v>
      </c>
      <c r="B19" s="2866"/>
      <c r="C19" s="2866"/>
      <c r="D19" s="2866"/>
      <c r="E19" s="2866"/>
      <c r="F19" s="2867"/>
      <c r="G19" s="2887"/>
      <c r="H19" s="2843"/>
      <c r="I19" s="2844"/>
      <c r="J19" s="3695"/>
      <c r="K19" s="3698"/>
      <c r="L19" s="2898" t="s">
        <v>2368</v>
      </c>
      <c r="M19" s="2899"/>
      <c r="N19" s="2899">
        <f>SUM(N16:N18)</f>
        <v>0</v>
      </c>
      <c r="O19" s="2900"/>
      <c r="P19" s="2913" t="s">
        <v>2432</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5">
        <v>3</v>
      </c>
      <c r="K20" s="3696"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15" customHeight="1">
      <c r="A21" s="2871"/>
      <c r="B21" s="2872"/>
      <c r="C21" s="2918" t="s">
        <v>2397</v>
      </c>
      <c r="D21" s="2919" t="s">
        <v>2398</v>
      </c>
      <c r="E21" s="2920" t="s">
        <v>2399</v>
      </c>
      <c r="F21" s="2915"/>
      <c r="G21" s="2887"/>
      <c r="H21" s="2843"/>
      <c r="I21" s="2844"/>
      <c r="J21" s="3695"/>
      <c r="K21" s="3697"/>
      <c r="L21" s="2878" t="s">
        <v>2400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2401</v>
      </c>
      <c r="D22" s="2923" t="s">
        <v>2402</v>
      </c>
      <c r="E22" s="2924" t="s">
        <v>2403</v>
      </c>
      <c r="F22" s="2915"/>
      <c r="G22" s="2925"/>
      <c r="H22" s="2843"/>
      <c r="I22" s="2844"/>
      <c r="J22" s="3695"/>
      <c r="K22" s="3697"/>
      <c r="L22" s="2878" t="s">
        <v>2404</v>
      </c>
      <c r="M22" s="2879"/>
      <c r="N22" s="2879"/>
      <c r="O22" s="2880"/>
      <c r="P22" s="2881">
        <v>365</v>
      </c>
      <c r="Q22" s="2855"/>
      <c r="R22" s="2921">
        <f>ROUND(M22*N22*O22*P22/10000,0)</f>
        <v>0</v>
      </c>
      <c r="S22" s="2917"/>
      <c r="T22" s="2917"/>
      <c r="U22" s="2917"/>
      <c r="V22" s="2844"/>
    </row>
    <row r="23" spans="1:22" s="2848" customFormat="1" ht="13.15" customHeight="1">
      <c r="A23" s="2926">
        <v>1</v>
      </c>
      <c r="B23" s="2927" t="s">
        <v>2405</v>
      </c>
      <c r="C23" s="2928">
        <f>D6</f>
        <v>0</v>
      </c>
      <c r="D23" s="2929">
        <f>C23*(1+D24)</f>
        <v>0</v>
      </c>
      <c r="E23" s="2930">
        <f>D23*(1+E24)</f>
        <v>0</v>
      </c>
      <c r="F23" s="2931"/>
      <c r="G23" s="2932"/>
      <c r="H23" s="2843"/>
      <c r="I23" s="2844"/>
      <c r="J23" s="3695"/>
      <c r="K23" s="3697"/>
      <c r="L23" s="2878" t="s">
        <v>2406</v>
      </c>
      <c r="M23" s="2879"/>
      <c r="N23" s="2879"/>
      <c r="O23" s="2880"/>
      <c r="P23" s="2881">
        <v>365</v>
      </c>
      <c r="Q23" s="2855"/>
      <c r="R23" s="2921">
        <f>ROUND(M23*N23*O23*P23/10000,0)</f>
        <v>0</v>
      </c>
      <c r="S23" s="2836"/>
      <c r="T23" s="2836"/>
      <c r="U23" s="2836"/>
      <c r="V23" s="2844"/>
    </row>
    <row r="24" spans="1:22" s="2848" customFormat="1" ht="13.15" customHeight="1">
      <c r="A24" s="2933"/>
      <c r="B24" s="2934" t="s">
        <v>2407</v>
      </c>
      <c r="C24" s="2935"/>
      <c r="D24" s="2936"/>
      <c r="E24" s="2937"/>
      <c r="F24" s="2938"/>
      <c r="G24" s="2932"/>
      <c r="H24" s="2843"/>
      <c r="I24" s="2844"/>
      <c r="J24" s="3695"/>
      <c r="K24" s="3698"/>
      <c r="L24" s="2898" t="s">
        <v>2368</v>
      </c>
      <c r="M24" s="2899">
        <f>SUM(M21:M23)</f>
        <v>0</v>
      </c>
      <c r="N24" s="2899"/>
      <c r="O24" s="2900"/>
      <c r="P24" s="2913" t="s">
        <v>2432</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2408</v>
      </c>
      <c r="L25" s="2941"/>
      <c r="M25" s="2941"/>
      <c r="N25" s="2941"/>
      <c r="O25" s="2941"/>
      <c r="P25" s="2942"/>
      <c r="Q25" s="2943">
        <v>0</v>
      </c>
      <c r="R25" s="2914">
        <f>ROUND(R14*Q25,0)</f>
        <v>0</v>
      </c>
      <c r="S25" s="2836"/>
      <c r="T25" s="2836"/>
      <c r="U25" s="2836"/>
      <c r="V25" s="2944"/>
    </row>
    <row r="26" spans="1:22" s="2945" customFormat="1" ht="13.15" customHeight="1">
      <c r="A26" s="2926">
        <v>2</v>
      </c>
      <c r="B26" s="2927" t="s">
        <v>2409</v>
      </c>
      <c r="C26" s="2928">
        <f>D7</f>
        <v>0</v>
      </c>
      <c r="D26" s="2929">
        <f>D23*D27</f>
        <v>0</v>
      </c>
      <c r="E26" s="2930">
        <f>E23*E27</f>
        <v>0</v>
      </c>
      <c r="F26" s="2931"/>
      <c r="G26" s="2932"/>
      <c r="H26" s="2843"/>
      <c r="I26" s="2844"/>
      <c r="J26" s="3699">
        <v>5</v>
      </c>
      <c r="K26" s="2946" t="s">
        <v>2410</v>
      </c>
      <c r="L26" s="2947"/>
      <c r="M26" s="2948"/>
      <c r="N26" s="2949" t="s">
        <v>2411</v>
      </c>
      <c r="O26" s="2949" t="s">
        <v>2412</v>
      </c>
      <c r="P26" s="2950" t="s">
        <v>2413</v>
      </c>
      <c r="Q26" s="2950" t="s">
        <v>2414</v>
      </c>
      <c r="R26" s="2853" t="s">
        <v>2339</v>
      </c>
      <c r="S26" s="2951"/>
      <c r="T26" s="2951"/>
      <c r="U26" s="2951"/>
      <c r="V26" s="2944"/>
    </row>
    <row r="27" spans="1:22" s="2848" customFormat="1" ht="13.15" customHeight="1">
      <c r="A27" s="2933"/>
      <c r="B27" s="2934" t="s">
        <v>2415</v>
      </c>
      <c r="C27" s="2952" t="e">
        <f>E7</f>
        <v>#DIV/0!</v>
      </c>
      <c r="D27" s="2936"/>
      <c r="E27" s="2937"/>
      <c r="F27" s="2938"/>
      <c r="G27" s="2932"/>
      <c r="H27" s="2953"/>
      <c r="I27" s="2944"/>
      <c r="J27" s="370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15" customHeight="1">
      <c r="A29" s="2926">
        <v>3</v>
      </c>
      <c r="B29" s="2927" t="s">
        <v>2421</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2415</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15" customHeight="1">
      <c r="A32" s="2926">
        <v>4</v>
      </c>
      <c r="B32" s="2927" t="s">
        <v>2423</v>
      </c>
      <c r="C32" s="2928">
        <f>C23-C26-C29</f>
        <v>0</v>
      </c>
      <c r="D32" s="2929">
        <f>D23-D26-D29</f>
        <v>0</v>
      </c>
      <c r="E32" s="2930">
        <f>E23-E26-E29</f>
        <v>0</v>
      </c>
      <c r="F32" s="2931"/>
      <c r="G32" s="2925"/>
      <c r="H32" s="2843"/>
      <c r="I32" s="2844"/>
      <c r="J32" s="3701" t="s">
        <v>2315</v>
      </c>
      <c r="K32" s="3702"/>
      <c r="L32" s="2845" t="s">
        <v>2316</v>
      </c>
      <c r="M32" s="2845" t="s">
        <v>2317</v>
      </c>
      <c r="N32" s="2845" t="s">
        <v>2318</v>
      </c>
      <c r="O32" s="2845" t="s">
        <v>2319</v>
      </c>
      <c r="P32" s="2845" t="s">
        <v>2320</v>
      </c>
      <c r="Q32" s="2846" t="s">
        <v>2321</v>
      </c>
      <c r="R32" s="2968" t="s">
        <v>2322</v>
      </c>
      <c r="S32" s="2917"/>
      <c r="T32" s="2836"/>
      <c r="U32" s="2836"/>
      <c r="V32" s="2944"/>
    </row>
    <row r="33" spans="1:23" s="2848" customFormat="1" ht="13.15" customHeight="1">
      <c r="A33" s="2926"/>
      <c r="B33" s="2927"/>
      <c r="C33" s="2928"/>
      <c r="D33" s="2969"/>
      <c r="E33" s="2970"/>
      <c r="F33" s="2931"/>
      <c r="G33" s="2925"/>
      <c r="H33" s="2953"/>
      <c r="I33" s="2944"/>
      <c r="J33" s="3703" t="s">
        <v>2325</v>
      </c>
      <c r="K33" s="3704"/>
      <c r="L33" s="2851"/>
      <c r="M33" s="2851"/>
      <c r="N33" s="2851"/>
      <c r="O33" s="2851"/>
      <c r="P33" s="2851"/>
      <c r="Q33" s="2852"/>
      <c r="R33" s="2971">
        <f>SUM(L33:Q33)</f>
        <v>0</v>
      </c>
      <c r="S33" s="2917"/>
      <c r="T33" s="2836"/>
      <c r="U33" s="2836"/>
      <c r="V33" s="2844"/>
    </row>
    <row r="34" spans="1:23" s="2848" customFormat="1" ht="13.15" customHeight="1">
      <c r="A34" s="2926">
        <v>5</v>
      </c>
      <c r="B34" s="2927" t="s">
        <v>2424</v>
      </c>
      <c r="C34" s="2972"/>
      <c r="D34" s="2973"/>
      <c r="E34" s="2974"/>
      <c r="F34" s="2931"/>
      <c r="G34" s="2925"/>
      <c r="H34" s="2953"/>
      <c r="I34" s="2944"/>
      <c r="J34" s="3703" t="s">
        <v>2327</v>
      </c>
      <c r="K34" s="370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2425</v>
      </c>
      <c r="C35" s="2976"/>
      <c r="D35" s="2977"/>
      <c r="E35" s="2978"/>
      <c r="F35" s="2931"/>
      <c r="G35" s="2979"/>
      <c r="H35" s="2843"/>
      <c r="I35" s="2944"/>
      <c r="J35" s="2862" t="s">
        <v>2329</v>
      </c>
      <c r="K35" s="2863"/>
      <c r="L35" s="2863"/>
      <c r="M35" s="2864"/>
      <c r="N35" s="2864"/>
      <c r="O35" s="2864"/>
      <c r="P35" s="2864"/>
      <c r="Q35" s="2864"/>
      <c r="R35" s="2980">
        <f>R40+R41+R43</f>
        <v>0</v>
      </c>
      <c r="S35" s="2917"/>
      <c r="T35" s="2836" t="s">
        <v>2330</v>
      </c>
      <c r="U35" s="2836"/>
      <c r="V35" s="2844"/>
    </row>
    <row r="36" spans="1:23" s="2848" customFormat="1" ht="13.15" customHeight="1" thickBot="1">
      <c r="A36" s="2926">
        <v>7</v>
      </c>
      <c r="B36" s="2981" t="s">
        <v>2426</v>
      </c>
      <c r="C36" s="2982"/>
      <c r="D36" s="2983"/>
      <c r="E36" s="2984"/>
      <c r="F36" s="2985">
        <f>C36+D36+E36</f>
        <v>0</v>
      </c>
      <c r="G36" s="2925"/>
      <c r="H36" s="2843"/>
      <c r="I36" s="2844"/>
      <c r="J36" s="3695">
        <v>1</v>
      </c>
      <c r="K36" s="3696" t="s">
        <v>2427</v>
      </c>
      <c r="L36" s="2869"/>
      <c r="M36" s="2870"/>
      <c r="N36" s="2870"/>
      <c r="O36" s="2870"/>
      <c r="P36" s="2870"/>
      <c r="Q36" s="2870"/>
      <c r="R36" s="2853" t="s">
        <v>2339</v>
      </c>
      <c r="S36" s="2917"/>
      <c r="T36" s="2836" t="s">
        <v>2340</v>
      </c>
      <c r="U36" s="2836"/>
      <c r="V36" s="2844"/>
    </row>
    <row r="37" spans="1:23" s="2848" customFormat="1" ht="13.15" customHeight="1">
      <c r="A37" s="2926"/>
      <c r="B37" s="2927"/>
      <c r="C37" s="2927"/>
      <c r="D37" s="2927"/>
      <c r="E37" s="2927"/>
      <c r="F37" s="2931"/>
      <c r="G37" s="2925"/>
      <c r="H37" s="2843"/>
      <c r="I37" s="2844"/>
      <c r="J37" s="3695"/>
      <c r="K37" s="3697"/>
      <c r="L37" s="2878"/>
      <c r="M37" s="2879"/>
      <c r="N37" s="2855"/>
      <c r="O37" s="2880"/>
      <c r="P37" s="2880"/>
      <c r="Q37" s="2881"/>
      <c r="R37" s="2882"/>
      <c r="S37" s="2917"/>
      <c r="T37" s="2836" t="s">
        <v>2343</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5"/>
      <c r="K38" s="3697"/>
      <c r="L38" s="2878"/>
      <c r="M38" s="2879"/>
      <c r="N38" s="2855"/>
      <c r="O38" s="2880"/>
      <c r="P38" s="2880"/>
      <c r="Q38" s="2881"/>
      <c r="R38" s="2882"/>
      <c r="S38" s="2917"/>
      <c r="T38" s="2836" t="s">
        <v>2350</v>
      </c>
      <c r="U38" s="2836"/>
      <c r="V38" s="2844"/>
    </row>
    <row r="39" spans="1:23" s="2848" customFormat="1" ht="13.15" customHeight="1">
      <c r="A39" s="2926">
        <v>9</v>
      </c>
      <c r="B39" s="2927" t="s">
        <v>2428</v>
      </c>
      <c r="C39" s="2892" t="e">
        <f>C38</f>
        <v>#DIV/0!</v>
      </c>
      <c r="D39" s="2927">
        <f>D38/(1+D34)^C36</f>
        <v>0</v>
      </c>
      <c r="E39" s="2927">
        <f>E38/(1+E34)^(C36+D36)</f>
        <v>0</v>
      </c>
      <c r="F39" s="2931"/>
      <c r="G39" s="2986"/>
      <c r="H39" s="2843"/>
      <c r="I39" s="2844"/>
      <c r="J39" s="3695"/>
      <c r="K39" s="3697"/>
      <c r="L39" s="2878"/>
      <c r="M39" s="2879"/>
      <c r="N39" s="2855"/>
      <c r="O39" s="2880"/>
      <c r="P39" s="2880"/>
      <c r="Q39" s="2881"/>
      <c r="R39" s="2882"/>
      <c r="S39" s="2917"/>
      <c r="T39" s="2836"/>
      <c r="U39" s="2836"/>
      <c r="V39" s="2844"/>
    </row>
    <row r="40" spans="1:23" s="2848" customFormat="1" ht="13.15" customHeight="1">
      <c r="A40" s="2987">
        <v>10</v>
      </c>
      <c r="B40" s="2927" t="s">
        <v>2429</v>
      </c>
      <c r="C40" s="2988" t="e">
        <f>C39+D39+E39</f>
        <v>#DIV/0!</v>
      </c>
      <c r="D40" s="2989"/>
      <c r="E40" s="2989"/>
      <c r="F40" s="2990"/>
      <c r="G40" s="2925"/>
      <c r="H40" s="2843"/>
      <c r="I40" s="2844"/>
      <c r="J40" s="3695"/>
      <c r="K40" s="3698"/>
      <c r="L40" s="2898" t="s">
        <v>2368</v>
      </c>
      <c r="M40" s="2899"/>
      <c r="N40" s="2899"/>
      <c r="O40" s="2900"/>
      <c r="P40" s="2900"/>
      <c r="Q40" s="2901"/>
      <c r="R40" s="2847">
        <f>SUM(R37:R39)</f>
        <v>0</v>
      </c>
      <c r="S40" s="2917"/>
      <c r="T40" s="2836"/>
      <c r="U40" s="2836"/>
      <c r="V40" s="2844"/>
    </row>
    <row r="41" spans="1:23" s="2848" customFormat="1" ht="13.15" customHeight="1" thickBot="1">
      <c r="A41" s="2991">
        <v>11</v>
      </c>
      <c r="B41" s="2992" t="s">
        <v>2430</v>
      </c>
      <c r="C41" s="2992" t="e">
        <f>ROUND(C40*10000/B4,0)</f>
        <v>#DIV/0!</v>
      </c>
      <c r="D41" s="2993"/>
      <c r="E41" s="2993"/>
      <c r="F41" s="2994"/>
      <c r="G41" s="2995"/>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15" customHeight="1">
      <c r="G42" s="2995"/>
      <c r="H42" s="2843"/>
      <c r="I42" s="2844"/>
      <c r="J42" s="3699">
        <v>3</v>
      </c>
      <c r="K42" s="2946" t="s">
        <v>2410</v>
      </c>
      <c r="L42" s="2947"/>
      <c r="M42" s="2948"/>
      <c r="N42" s="2949" t="s">
        <v>2411</v>
      </c>
      <c r="O42" s="2949" t="s">
        <v>2412</v>
      </c>
      <c r="P42" s="2950" t="s">
        <v>2413</v>
      </c>
      <c r="Q42" s="2950" t="s">
        <v>2414</v>
      </c>
      <c r="R42" s="2853" t="s">
        <v>2339</v>
      </c>
      <c r="S42" s="2951"/>
      <c r="T42" s="2951"/>
      <c r="U42" s="2836"/>
      <c r="V42" s="2844"/>
    </row>
    <row r="43" spans="1:23" ht="13.15" customHeight="1">
      <c r="A43" s="2848"/>
      <c r="B43" s="2848"/>
      <c r="C43" s="2848"/>
      <c r="D43" s="2848"/>
      <c r="E43" s="2848"/>
      <c r="F43" s="2848"/>
      <c r="I43" s="2831"/>
      <c r="J43" s="370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2417</v>
      </c>
      <c r="L44" s="2999" t="s">
        <v>2418</v>
      </c>
      <c r="M44" s="2962"/>
      <c r="N44" s="2999" t="s">
        <v>2419</v>
      </c>
      <c r="O44" s="2962"/>
      <c r="P44" s="2999" t="s">
        <v>2420</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567.45600000000002</v>
      </c>
      <c r="C2" s="1871" t="s">
        <v>1651</v>
      </c>
      <c r="D2" s="1872" t="s">
        <v>1652</v>
      </c>
      <c r="E2" s="2602">
        <f>SUM(E6:E13)</f>
        <v>69.099999999999994</v>
      </c>
      <c r="F2" s="2702"/>
      <c r="G2" s="1488"/>
      <c r="H2" s="1488"/>
      <c r="I2" s="1488"/>
      <c r="J2" s="1488"/>
      <c r="K2" s="1488"/>
      <c r="L2" s="1488"/>
      <c r="M2" s="1488"/>
      <c r="N2" s="1488"/>
      <c r="O2" s="1488"/>
      <c r="P2" s="1488"/>
      <c r="Q2" s="1488"/>
      <c r="R2" s="1488"/>
      <c r="S2" s="1488"/>
    </row>
    <row r="3" spans="1:22" ht="15.75">
      <c r="A3" s="1869" t="s">
        <v>686</v>
      </c>
      <c r="B3" s="2596">
        <f ca="1">ROUND(B2*10000/E2,0)</f>
        <v>82121</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714" t="s">
        <v>1654</v>
      </c>
      <c r="C5" s="3715"/>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567.45600000000002</v>
      </c>
      <c r="C6" s="1871" t="s">
        <v>1651</v>
      </c>
      <c r="D6" s="2704"/>
      <c r="E6" s="2601">
        <f>IF(OR(A6=0,F6="否"),0,'数据-取费表'!K6+'数据-取费表'!S6)</f>
        <v>69.099999999999994</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1" zoomScale="90" zoomScaleNormal="60" zoomScaleSheetLayoutView="90" workbookViewId="0">
      <selection activeCell="K60" sqref="K6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3375</v>
      </c>
      <c r="E1" s="3421" t="s">
        <v>3400</v>
      </c>
      <c r="F1" s="1878" t="s">
        <v>3393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852.12739999999997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123318</v>
      </c>
      <c r="C3" s="354" t="s">
        <v>1665</v>
      </c>
      <c r="D3" s="353">
        <f>IF(D1="",'数据-汇总表'!E3,SUMIF('数据-汇总表'!$C19:$C33,D1,'数据-汇总表'!$E19:$E33))</f>
        <v>69.099999999999994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34" t="s">
        <v>1667</v>
      </c>
      <c r="D4" s="3735"/>
      <c r="E4" s="3736" t="s">
        <v>1668</v>
      </c>
      <c r="F4" s="3737"/>
      <c r="G4" s="3734" t="s">
        <v>1669</v>
      </c>
      <c r="H4" s="3735"/>
      <c r="I4" s="3734" t="s">
        <v>1670</v>
      </c>
      <c r="J4" s="3735"/>
      <c r="K4" s="1888" t="s">
        <v>1671</v>
      </c>
      <c r="L4" s="2710"/>
      <c r="M4" s="2711"/>
      <c r="N4" s="2711"/>
      <c r="O4" s="2711"/>
      <c r="P4" s="3738" t="s">
        <v>1672</v>
      </c>
      <c r="Q4" s="3739"/>
      <c r="R4" s="3744" t="s">
        <v>1668</v>
      </c>
      <c r="S4" s="3745"/>
      <c r="T4" s="3744" t="s">
        <v>1669</v>
      </c>
      <c r="U4" s="3745"/>
      <c r="V4" s="3750" t="s">
        <v>1670</v>
      </c>
      <c r="W4" s="3750"/>
      <c r="X4" s="1354"/>
      <c r="Y4" s="3744" t="s">
        <v>1672</v>
      </c>
      <c r="Z4" s="3745"/>
      <c r="AA4" s="3731" t="s">
        <v>1668</v>
      </c>
      <c r="AB4" s="3731" t="s">
        <v>1669</v>
      </c>
      <c r="AC4" s="3731" t="s">
        <v>1670</v>
      </c>
    </row>
    <row r="5" spans="1:29" ht="15">
      <c r="A5" s="358"/>
      <c r="B5" s="359"/>
      <c r="C5" s="3758" t="s">
        <v>3476</v>
      </c>
      <c r="D5" s="3754"/>
      <c r="E5" s="3761" t="str">
        <f>案例!C2</f>
        <v>月坛西街西里</v>
      </c>
      <c r="F5" s="3762"/>
      <c r="G5" s="3753" t="str">
        <f>E5</f>
        <v>月坛西街西里</v>
      </c>
      <c r="H5" s="3754"/>
      <c r="I5" s="3753" t="str">
        <f>E5</f>
        <v>月坛西街西里</v>
      </c>
      <c r="J5" s="3754"/>
      <c r="K5" s="1889"/>
      <c r="L5" s="2710"/>
      <c r="M5" s="2711"/>
      <c r="N5" s="2711"/>
      <c r="O5" s="2711"/>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1889" t="s">
        <v>1678</v>
      </c>
      <c r="L6" s="2710"/>
      <c r="M6" s="2711"/>
      <c r="N6" s="2711"/>
      <c r="O6" s="2711"/>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45250</v>
      </c>
      <c r="D7" s="365">
        <v>100</v>
      </c>
      <c r="E7" s="366">
        <f>案例!L2</f>
        <v>45196</v>
      </c>
      <c r="F7" s="367">
        <f>SUMIF(58:58,YEAR(E7)&amp;"-"&amp;MONTH(E7),59:59)</f>
        <v>100.1</v>
      </c>
      <c r="G7" s="366">
        <f>案例!L3</f>
        <v>45185</v>
      </c>
      <c r="H7" s="365">
        <f>SUMIF(58:58,YEAR(G7)&amp;"-"&amp;MONTH(G7),59:59)</f>
        <v>100.1</v>
      </c>
      <c r="I7" s="3502">
        <f>案例!L4</f>
        <v>45043</v>
      </c>
      <c r="J7" s="3503">
        <f>SUMIF(58:58,YEAR(I7)&amp;"-"&amp;MONTH(I7),59:59)</f>
        <v>100.2</v>
      </c>
      <c r="K7" s="3500"/>
      <c r="L7" s="2712"/>
      <c r="M7" s="2713"/>
      <c r="N7" s="2713"/>
      <c r="O7" s="2713"/>
      <c r="P7" s="3755" t="s">
        <v>1680</v>
      </c>
      <c r="Q7" s="3757"/>
      <c r="R7" s="701" t="s">
        <v>20</v>
      </c>
      <c r="S7" s="702">
        <f t="shared" ref="S7:S15" si="0">F7</f>
        <v>100.1</v>
      </c>
      <c r="T7" s="701" t="s">
        <v>20</v>
      </c>
      <c r="U7" s="702">
        <f t="shared" ref="U7:U15" si="1">H7</f>
        <v>100.1</v>
      </c>
      <c r="V7" s="701" t="s">
        <v>20</v>
      </c>
      <c r="W7" s="702">
        <f t="shared" ref="W7:W15" si="2">J7</f>
        <v>100.2</v>
      </c>
      <c r="X7" s="703"/>
      <c r="Y7" s="3755" t="s">
        <v>1680</v>
      </c>
      <c r="Z7" s="3756"/>
      <c r="AA7" s="704">
        <f>D7/F7</f>
        <v>0.99900099900099903</v>
      </c>
      <c r="AB7" s="704">
        <f>D7/H7</f>
        <v>0.99900099900099903</v>
      </c>
      <c r="AC7" s="704">
        <f>D7/J7</f>
        <v>0.99800399201596801</v>
      </c>
    </row>
    <row r="8" spans="1:29" s="108" customFormat="1" ht="15.75" thickBot="1">
      <c r="A8" s="362" t="s">
        <v>1681</v>
      </c>
      <c r="B8" s="363"/>
      <c r="C8" s="368" t="s">
        <v>3422</v>
      </c>
      <c r="D8" s="365">
        <v>100</v>
      </c>
      <c r="E8" s="368" t="s">
        <v>3422</v>
      </c>
      <c r="F8" s="367">
        <f>SUMIF(61:61,E8,62:62)-SUMIF(61:61,C8,62:62)+100</f>
        <v>100</v>
      </c>
      <c r="G8" s="368" t="s">
        <v>3422</v>
      </c>
      <c r="H8" s="365">
        <f>SUMIF(61:61,G8,62:62)-SUMIF(61:61,C8,62:62)+100</f>
        <v>100</v>
      </c>
      <c r="I8" s="368" t="s">
        <v>3422</v>
      </c>
      <c r="J8" s="365">
        <f>SUMIF(61:61,I8,62:62)-SUMIF(61:61,C8,62:62)+100</f>
        <v>100</v>
      </c>
      <c r="K8" s="1890"/>
      <c r="L8" s="2712"/>
      <c r="M8" s="2713"/>
      <c r="N8" s="2713"/>
      <c r="O8" s="2713"/>
      <c r="P8" s="3755" t="s">
        <v>1683</v>
      </c>
      <c r="Q8" s="3756"/>
      <c r="R8" s="701" t="s">
        <v>20</v>
      </c>
      <c r="S8" s="702">
        <f t="shared" si="0"/>
        <v>100</v>
      </c>
      <c r="T8" s="701" t="s">
        <v>20</v>
      </c>
      <c r="U8" s="702">
        <f t="shared" si="1"/>
        <v>100</v>
      </c>
      <c r="V8" s="701" t="s">
        <v>20</v>
      </c>
      <c r="W8" s="702">
        <f t="shared" si="2"/>
        <v>100</v>
      </c>
      <c r="X8" s="703"/>
      <c r="Y8" s="3755" t="s">
        <v>1683</v>
      </c>
      <c r="Z8" s="3756"/>
      <c r="AA8" s="704">
        <f t="shared" ref="AA8:AA19" si="3">D8/F8</f>
        <v>1</v>
      </c>
      <c r="AB8" s="704">
        <f t="shared" ref="AB8:AB19" si="4">D8/H8</f>
        <v>1</v>
      </c>
      <c r="AC8" s="704">
        <f t="shared" ref="AC8:AC19" si="5">D8/J8</f>
        <v>1</v>
      </c>
    </row>
    <row r="9" spans="1:29" s="108" customFormat="1">
      <c r="A9" s="369" t="s">
        <v>1684</v>
      </c>
      <c r="B9" s="63" t="s">
        <v>1685</v>
      </c>
      <c r="C9" s="3467" t="s">
        <v>3434</v>
      </c>
      <c r="D9" s="126">
        <v>100</v>
      </c>
      <c r="E9" s="371" t="s">
        <v>3375</v>
      </c>
      <c r="F9" s="372">
        <f>SUMIF(63:63,E9,64:64)-SUMIF(63:63,C9,64:64)+100</f>
        <v>100</v>
      </c>
      <c r="G9" s="373" t="s">
        <v>3375</v>
      </c>
      <c r="H9" s="126">
        <f>SUMIF(63:63,G9,64:64)-SUMIF(63:63,C9,64:64)+100</f>
        <v>100</v>
      </c>
      <c r="I9" s="373" t="s">
        <v>3375</v>
      </c>
      <c r="J9" s="126">
        <f>SUMIF(63:63,I9,64:64)-SUMIF(63:63,C9,64:64)+100</f>
        <v>100</v>
      </c>
      <c r="K9" s="1890"/>
      <c r="L9" s="2712"/>
      <c r="M9" s="2713"/>
      <c r="N9" s="2713"/>
      <c r="O9" s="2713"/>
      <c r="P9" s="3730"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75" thickBot="1">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30"/>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30"/>
      <c r="Q11" s="1342" t="str">
        <f t="shared" si="6"/>
        <v>容积率</v>
      </c>
      <c r="R11" s="701" t="s">
        <v>18</v>
      </c>
      <c r="S11" s="702">
        <f t="shared" si="0"/>
        <v>100</v>
      </c>
      <c r="T11" s="701" t="s">
        <v>18</v>
      </c>
      <c r="U11" s="702">
        <f t="shared" si="1"/>
        <v>100</v>
      </c>
      <c r="V11" s="701" t="s">
        <v>18</v>
      </c>
      <c r="W11" s="702">
        <f t="shared" si="2"/>
        <v>100</v>
      </c>
      <c r="X11" s="703"/>
      <c r="Y11" s="3594"/>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30"/>
      <c r="Q12" s="1342">
        <f t="shared" si="6"/>
        <v>111</v>
      </c>
      <c r="R12" s="701" t="s">
        <v>18</v>
      </c>
      <c r="S12" s="702">
        <f t="shared" si="0"/>
        <v>100</v>
      </c>
      <c r="T12" s="701" t="s">
        <v>18</v>
      </c>
      <c r="U12" s="702">
        <f t="shared" si="1"/>
        <v>100</v>
      </c>
      <c r="V12" s="701" t="s">
        <v>18</v>
      </c>
      <c r="W12" s="702">
        <f t="shared" si="2"/>
        <v>100</v>
      </c>
      <c r="X12" s="703"/>
      <c r="Y12" s="3594"/>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30"/>
      <c r="Q13" s="1342">
        <f t="shared" si="6"/>
        <v>111</v>
      </c>
      <c r="R13" s="701" t="s">
        <v>18</v>
      </c>
      <c r="S13" s="702">
        <f t="shared" si="0"/>
        <v>100</v>
      </c>
      <c r="T13" s="701" t="s">
        <v>18</v>
      </c>
      <c r="U13" s="702">
        <f t="shared" si="1"/>
        <v>100</v>
      </c>
      <c r="V13" s="701" t="s">
        <v>18</v>
      </c>
      <c r="W13" s="702">
        <f t="shared" si="2"/>
        <v>100</v>
      </c>
      <c r="X13" s="703"/>
      <c r="Y13" s="3594"/>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30"/>
      <c r="Q14" s="1342">
        <f t="shared" si="6"/>
        <v>111</v>
      </c>
      <c r="R14" s="701" t="s">
        <v>18</v>
      </c>
      <c r="S14" s="702">
        <f t="shared" si="0"/>
        <v>100</v>
      </c>
      <c r="T14" s="701" t="s">
        <v>18</v>
      </c>
      <c r="U14" s="702">
        <f t="shared" si="1"/>
        <v>100</v>
      </c>
      <c r="V14" s="701" t="s">
        <v>18</v>
      </c>
      <c r="W14" s="702">
        <f t="shared" si="2"/>
        <v>100</v>
      </c>
      <c r="X14" s="703"/>
      <c r="Y14" s="3594"/>
      <c r="Z14" s="52">
        <f t="shared" si="7"/>
        <v>111</v>
      </c>
      <c r="AA14" s="704">
        <f t="shared" si="3"/>
        <v>1</v>
      </c>
      <c r="AB14" s="704">
        <f t="shared" si="4"/>
        <v>1</v>
      </c>
      <c r="AC14" s="704">
        <f t="shared" si="5"/>
        <v>1</v>
      </c>
    </row>
    <row r="15" spans="1:29" ht="41.25" customHeight="1">
      <c r="A15" s="391" t="s">
        <v>1690</v>
      </c>
      <c r="B15" s="61" t="s">
        <v>1257</v>
      </c>
      <c r="C15" s="1894" t="str">
        <f>估价对象房地状况!C3</f>
        <v>周边有三里河一区5号院、月坛西街乙2号院、月坛北小街小区等住宅小区，居住社区成熟度较好。</v>
      </c>
      <c r="D15" s="392">
        <v>100</v>
      </c>
      <c r="E15" s="3470" t="str">
        <f>估价对象房地状况!C3</f>
        <v>周边有三里河一区5号院、月坛西街乙2号院、月坛北小街小区等住宅小区，居住社区成熟度较好。</v>
      </c>
      <c r="F15" s="392">
        <f>SUMIF(76:76,E16,77:77)-SUMIF(76:76,C16,77:77)+100</f>
        <v>100</v>
      </c>
      <c r="G15" s="3481" t="str">
        <f>E15</f>
        <v>周边有三里河一区5号院、月坛西街乙2号院、月坛北小街小区等住宅小区，居住社区成熟度较好。</v>
      </c>
      <c r="H15" s="392">
        <f>SUMIF(76:76,G16,77:77)-SUMIF(76:76,C16,77:77)+100</f>
        <v>100</v>
      </c>
      <c r="I15" s="3481" t="str">
        <f>E15</f>
        <v>周边有三里河一区5号院、月坛西街乙2号院、月坛北小街小区等住宅小区，居住社区成熟度较好。</v>
      </c>
      <c r="J15" s="392">
        <f>SUMIF(76:76,I16,77:77)-SUMIF(76:76,C16,77:77)+100</f>
        <v>100</v>
      </c>
      <c r="K15" s="396"/>
      <c r="L15" s="2717"/>
      <c r="M15" s="2711"/>
      <c r="N15" s="2711"/>
      <c r="O15" s="2711"/>
      <c r="P15" s="3728"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t="s">
        <v>3406</v>
      </c>
      <c r="D16" s="399"/>
      <c r="E16" s="398" t="s">
        <v>3406</v>
      </c>
      <c r="F16" s="399"/>
      <c r="G16" s="398" t="s">
        <v>3406</v>
      </c>
      <c r="H16" s="401"/>
      <c r="I16" s="398" t="s">
        <v>3406</v>
      </c>
      <c r="J16" s="399"/>
      <c r="K16" s="1897"/>
      <c r="L16" s="2717"/>
      <c r="M16" s="2711"/>
      <c r="N16" s="2711"/>
      <c r="O16" s="2711"/>
      <c r="P16" s="3729"/>
      <c r="Q16" s="1351"/>
      <c r="R16" s="705"/>
      <c r="S16" s="706"/>
      <c r="T16" s="705"/>
      <c r="U16" s="706"/>
      <c r="V16" s="705"/>
      <c r="W16" s="706"/>
      <c r="X16" s="1354"/>
      <c r="Y16" s="3722"/>
      <c r="Z16" s="1355"/>
      <c r="AA16" s="1352">
        <v>1</v>
      </c>
      <c r="AB16" s="1352">
        <v>1</v>
      </c>
      <c r="AC16" s="1352">
        <v>1</v>
      </c>
    </row>
    <row r="17" spans="1:29" ht="34.5" customHeight="1">
      <c r="A17" s="379"/>
      <c r="B17" s="402" t="s">
        <v>1259</v>
      </c>
      <c r="C17" s="1898" t="str">
        <f>估价对象房地状况!C6</f>
        <v>周边有10路、13路、21路、26路、68路等多条公交线路及地铁1号线南礼士路站，综合评价交通便捷度较好</v>
      </c>
      <c r="D17" s="401">
        <v>100</v>
      </c>
      <c r="E17" s="3493" t="str">
        <f>C17</f>
        <v>周边有10路、13路、21路、26路、68路等多条公交线路及地铁1号线南礼士路站，综合评价交通便捷度较好</v>
      </c>
      <c r="F17" s="401">
        <f>SUMIF(78:78,E18,79:79)-SUMIF(78:78,C18,79:79)+100</f>
        <v>100</v>
      </c>
      <c r="G17" s="3493" t="str">
        <f>E17</f>
        <v>周边有10路、13路、21路、26路、68路等多条公交线路及地铁1号线南礼士路站，综合评价交通便捷度较好</v>
      </c>
      <c r="H17" s="406">
        <f>SUMIF(78:78,G18,79:79)-SUMIF(78:78,C18,79:79)+100</f>
        <v>100</v>
      </c>
      <c r="I17" s="3494" t="str">
        <f>E17</f>
        <v>周边有10路、13路、21路、26路、68路等多条公交线路及地铁1号线南礼士路站，综合评价交通便捷度较好</v>
      </c>
      <c r="J17" s="406">
        <f>SUMIF(78:78,I18,79:79)-SUMIF(78:78,C18,79:79)+100</f>
        <v>100</v>
      </c>
      <c r="K17" s="396"/>
      <c r="L17" s="2717"/>
      <c r="M17" s="2711"/>
      <c r="N17" s="2711"/>
      <c r="O17" s="2711"/>
      <c r="P17" s="3729"/>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1899" t="s">
        <v>3406</v>
      </c>
      <c r="D18" s="401"/>
      <c r="E18" s="398" t="s">
        <v>3406</v>
      </c>
      <c r="F18" s="401"/>
      <c r="G18" s="398" t="s">
        <v>3406</v>
      </c>
      <c r="H18" s="399"/>
      <c r="I18" s="398" t="s">
        <v>3406</v>
      </c>
      <c r="J18" s="399"/>
      <c r="K18" s="1897"/>
      <c r="L18" s="2717"/>
      <c r="M18" s="2711"/>
      <c r="N18" s="2711"/>
      <c r="O18" s="2711"/>
      <c r="P18" s="3729"/>
      <c r="Q18" s="1351"/>
      <c r="R18" s="705"/>
      <c r="S18" s="706"/>
      <c r="T18" s="705"/>
      <c r="U18" s="706"/>
      <c r="V18" s="705"/>
      <c r="W18" s="706"/>
      <c r="X18" s="1354"/>
      <c r="Y18" s="3722"/>
      <c r="Z18" s="1355"/>
      <c r="AA18" s="1352">
        <v>1</v>
      </c>
      <c r="AB18" s="1352">
        <v>1</v>
      </c>
      <c r="AC18" s="1352">
        <v>1</v>
      </c>
    </row>
    <row r="19" spans="1:29" ht="299.25" customHeight="1">
      <c r="A19" s="379"/>
      <c r="B19" s="402" t="s">
        <v>1258</v>
      </c>
      <c r="C19" s="1898"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D19" s="406">
        <v>100</v>
      </c>
      <c r="E19" s="3496" t="str">
        <f>C19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F19" s="406">
        <f>SUMIF(80:80,E20,81:81)-SUMIF(80:80,C20,81:81)+100</f>
        <v>100</v>
      </c>
      <c r="G19" s="3495" t="str">
        <f>E19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H19" s="401">
        <f>SUMIF(80:80,G20,81:81)-SUMIF(80:80,C20,81:81)+100</f>
        <v>100</v>
      </c>
      <c r="I19" s="3495" t="str">
        <f>E19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J19" s="401">
        <f>SUMIF(80:80,I20,81:81)-SUMIF(80:80,C20,81:81)+100</f>
        <v>100</v>
      </c>
      <c r="K19" s="396"/>
      <c r="L19" s="2717"/>
      <c r="M19" s="2711"/>
      <c r="N19" s="2711"/>
      <c r="O19" s="2711"/>
      <c r="P19" s="3729"/>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t="s">
        <v>3406</v>
      </c>
      <c r="D20" s="399"/>
      <c r="E20" s="3482" t="s">
        <v>3406</v>
      </c>
      <c r="F20" s="399"/>
      <c r="G20" s="398" t="s">
        <v>3406</v>
      </c>
      <c r="H20" s="399"/>
      <c r="I20" s="398" t="s">
        <v>3406</v>
      </c>
      <c r="J20" s="399"/>
      <c r="K20" s="1897"/>
      <c r="L20" s="2717"/>
      <c r="M20" s="2711"/>
      <c r="N20" s="2711"/>
      <c r="O20" s="2711"/>
      <c r="P20" s="3729"/>
      <c r="Q20" s="1351"/>
      <c r="R20" s="705"/>
      <c r="S20" s="706"/>
      <c r="T20" s="705"/>
      <c r="U20" s="706"/>
      <c r="V20" s="705"/>
      <c r="W20" s="706"/>
      <c r="X20" s="1354"/>
      <c r="Y20" s="3722"/>
      <c r="Z20" s="1355"/>
      <c r="AA20" s="1352">
        <v>1</v>
      </c>
      <c r="AB20" s="1352">
        <v>1</v>
      </c>
      <c r="AC20" s="1352">
        <v>1</v>
      </c>
    </row>
    <row r="21" spans="1:29" ht="28.5">
      <c r="A21" s="379"/>
      <c r="B21" s="1131" t="s">
        <v>1260</v>
      </c>
      <c r="C21" s="1898" t="str">
        <f>估价对象房地状况!C8</f>
        <v>估价对象所在区域基础设施水平</v>
      </c>
      <c r="D21" s="401">
        <v>100</v>
      </c>
      <c r="E21" s="3471"/>
      <c r="F21" s="406">
        <f>SUMIF(82:82,E22,83:83)-SUMIF(82:82,C22,83:83)+100</f>
        <v>100</v>
      </c>
      <c r="G21" s="408"/>
      <c r="H21" s="401">
        <f>SUMIF(82:82,G22,83:83)-SUMIF(82:82,C22,83:83)+100</f>
        <v>100</v>
      </c>
      <c r="I21" s="408"/>
      <c r="J21" s="401">
        <f>SUMIF(82:82,I22,83:83)-SUMIF(82:82,C22,83:83)+100</f>
        <v>100</v>
      </c>
      <c r="K21" s="396"/>
      <c r="L21" s="2717"/>
      <c r="M21" s="2711"/>
      <c r="N21" s="2711"/>
      <c r="O21" s="2711"/>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D21/F21</f>
        <v>1</v>
      </c>
      <c r="AB21" s="1352">
        <f>D21/H21</f>
        <v>1</v>
      </c>
      <c r="AC21" s="1352">
        <f>D21/J21</f>
        <v>1</v>
      </c>
    </row>
    <row r="22" spans="1:29" ht="15">
      <c r="A22" s="379"/>
      <c r="B22" s="1131"/>
      <c r="C22" s="1899" t="s">
        <v>3412</v>
      </c>
      <c r="D22" s="399"/>
      <c r="E22" s="3483" t="s">
        <v>3412</v>
      </c>
      <c r="F22" s="399"/>
      <c r="G22" s="1899" t="s">
        <v>3412</v>
      </c>
      <c r="H22" s="399"/>
      <c r="I22" s="1899" t="s">
        <v>3412</v>
      </c>
      <c r="J22" s="399"/>
      <c r="K22" s="1903"/>
      <c r="L22" s="2717"/>
      <c r="M22" s="2711"/>
      <c r="N22" s="2711"/>
      <c r="O22" s="2711"/>
      <c r="P22" s="3729"/>
      <c r="Q22" s="1351"/>
      <c r="R22" s="705"/>
      <c r="S22" s="706"/>
      <c r="T22" s="705"/>
      <c r="U22" s="706"/>
      <c r="V22" s="705"/>
      <c r="W22" s="706"/>
      <c r="X22" s="1354"/>
      <c r="Y22" s="3722"/>
      <c r="Z22" s="1355"/>
      <c r="AA22" s="1352">
        <v>1</v>
      </c>
      <c r="AB22" s="1352">
        <v>1</v>
      </c>
      <c r="AC22" s="1352">
        <v>1</v>
      </c>
    </row>
    <row r="23" spans="1:29" ht="99.75">
      <c r="A23" s="379"/>
      <c r="B23" s="402" t="s">
        <v>1261</v>
      </c>
      <c r="C23" s="1898" t="str">
        <f>估价对象房地状况!C9</f>
        <v>自然环境：月坛公园等自然水系景观；
人文环境：二七剧场等人文场所；
综合评价环境状况较好。</v>
      </c>
      <c r="D23" s="401">
        <v>100</v>
      </c>
      <c r="E23" s="3493" t="str">
        <f>C23</f>
        <v>自然环境：月坛公园等自然水系景观；
人文环境：二七剧场等人文场所；
综合评价环境状况较好。</v>
      </c>
      <c r="F23" s="401">
        <f>SUMIF(84:84,E24,85:85)-SUMIF(84:84,C24,85:85)+100</f>
        <v>100</v>
      </c>
      <c r="G23" s="3494" t="str">
        <f>E23</f>
        <v>自然环境：月坛公园等自然水系景观；
人文环境：二七剧场等人文场所；
综合评价环境状况较好。</v>
      </c>
      <c r="H23" s="401">
        <f>SUMIF(84:84,G24,85:85)-SUMIF(84:84,C24,85:85)+100</f>
        <v>100</v>
      </c>
      <c r="I23" s="3494" t="str">
        <f>E23</f>
        <v>自然环境：月坛公园等自然水系景观；
人文环境：二七剧场等人文场所；
综合评价环境状况较好。</v>
      </c>
      <c r="J23" s="401">
        <f>SUMIF(84:84,I24,85:85)-SUMIF(84:84,C24,85:85)+100</f>
        <v>100</v>
      </c>
      <c r="K23" s="396"/>
      <c r="L23" s="2717"/>
      <c r="M23" s="2711"/>
      <c r="N23" s="2711"/>
      <c r="O23" s="2711"/>
      <c r="P23" s="3729"/>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t="s">
        <v>3406</v>
      </c>
      <c r="D24" s="399"/>
      <c r="E24" s="398" t="s">
        <v>3406</v>
      </c>
      <c r="F24" s="399"/>
      <c r="G24" s="398" t="s">
        <v>3406</v>
      </c>
      <c r="H24" s="399"/>
      <c r="I24" s="398" t="s">
        <v>3406</v>
      </c>
      <c r="J24" s="399"/>
      <c r="K24" s="1897"/>
      <c r="L24" s="2717"/>
      <c r="M24" s="2711"/>
      <c r="N24" s="2711"/>
      <c r="O24" s="2711"/>
      <c r="P24" s="3729"/>
      <c r="Q24" s="1351"/>
      <c r="R24" s="705"/>
      <c r="S24" s="706"/>
      <c r="T24" s="705"/>
      <c r="U24" s="706"/>
      <c r="V24" s="705"/>
      <c r="W24" s="706"/>
      <c r="X24" s="1354"/>
      <c r="Y24" s="3722"/>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29"/>
      <c r="Q25" s="1351" t="str">
        <f t="shared" ref="Q25:Q46" si="8">B25</f>
        <v>楼层-1</v>
      </c>
      <c r="R25" s="705" t="s">
        <v>18</v>
      </c>
      <c r="S25" s="706">
        <f t="shared" ref="S25:S46" si="9">F25</f>
        <v>100</v>
      </c>
      <c r="T25" s="705" t="s">
        <v>18</v>
      </c>
      <c r="U25" s="706">
        <f t="shared" ref="U25:U46" si="10">H25</f>
        <v>100</v>
      </c>
      <c r="V25" s="705" t="s">
        <v>18</v>
      </c>
      <c r="W25" s="706">
        <f t="shared" ref="W25:W46" si="11">J25</f>
        <v>100</v>
      </c>
      <c r="X25" s="1354"/>
      <c r="Y25" s="3722"/>
      <c r="Z25" s="1355" t="str">
        <f>Q25</f>
        <v>楼层-1</v>
      </c>
      <c r="AA25" s="1352">
        <f t="shared" ref="AA25:AA46" si="12">D25/F25</f>
        <v>1</v>
      </c>
      <c r="AB25" s="1352">
        <f t="shared" ref="AB25:AB46" si="13">D25/H25</f>
        <v>1</v>
      </c>
      <c r="AC25" s="1352">
        <f t="shared" ref="AC25:AC46" si="14">D25/J25</f>
        <v>1</v>
      </c>
    </row>
    <row r="26" spans="1:29" ht="15">
      <c r="A26" s="379"/>
      <c r="B26" s="375" t="s">
        <v>1693</v>
      </c>
      <c r="C26" s="411" t="s">
        <v>3477</v>
      </c>
      <c r="D26" s="386">
        <v>100</v>
      </c>
      <c r="E26" s="1904" t="s">
        <v>3428</v>
      </c>
      <c r="F26" s="386">
        <f>SUMIF(88:88,E26,89:89)-SUMIF(88:88,C26,89:89)+100</f>
        <v>102</v>
      </c>
      <c r="G26" s="1905" t="s">
        <v>3428</v>
      </c>
      <c r="H26" s="386">
        <f>SUMIF(88:88,G26,89:89)-SUMIF(88:88,C26,89:89)+100</f>
        <v>102</v>
      </c>
      <c r="I26" s="1905" t="s">
        <v>3428</v>
      </c>
      <c r="J26" s="386">
        <f>SUMIF(88:88,I26,89:89)-SUMIF(88:88,C26,89:89)+100</f>
        <v>102</v>
      </c>
      <c r="K26" s="377">
        <v>0.5</v>
      </c>
      <c r="L26" s="2717"/>
      <c r="M26" s="2711"/>
      <c r="N26" s="2711"/>
      <c r="O26" s="2711"/>
      <c r="P26" s="3729"/>
      <c r="Q26" s="1351" t="str">
        <f t="shared" si="8"/>
        <v>朝向</v>
      </c>
      <c r="R26" s="705" t="s">
        <v>18</v>
      </c>
      <c r="S26" s="706">
        <f t="shared" si="9"/>
        <v>102</v>
      </c>
      <c r="T26" s="705" t="s">
        <v>18</v>
      </c>
      <c r="U26" s="706">
        <f t="shared" si="10"/>
        <v>102</v>
      </c>
      <c r="V26" s="705" t="s">
        <v>18</v>
      </c>
      <c r="W26" s="706">
        <f t="shared" si="11"/>
        <v>102</v>
      </c>
      <c r="X26" s="1354"/>
      <c r="Y26" s="3722"/>
      <c r="Z26" s="1355" t="str">
        <f>Q26</f>
        <v>朝向</v>
      </c>
      <c r="AA26" s="1352">
        <f t="shared" si="12"/>
        <v>0.98039215686274506</v>
      </c>
      <c r="AB26" s="1352">
        <f t="shared" si="13"/>
        <v>0.98039215686274506</v>
      </c>
      <c r="AC26" s="1352">
        <f t="shared" si="14"/>
        <v>0.98039215686274506</v>
      </c>
    </row>
    <row r="27" spans="1:29" s="108" customFormat="1" ht="15">
      <c r="A27" s="382"/>
      <c r="B27" s="3448" t="s">
        <v>3392</v>
      </c>
      <c r="C27" s="3497" t="s">
        <v>3479</v>
      </c>
      <c r="D27" s="413">
        <v>100</v>
      </c>
      <c r="E27" s="3497" t="s">
        <v>3479</v>
      </c>
      <c r="F27" s="413">
        <f>SUMIF(90:90,E27,91:91)-SUMIF(90:90,C27,91:91)+100</f>
        <v>100</v>
      </c>
      <c r="G27" s="3497" t="s">
        <v>3480</v>
      </c>
      <c r="H27" s="413">
        <f>SUMIF(90:90,G27,91:91)-SUMIF(90:90,C27,91:91)+100</f>
        <v>99</v>
      </c>
      <c r="I27" s="3497" t="s">
        <v>3479</v>
      </c>
      <c r="J27" s="413">
        <f>SUMIF(90:90,I27,91:91)-SUMIF(90:90,C27,91:91)+100</f>
        <v>100</v>
      </c>
      <c r="K27" s="1892"/>
      <c r="L27" s="2712"/>
      <c r="M27" s="2713"/>
      <c r="N27" s="2713"/>
      <c r="O27" s="2713"/>
      <c r="P27" s="3729"/>
      <c r="Q27" s="1342" t="str">
        <f t="shared" si="8"/>
        <v>楼层</v>
      </c>
      <c r="R27" s="701" t="s">
        <v>18</v>
      </c>
      <c r="S27" s="702">
        <f t="shared" si="9"/>
        <v>100</v>
      </c>
      <c r="T27" s="701" t="s">
        <v>18</v>
      </c>
      <c r="U27" s="702">
        <f t="shared" si="10"/>
        <v>99</v>
      </c>
      <c r="V27" s="701" t="s">
        <v>18</v>
      </c>
      <c r="W27" s="702">
        <f t="shared" si="11"/>
        <v>100</v>
      </c>
      <c r="X27" s="703"/>
      <c r="Y27" s="3722"/>
      <c r="Z27" s="52" t="str">
        <f>Q27</f>
        <v>楼层</v>
      </c>
      <c r="AA27" s="1352">
        <f t="shared" si="12"/>
        <v>1</v>
      </c>
      <c r="AB27" s="1352">
        <f t="shared" si="13"/>
        <v>1.0101010101010102</v>
      </c>
      <c r="AC27" s="1352">
        <f t="shared" si="14"/>
        <v>1</v>
      </c>
    </row>
    <row r="28" spans="1:29" ht="15">
      <c r="A28" s="379"/>
      <c r="B28" s="3448" t="s">
        <v>3449</v>
      </c>
      <c r="C28" s="3450" t="s">
        <v>3452</v>
      </c>
      <c r="D28" s="386">
        <v>100</v>
      </c>
      <c r="E28" s="3450" t="s">
        <v>3452</v>
      </c>
      <c r="F28" s="386">
        <f>SUMIF(92:92,E28,93:93)-SUMIF(92:92,C28,93:93)+100</f>
        <v>100</v>
      </c>
      <c r="G28" s="3450" t="s">
        <v>3452</v>
      </c>
      <c r="H28" s="386">
        <f>SUMIF(92:92,G28,93:93)-SUMIF(92:92,C28,93:93)+100</f>
        <v>100</v>
      </c>
      <c r="I28" s="3450" t="s">
        <v>3452</v>
      </c>
      <c r="J28" s="386">
        <f>SUMIF(92:92,I28,93:93)-SUMIF(92:92,C28,93:93)+100</f>
        <v>100</v>
      </c>
      <c r="K28" s="1892"/>
      <c r="L28" s="2717"/>
      <c r="M28" s="2711"/>
      <c r="N28" s="2711"/>
      <c r="O28" s="2711"/>
      <c r="P28" s="3729"/>
      <c r="Q28" s="1351" t="str">
        <f t="shared" si="8"/>
        <v>道路级别</v>
      </c>
      <c r="R28" s="705" t="s">
        <v>18</v>
      </c>
      <c r="S28" s="706">
        <f t="shared" si="9"/>
        <v>100</v>
      </c>
      <c r="T28" s="705" t="s">
        <v>18</v>
      </c>
      <c r="U28" s="706">
        <f t="shared" si="10"/>
        <v>100</v>
      </c>
      <c r="V28" s="705" t="s">
        <v>18</v>
      </c>
      <c r="W28" s="706">
        <f t="shared" si="11"/>
        <v>100</v>
      </c>
      <c r="X28" s="1354"/>
      <c r="Y28" s="3722"/>
      <c r="Z28" s="1355" t="str">
        <f t="shared" ref="Z28:Z46" si="15">Q28</f>
        <v>道路级别</v>
      </c>
      <c r="AA28" s="1352">
        <f t="shared" si="12"/>
        <v>1</v>
      </c>
      <c r="AB28" s="1352">
        <f t="shared" si="13"/>
        <v>1</v>
      </c>
      <c r="AC28" s="1352">
        <f t="shared" si="14"/>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29"/>
      <c r="Q29" s="1351">
        <f t="shared" si="8"/>
        <v>111</v>
      </c>
      <c r="R29" s="705" t="s">
        <v>18</v>
      </c>
      <c r="S29" s="706">
        <f t="shared" si="9"/>
        <v>100</v>
      </c>
      <c r="T29" s="705" t="s">
        <v>18</v>
      </c>
      <c r="U29" s="706">
        <f t="shared" si="10"/>
        <v>100</v>
      </c>
      <c r="V29" s="705" t="s">
        <v>18</v>
      </c>
      <c r="W29" s="706">
        <f t="shared" si="11"/>
        <v>100</v>
      </c>
      <c r="X29" s="1354"/>
      <c r="Y29" s="3722"/>
      <c r="Z29" s="1355">
        <f t="shared" si="15"/>
        <v>111</v>
      </c>
      <c r="AA29" s="1352">
        <f t="shared" si="12"/>
        <v>1</v>
      </c>
      <c r="AB29" s="1352">
        <f t="shared" si="13"/>
        <v>1</v>
      </c>
      <c r="AC29" s="1352">
        <f t="shared" si="14"/>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29"/>
      <c r="Q30" s="1351">
        <f t="shared" si="8"/>
        <v>111</v>
      </c>
      <c r="R30" s="705" t="s">
        <v>18</v>
      </c>
      <c r="S30" s="706">
        <f t="shared" si="9"/>
        <v>100</v>
      </c>
      <c r="T30" s="705" t="s">
        <v>18</v>
      </c>
      <c r="U30" s="706">
        <f t="shared" si="10"/>
        <v>100</v>
      </c>
      <c r="V30" s="705" t="s">
        <v>18</v>
      </c>
      <c r="W30" s="706">
        <f t="shared" si="11"/>
        <v>100</v>
      </c>
      <c r="X30" s="1354"/>
      <c r="Y30" s="3722"/>
      <c r="Z30" s="1355">
        <f t="shared" si="15"/>
        <v>111</v>
      </c>
      <c r="AA30" s="1352">
        <f t="shared" si="12"/>
        <v>1</v>
      </c>
      <c r="AB30" s="1352">
        <f t="shared" si="13"/>
        <v>1</v>
      </c>
      <c r="AC30" s="1352">
        <f t="shared" si="14"/>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29"/>
      <c r="Q31" s="1351">
        <f t="shared" si="8"/>
        <v>111</v>
      </c>
      <c r="R31" s="705" t="s">
        <v>18</v>
      </c>
      <c r="S31" s="706">
        <f t="shared" si="9"/>
        <v>100</v>
      </c>
      <c r="T31" s="705" t="s">
        <v>18</v>
      </c>
      <c r="U31" s="706">
        <f t="shared" si="10"/>
        <v>100</v>
      </c>
      <c r="V31" s="705" t="s">
        <v>18</v>
      </c>
      <c r="W31" s="706">
        <f t="shared" si="11"/>
        <v>100</v>
      </c>
      <c r="X31" s="1354"/>
      <c r="Y31" s="3722"/>
      <c r="Z31" s="1355">
        <f t="shared" si="15"/>
        <v>111</v>
      </c>
      <c r="AA31" s="1352">
        <f t="shared" si="12"/>
        <v>1</v>
      </c>
      <c r="AB31" s="1352">
        <f t="shared" si="13"/>
        <v>1</v>
      </c>
      <c r="AC31" s="1352">
        <f t="shared" si="14"/>
        <v>1</v>
      </c>
    </row>
    <row r="32" spans="1:29" ht="15">
      <c r="A32" s="391" t="s">
        <v>1694</v>
      </c>
      <c r="B32" s="375" t="s">
        <v>1695</v>
      </c>
      <c r="C32" s="3491" t="s">
        <v>3463</v>
      </c>
      <c r="D32" s="418">
        <v>100</v>
      </c>
      <c r="E32" s="3491" t="s">
        <v>3481</v>
      </c>
      <c r="F32" s="412">
        <f>SUMIF(100:100,E32,101:101)-SUMIF(100:100,C32,101:101)+100</f>
        <v>100</v>
      </c>
      <c r="G32" s="1908" t="s">
        <v>3481</v>
      </c>
      <c r="H32" s="418">
        <f>SUMIF(100:100,G32,101:101)-SUMIF(100:100,C32,101:101)+100</f>
        <v>100</v>
      </c>
      <c r="I32" s="1908" t="s">
        <v>3481</v>
      </c>
      <c r="J32" s="386">
        <f>SUMIF(100:100,I32,101:101)-SUMIF(100:100,C32,101:101)+100</f>
        <v>100</v>
      </c>
      <c r="K32" s="377">
        <v>3</v>
      </c>
      <c r="L32" s="2717"/>
      <c r="M32" s="2711"/>
      <c r="N32" s="2711"/>
      <c r="O32" s="2711"/>
      <c r="P32" s="3723" t="s">
        <v>1696</v>
      </c>
      <c r="Q32" s="1351" t="str">
        <f t="shared" si="8"/>
        <v>建筑类型</v>
      </c>
      <c r="R32" s="705" t="s">
        <v>18</v>
      </c>
      <c r="S32" s="706">
        <f t="shared" si="9"/>
        <v>100</v>
      </c>
      <c r="T32" s="705" t="s">
        <v>18</v>
      </c>
      <c r="U32" s="706">
        <f t="shared" si="10"/>
        <v>100</v>
      </c>
      <c r="V32" s="705" t="s">
        <v>18</v>
      </c>
      <c r="W32" s="706">
        <f t="shared" si="11"/>
        <v>100</v>
      </c>
      <c r="X32" s="1354"/>
      <c r="Y32" s="3726" t="s">
        <v>1696</v>
      </c>
      <c r="Z32" s="1355" t="str">
        <f t="shared" si="15"/>
        <v>建筑类型</v>
      </c>
      <c r="AA32" s="1352">
        <f t="shared" si="12"/>
        <v>1</v>
      </c>
      <c r="AB32" s="1352">
        <f t="shared" si="13"/>
        <v>1</v>
      </c>
      <c r="AC32" s="1352">
        <f t="shared" si="14"/>
        <v>1</v>
      </c>
    </row>
    <row r="33" spans="1:29" s="422" customFormat="1" ht="15">
      <c r="A33" s="419"/>
      <c r="B33" s="375" t="s">
        <v>1697</v>
      </c>
      <c r="C33" s="3501">
        <f>'数据-取费表'!K6</f>
        <v>69.099999999999994</v>
      </c>
      <c r="D33" s="127">
        <v>100</v>
      </c>
      <c r="E33" s="3430">
        <f>案例!$E$2</f>
        <v>65.7</v>
      </c>
      <c r="F33" s="3487">
        <f>D33</f>
        <v>100</v>
      </c>
      <c r="G33" s="3430">
        <f>案例!$E$3</f>
        <v>69.599999999999994</v>
      </c>
      <c r="H33" s="127">
        <f>LOOKUP(G33,103:103,104:104)-LOOKUP(C33,103:103,104:104)+100</f>
        <v>100</v>
      </c>
      <c r="I33" s="3430">
        <f>案例!$E$4</f>
        <v>66.099999999999994</v>
      </c>
      <c r="J33" s="3488">
        <f>D33</f>
        <v>100</v>
      </c>
      <c r="K33" s="1892"/>
      <c r="L33" s="2716"/>
      <c r="M33" s="2718"/>
      <c r="N33" s="2718"/>
      <c r="O33" s="2718"/>
      <c r="P33" s="3724"/>
      <c r="Q33" s="707" t="str">
        <f t="shared" si="8"/>
        <v>项目建筑规模</v>
      </c>
      <c r="R33" s="708" t="s">
        <v>18</v>
      </c>
      <c r="S33" s="709">
        <f t="shared" si="9"/>
        <v>100</v>
      </c>
      <c r="T33" s="708" t="s">
        <v>18</v>
      </c>
      <c r="U33" s="709">
        <f t="shared" si="10"/>
        <v>100</v>
      </c>
      <c r="V33" s="708" t="s">
        <v>18</v>
      </c>
      <c r="W33" s="709">
        <f t="shared" si="11"/>
        <v>100</v>
      </c>
      <c r="X33" s="710"/>
      <c r="Y33" s="3726"/>
      <c r="Z33" s="711" t="str">
        <f t="shared" si="15"/>
        <v>项目建筑规模</v>
      </c>
      <c r="AA33" s="1352">
        <f t="shared" si="12"/>
        <v>1</v>
      </c>
      <c r="AB33" s="1352">
        <f t="shared" si="13"/>
        <v>1</v>
      </c>
      <c r="AC33" s="1352">
        <f t="shared" si="14"/>
        <v>1</v>
      </c>
    </row>
    <row r="34" spans="1:29" ht="15">
      <c r="A34" s="423"/>
      <c r="B34" s="375" t="s">
        <v>1698</v>
      </c>
      <c r="C34" s="1909" t="s">
        <v>3455</v>
      </c>
      <c r="D34" s="386">
        <v>100</v>
      </c>
      <c r="E34" s="1909" t="s">
        <v>3455</v>
      </c>
      <c r="F34" s="412">
        <f>SUMIF(105:105,E34,106:106)-SUMIF(105:105,C34,106:106)+100</f>
        <v>100</v>
      </c>
      <c r="G34" s="1909" t="s">
        <v>3455</v>
      </c>
      <c r="H34" s="386">
        <f>SUMIF(105:105,G34,106:106)-SUMIF(105:105,C34,106:106)+100</f>
        <v>100</v>
      </c>
      <c r="I34" s="1909" t="s">
        <v>3455</v>
      </c>
      <c r="J34" s="386">
        <f>SUMIF(105:105,I34,106:106)-SUMIF(105:105,C34,106:106)+100</f>
        <v>100</v>
      </c>
      <c r="K34" s="377">
        <v>0.5</v>
      </c>
      <c r="L34" s="2717"/>
      <c r="M34" s="2711"/>
      <c r="N34" s="2711"/>
      <c r="O34" s="2711"/>
      <c r="P34" s="3724"/>
      <c r="Q34" s="1351" t="str">
        <f t="shared" si="8"/>
        <v>建筑结构</v>
      </c>
      <c r="R34" s="705" t="s">
        <v>18</v>
      </c>
      <c r="S34" s="706">
        <f t="shared" si="9"/>
        <v>100</v>
      </c>
      <c r="T34" s="705" t="s">
        <v>18</v>
      </c>
      <c r="U34" s="706">
        <f t="shared" si="10"/>
        <v>100</v>
      </c>
      <c r="V34" s="705" t="s">
        <v>18</v>
      </c>
      <c r="W34" s="706">
        <f t="shared" si="11"/>
        <v>100</v>
      </c>
      <c r="X34" s="1354"/>
      <c r="Y34" s="3726"/>
      <c r="Z34" s="1355" t="str">
        <f t="shared" si="15"/>
        <v>建筑结构</v>
      </c>
      <c r="AA34" s="1352">
        <f t="shared" si="12"/>
        <v>1</v>
      </c>
      <c r="AB34" s="1352">
        <f t="shared" si="13"/>
        <v>1</v>
      </c>
      <c r="AC34" s="1352">
        <f t="shared" si="14"/>
        <v>1</v>
      </c>
    </row>
    <row r="35" spans="1:29" ht="15" hidden="1">
      <c r="A35" s="423"/>
      <c r="B35" s="375" t="s">
        <v>3462</v>
      </c>
      <c r="C35" s="1904" t="s">
        <v>3406</v>
      </c>
      <c r="D35" s="386">
        <v>100</v>
      </c>
      <c r="E35" s="1904" t="s">
        <v>3406</v>
      </c>
      <c r="F35" s="412">
        <f>SUMIF(107:107,E35,108:108)-SUMIF(107:107,C35,108:108)+100</f>
        <v>100</v>
      </c>
      <c r="G35" s="1904" t="s">
        <v>3406</v>
      </c>
      <c r="H35" s="386">
        <f>SUMIF(107:107,G35,108:108)-SUMIF(107:107,C35,108:108)+100</f>
        <v>100</v>
      </c>
      <c r="I35" s="1904" t="s">
        <v>3406</v>
      </c>
      <c r="J35" s="386">
        <f>SUMIF(107:107,I35,108:108)-SUMIF(107:107,C35,108:108)+100</f>
        <v>100</v>
      </c>
      <c r="K35" s="377">
        <v>3</v>
      </c>
      <c r="L35" s="2717"/>
      <c r="M35" s="2711"/>
      <c r="N35" s="2711"/>
      <c r="O35" s="2711"/>
      <c r="P35" s="3724"/>
      <c r="Q35" s="1351" t="str">
        <f t="shared" si="8"/>
        <v>噪音污染</v>
      </c>
      <c r="R35" s="705" t="s">
        <v>18</v>
      </c>
      <c r="S35" s="706">
        <f t="shared" si="9"/>
        <v>100</v>
      </c>
      <c r="T35" s="705" t="s">
        <v>18</v>
      </c>
      <c r="U35" s="706">
        <f t="shared" si="10"/>
        <v>100</v>
      </c>
      <c r="V35" s="705" t="s">
        <v>18</v>
      </c>
      <c r="W35" s="706">
        <f t="shared" si="11"/>
        <v>100</v>
      </c>
      <c r="X35" s="1354"/>
      <c r="Y35" s="3726"/>
      <c r="Z35" s="1355" t="str">
        <f t="shared" si="15"/>
        <v>噪音污染</v>
      </c>
      <c r="AA35" s="1352">
        <f t="shared" si="12"/>
        <v>1</v>
      </c>
      <c r="AB35" s="1352">
        <f t="shared" si="13"/>
        <v>1</v>
      </c>
      <c r="AC35" s="1352">
        <f t="shared" si="14"/>
        <v>1</v>
      </c>
    </row>
    <row r="36" spans="1:29" ht="15">
      <c r="A36" s="423"/>
      <c r="B36" s="375" t="s">
        <v>1699</v>
      </c>
      <c r="C36" s="1904" t="s">
        <v>3411</v>
      </c>
      <c r="D36" s="386">
        <v>100</v>
      </c>
      <c r="E36" s="1904" t="s">
        <v>3411</v>
      </c>
      <c r="F36" s="412">
        <f>SUMIF(109:109,E36,110:110)-SUMIF(109:109,C36,110:110)+100</f>
        <v>100</v>
      </c>
      <c r="G36" s="1904" t="s">
        <v>3411</v>
      </c>
      <c r="H36" s="386">
        <f>SUMIF(109:109,G36,110:110)-SUMIF(109:109,C36,110:110)+100</f>
        <v>100</v>
      </c>
      <c r="I36" s="1904" t="s">
        <v>3411</v>
      </c>
      <c r="J36" s="386">
        <f>SUMIF(109:109,I36,110:110)-SUMIF(109:109,C36,110:110)+100</f>
        <v>100</v>
      </c>
      <c r="K36" s="377"/>
      <c r="L36" s="2717"/>
      <c r="M36" s="2711"/>
      <c r="N36" s="2711"/>
      <c r="O36" s="2711"/>
      <c r="P36" s="3724"/>
      <c r="Q36" s="1351" t="str">
        <f t="shared" si="8"/>
        <v>公共部分装修</v>
      </c>
      <c r="R36" s="705" t="s">
        <v>18</v>
      </c>
      <c r="S36" s="706">
        <f t="shared" si="9"/>
        <v>100</v>
      </c>
      <c r="T36" s="705" t="s">
        <v>18</v>
      </c>
      <c r="U36" s="706">
        <f t="shared" si="10"/>
        <v>100</v>
      </c>
      <c r="V36" s="705" t="s">
        <v>18</v>
      </c>
      <c r="W36" s="706">
        <f t="shared" si="11"/>
        <v>100</v>
      </c>
      <c r="X36" s="1354"/>
      <c r="Y36" s="3726"/>
      <c r="Z36" s="1355" t="str">
        <f t="shared" si="15"/>
        <v>公共部分装修</v>
      </c>
      <c r="AA36" s="1352">
        <f t="shared" si="12"/>
        <v>1</v>
      </c>
      <c r="AB36" s="1352">
        <f t="shared" si="13"/>
        <v>1</v>
      </c>
      <c r="AC36" s="1352">
        <f t="shared" si="14"/>
        <v>1</v>
      </c>
    </row>
    <row r="37" spans="1:29" s="108" customFormat="1" ht="15">
      <c r="A37" s="424"/>
      <c r="B37" s="3498" t="s">
        <v>3484</v>
      </c>
      <c r="C37" s="3499">
        <v>1954</v>
      </c>
      <c r="D37" s="127">
        <v>100</v>
      </c>
      <c r="E37" s="3499">
        <v>1954</v>
      </c>
      <c r="F37" s="376">
        <f>LOOKUP(E37,112:112,113:113)-LOOKUP(C37,112:112,113:113)+100</f>
        <v>100</v>
      </c>
      <c r="G37" s="3499">
        <v>1954</v>
      </c>
      <c r="H37" s="127">
        <f>LOOKUP(G37,112:112,113:113)-LOOKUP(C37,112:112,113:113)+100</f>
        <v>100</v>
      </c>
      <c r="I37" s="3499">
        <v>1954</v>
      </c>
      <c r="J37" s="127">
        <f>LOOKUP(I37,112:112,113:113)-LOOKUP(C37,112:112,113:113)+100</f>
        <v>100</v>
      </c>
      <c r="K37" s="377"/>
      <c r="L37" s="2712"/>
      <c r="M37" s="2713"/>
      <c r="N37" s="2713"/>
      <c r="O37" s="2713"/>
      <c r="P37" s="3724"/>
      <c r="Q37" s="1342" t="str">
        <f t="shared" si="8"/>
        <v>建成年代</v>
      </c>
      <c r="R37" s="701" t="s">
        <v>18</v>
      </c>
      <c r="S37" s="702">
        <f t="shared" si="9"/>
        <v>100</v>
      </c>
      <c r="T37" s="701" t="s">
        <v>18</v>
      </c>
      <c r="U37" s="702">
        <f t="shared" si="10"/>
        <v>100</v>
      </c>
      <c r="V37" s="701" t="s">
        <v>18</v>
      </c>
      <c r="W37" s="702">
        <f t="shared" si="11"/>
        <v>100</v>
      </c>
      <c r="X37" s="703"/>
      <c r="Y37" s="3726"/>
      <c r="Z37" s="52" t="str">
        <f t="shared" si="15"/>
        <v>建成年代</v>
      </c>
      <c r="AA37" s="704">
        <f t="shared" si="12"/>
        <v>1</v>
      </c>
      <c r="AB37" s="704">
        <f t="shared" si="13"/>
        <v>1</v>
      </c>
      <c r="AC37" s="704">
        <f t="shared" si="14"/>
        <v>1</v>
      </c>
    </row>
    <row r="38" spans="1:29" ht="15">
      <c r="A38" s="423"/>
      <c r="B38" s="375" t="s">
        <v>1700</v>
      </c>
      <c r="C38" s="1904" t="s">
        <v>3483</v>
      </c>
      <c r="D38" s="386">
        <v>100</v>
      </c>
      <c r="E38" s="1904" t="s">
        <v>3483</v>
      </c>
      <c r="F38" s="412">
        <f>SUMIF(114:114,E38,115:115)-SUMIF(114:114,C38,115:115)+100</f>
        <v>100</v>
      </c>
      <c r="G38" s="1904" t="s">
        <v>3483</v>
      </c>
      <c r="H38" s="386">
        <f>SUMIF(114:114,G38,115:115)-SUMIF(114:114,C38,115:115)+100</f>
        <v>100</v>
      </c>
      <c r="I38" s="1904" t="s">
        <v>3483</v>
      </c>
      <c r="J38" s="386">
        <f>SUMIF(114:114,I38,115:115)-SUMIF(114:114,C38,115:115)+100</f>
        <v>100</v>
      </c>
      <c r="K38" s="377">
        <v>1</v>
      </c>
      <c r="L38" s="2717"/>
      <c r="M38" s="2711"/>
      <c r="N38" s="2711"/>
      <c r="O38" s="2711"/>
      <c r="P38" s="3724" t="s">
        <v>1696</v>
      </c>
      <c r="Q38" s="1351" t="str">
        <f t="shared" si="8"/>
        <v>物业管理</v>
      </c>
      <c r="R38" s="705" t="s">
        <v>18</v>
      </c>
      <c r="S38" s="706">
        <f t="shared" si="9"/>
        <v>100</v>
      </c>
      <c r="T38" s="705" t="s">
        <v>18</v>
      </c>
      <c r="U38" s="706">
        <f t="shared" si="10"/>
        <v>100</v>
      </c>
      <c r="V38" s="705" t="s">
        <v>18</v>
      </c>
      <c r="W38" s="706">
        <f t="shared" si="11"/>
        <v>100</v>
      </c>
      <c r="X38" s="1354"/>
      <c r="Y38" s="3726" t="s">
        <v>1696</v>
      </c>
      <c r="Z38" s="1355" t="str">
        <f t="shared" si="15"/>
        <v>物业管理</v>
      </c>
      <c r="AA38" s="1352">
        <f t="shared" si="12"/>
        <v>1</v>
      </c>
      <c r="AB38" s="1352">
        <f t="shared" si="13"/>
        <v>1</v>
      </c>
      <c r="AC38" s="1352">
        <f t="shared" si="14"/>
        <v>1</v>
      </c>
    </row>
    <row r="39" spans="1:29" ht="15">
      <c r="A39" s="423"/>
      <c r="B39" s="375" t="s">
        <v>1701</v>
      </c>
      <c r="C39" s="1904" t="s">
        <v>3412</v>
      </c>
      <c r="D39" s="386">
        <v>100</v>
      </c>
      <c r="E39" s="1904" t="s">
        <v>3412</v>
      </c>
      <c r="F39" s="412">
        <f>SUMIF(116:116,E39,117:117)-SUMIF(116:116,C39,117:117)+100</f>
        <v>100</v>
      </c>
      <c r="G39" s="1904" t="s">
        <v>3412</v>
      </c>
      <c r="H39" s="386">
        <f>SUMIF(116:116,G39,117:117)-SUMIF(116:116,C39,117:117)+100</f>
        <v>100</v>
      </c>
      <c r="I39" s="1904" t="s">
        <v>3412</v>
      </c>
      <c r="J39" s="386">
        <f>SUMIF(116:116,I39,117:117)-SUMIF(116:116,C39,117:117)+100</f>
        <v>100</v>
      </c>
      <c r="K39" s="377"/>
      <c r="L39" s="2717"/>
      <c r="M39" s="2711"/>
      <c r="N39" s="2711"/>
      <c r="O39" s="2711"/>
      <c r="P39" s="3724"/>
      <c r="Q39" s="1351" t="str">
        <f t="shared" si="8"/>
        <v>市政基础设施</v>
      </c>
      <c r="R39" s="705" t="s">
        <v>18</v>
      </c>
      <c r="S39" s="706">
        <f t="shared" si="9"/>
        <v>100</v>
      </c>
      <c r="T39" s="705" t="s">
        <v>18</v>
      </c>
      <c r="U39" s="706">
        <f t="shared" si="10"/>
        <v>100</v>
      </c>
      <c r="V39" s="705" t="s">
        <v>18</v>
      </c>
      <c r="W39" s="706">
        <f t="shared" si="11"/>
        <v>100</v>
      </c>
      <c r="X39" s="1354"/>
      <c r="Y39" s="3726"/>
      <c r="Z39" s="1355" t="str">
        <f t="shared" si="15"/>
        <v>市政基础设施</v>
      </c>
      <c r="AA39" s="1352">
        <f t="shared" si="12"/>
        <v>1</v>
      </c>
      <c r="AB39" s="1352">
        <f t="shared" si="13"/>
        <v>1</v>
      </c>
      <c r="AC39" s="1352">
        <f t="shared" si="14"/>
        <v>1</v>
      </c>
    </row>
    <row r="40" spans="1:29" ht="15" hidden="1">
      <c r="A40" s="423"/>
      <c r="B40" s="375" t="s">
        <v>1702</v>
      </c>
      <c r="C40" s="1904" t="s">
        <v>3418</v>
      </c>
      <c r="D40" s="386">
        <v>100</v>
      </c>
      <c r="E40" s="1904" t="s">
        <v>3418</v>
      </c>
      <c r="F40" s="412">
        <f>SUMIF(118:118,E40,119:119)-SUMIF(118:118,C40,119:119)+100</f>
        <v>100</v>
      </c>
      <c r="G40" s="1904" t="s">
        <v>3418</v>
      </c>
      <c r="H40" s="386">
        <f>SUMIF(118:118,G40,119:119)-SUMIF(118:118,C40,119:119)+100</f>
        <v>100</v>
      </c>
      <c r="I40" s="1904" t="s">
        <v>3418</v>
      </c>
      <c r="J40" s="386">
        <f>SUMIF(118:118,I40,119:119)-SUMIF(118:118,C40,119:119)+100</f>
        <v>100</v>
      </c>
      <c r="K40" s="377"/>
      <c r="L40" s="2717"/>
      <c r="M40" s="2711"/>
      <c r="N40" s="2711"/>
      <c r="O40" s="2711"/>
      <c r="P40" s="3724"/>
      <c r="Q40" s="1351" t="str">
        <f t="shared" si="8"/>
        <v>房型</v>
      </c>
      <c r="R40" s="705" t="s">
        <v>18</v>
      </c>
      <c r="S40" s="706">
        <f t="shared" si="9"/>
        <v>100</v>
      </c>
      <c r="T40" s="705" t="s">
        <v>18</v>
      </c>
      <c r="U40" s="706">
        <f t="shared" si="10"/>
        <v>100</v>
      </c>
      <c r="V40" s="705" t="s">
        <v>18</v>
      </c>
      <c r="W40" s="706">
        <f t="shared" si="11"/>
        <v>100</v>
      </c>
      <c r="X40" s="1354"/>
      <c r="Y40" s="3726"/>
      <c r="Z40" s="1355" t="str">
        <f t="shared" si="15"/>
        <v>房型</v>
      </c>
      <c r="AA40" s="1352">
        <f t="shared" si="12"/>
        <v>1</v>
      </c>
      <c r="AB40" s="1352">
        <f t="shared" si="13"/>
        <v>1</v>
      </c>
      <c r="AC40" s="1352">
        <f t="shared" si="14"/>
        <v>1</v>
      </c>
    </row>
    <row r="41" spans="1:29" s="422" customFormat="1" ht="28.5" hidden="1">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24"/>
      <c r="Q41" s="707" t="str">
        <f t="shared" si="8"/>
        <v>单套/主力户型建筑面积</v>
      </c>
      <c r="R41" s="708" t="s">
        <v>18</v>
      </c>
      <c r="S41" s="709">
        <f t="shared" si="9"/>
        <v>100</v>
      </c>
      <c r="T41" s="708" t="s">
        <v>18</v>
      </c>
      <c r="U41" s="709">
        <f t="shared" si="10"/>
        <v>100</v>
      </c>
      <c r="V41" s="708" t="s">
        <v>18</v>
      </c>
      <c r="W41" s="709">
        <f t="shared" si="11"/>
        <v>100</v>
      </c>
      <c r="X41" s="710"/>
      <c r="Y41" s="3726"/>
      <c r="Z41" s="711" t="str">
        <f t="shared" si="15"/>
        <v>单套/主力户型建筑面积</v>
      </c>
      <c r="AA41" s="1352">
        <f t="shared" si="12"/>
        <v>1</v>
      </c>
      <c r="AB41" s="1352">
        <f t="shared" si="13"/>
        <v>1</v>
      </c>
      <c r="AC41" s="1352">
        <f t="shared" si="14"/>
        <v>1</v>
      </c>
    </row>
    <row r="42" spans="1:29" ht="15">
      <c r="A42" s="423"/>
      <c r="B42" s="375" t="s">
        <v>1704</v>
      </c>
      <c r="C42" s="1904" t="s">
        <v>3485</v>
      </c>
      <c r="D42" s="386">
        <v>100</v>
      </c>
      <c r="E42" s="1904" t="s">
        <v>3485</v>
      </c>
      <c r="F42" s="412">
        <f>SUMIF(122:122,E42,123:123)-SUMIF(122:122,C42,123:123)+100</f>
        <v>100</v>
      </c>
      <c r="G42" s="1904" t="s">
        <v>3411</v>
      </c>
      <c r="H42" s="386">
        <f>SUMIF(122:122,G42,123:123)-SUMIF(122:122,C42,123:123)+100</f>
        <v>101</v>
      </c>
      <c r="I42" s="1904" t="s">
        <v>3485</v>
      </c>
      <c r="J42" s="386">
        <f>SUMIF(122:122,I42,123:123)-SUMIF(122:122,C42,123:123)+100</f>
        <v>100</v>
      </c>
      <c r="K42" s="377">
        <v>1</v>
      </c>
      <c r="L42" s="2717"/>
      <c r="M42" s="2711"/>
      <c r="N42" s="2711"/>
      <c r="O42" s="2711"/>
      <c r="P42" s="3724"/>
      <c r="Q42" s="1351" t="str">
        <f t="shared" si="8"/>
        <v>内部装修</v>
      </c>
      <c r="R42" s="705" t="s">
        <v>18</v>
      </c>
      <c r="S42" s="706">
        <f t="shared" si="9"/>
        <v>100</v>
      </c>
      <c r="T42" s="705" t="s">
        <v>18</v>
      </c>
      <c r="U42" s="706">
        <f t="shared" si="10"/>
        <v>101</v>
      </c>
      <c r="V42" s="705" t="s">
        <v>18</v>
      </c>
      <c r="W42" s="706">
        <f t="shared" si="11"/>
        <v>100</v>
      </c>
      <c r="X42" s="1354"/>
      <c r="Y42" s="3726"/>
      <c r="Z42" s="1355" t="str">
        <f t="shared" si="15"/>
        <v>内部装修</v>
      </c>
      <c r="AA42" s="1352">
        <f t="shared" si="12"/>
        <v>1</v>
      </c>
      <c r="AB42" s="1352">
        <f t="shared" si="13"/>
        <v>0.99009900990099009</v>
      </c>
      <c r="AC42" s="1352">
        <f t="shared" si="14"/>
        <v>1</v>
      </c>
    </row>
    <row r="43" spans="1:29" ht="15">
      <c r="A43" s="423"/>
      <c r="B43" s="375" t="s">
        <v>1705</v>
      </c>
      <c r="C43" s="1904" t="s">
        <v>3487</v>
      </c>
      <c r="D43" s="386">
        <v>100</v>
      </c>
      <c r="E43" s="1904" t="s">
        <v>3406</v>
      </c>
      <c r="F43" s="412">
        <f>SUMIF(124:124,E43,125:125)-SUMIF(124:124,C43,125:125)+100</f>
        <v>101</v>
      </c>
      <c r="G43" s="1904" t="s">
        <v>3406</v>
      </c>
      <c r="H43" s="386">
        <f>SUMIF(124:124,G43,125:125)-SUMIF(124:124,C43,125:125)+100</f>
        <v>101</v>
      </c>
      <c r="I43" s="1904" t="s">
        <v>3406</v>
      </c>
      <c r="J43" s="386">
        <f>SUMIF(124:124,I43,125:125)-SUMIF(124:124,C43,125:125)+100</f>
        <v>101</v>
      </c>
      <c r="K43" s="377">
        <v>0.5</v>
      </c>
      <c r="L43" s="2717"/>
      <c r="M43" s="2711"/>
      <c r="N43" s="2711"/>
      <c r="O43" s="2711"/>
      <c r="P43" s="3724"/>
      <c r="Q43" s="1351" t="str">
        <f t="shared" si="8"/>
        <v>内部装修维护情况</v>
      </c>
      <c r="R43" s="705" t="s">
        <v>18</v>
      </c>
      <c r="S43" s="706">
        <f t="shared" si="9"/>
        <v>101</v>
      </c>
      <c r="T43" s="705" t="s">
        <v>18</v>
      </c>
      <c r="U43" s="706">
        <f t="shared" si="10"/>
        <v>101</v>
      </c>
      <c r="V43" s="705" t="s">
        <v>18</v>
      </c>
      <c r="W43" s="706">
        <f t="shared" si="11"/>
        <v>101</v>
      </c>
      <c r="X43" s="1354"/>
      <c r="Y43" s="3726"/>
      <c r="Z43" s="1355" t="str">
        <f t="shared" si="15"/>
        <v>内部装修维护情况</v>
      </c>
      <c r="AA43" s="1352">
        <f t="shared" si="12"/>
        <v>0.99009900990099009</v>
      </c>
      <c r="AB43" s="1352">
        <f t="shared" si="13"/>
        <v>0.99009900990099009</v>
      </c>
      <c r="AC43" s="1352">
        <f t="shared" si="14"/>
        <v>0.99009900990099009</v>
      </c>
    </row>
    <row r="44" spans="1:29" s="108" customFormat="1" ht="15">
      <c r="A44" s="424"/>
      <c r="B44" s="1133">
        <v>111</v>
      </c>
      <c r="C44" s="3477"/>
      <c r="D44" s="127">
        <v>100</v>
      </c>
      <c r="E44" s="420"/>
      <c r="F44" s="376">
        <f>SUMIF(126:126,E44,127:127)-SUMIF(126:126,C44,127:127)+100</f>
        <v>100</v>
      </c>
      <c r="G44" s="3477"/>
      <c r="H44" s="127">
        <f>SUMIF(126:126,G44,127:127)-SUMIF(126:126,C44,127:127)+100</f>
        <v>100</v>
      </c>
      <c r="I44" s="420"/>
      <c r="J44" s="127">
        <f>SUMIF(126:126,I44,127:127)-SUMIF(126:126,C44,127:127)+100</f>
        <v>100</v>
      </c>
      <c r="K44" s="1892"/>
      <c r="L44" s="2712"/>
      <c r="M44" s="2713"/>
      <c r="N44" s="2713"/>
      <c r="O44" s="2713"/>
      <c r="P44" s="3724"/>
      <c r="Q44" s="1342">
        <f t="shared" si="8"/>
        <v>111</v>
      </c>
      <c r="R44" s="701" t="s">
        <v>18</v>
      </c>
      <c r="S44" s="702">
        <f t="shared" si="9"/>
        <v>100</v>
      </c>
      <c r="T44" s="701" t="s">
        <v>18</v>
      </c>
      <c r="U44" s="702">
        <f t="shared" si="10"/>
        <v>100</v>
      </c>
      <c r="V44" s="701" t="s">
        <v>18</v>
      </c>
      <c r="W44" s="702">
        <f t="shared" si="11"/>
        <v>100</v>
      </c>
      <c r="X44" s="703"/>
      <c r="Y44" s="3726"/>
      <c r="Z44" s="52">
        <f t="shared" si="15"/>
        <v>111</v>
      </c>
      <c r="AA44" s="704">
        <f t="shared" si="12"/>
        <v>1</v>
      </c>
      <c r="AB44" s="704">
        <f t="shared" si="13"/>
        <v>1</v>
      </c>
      <c r="AC44" s="704">
        <f t="shared" si="14"/>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24"/>
      <c r="Q45" s="1351">
        <f t="shared" si="8"/>
        <v>111</v>
      </c>
      <c r="R45" s="705" t="s">
        <v>18</v>
      </c>
      <c r="S45" s="706">
        <f t="shared" si="9"/>
        <v>100</v>
      </c>
      <c r="T45" s="705" t="s">
        <v>18</v>
      </c>
      <c r="U45" s="706">
        <f t="shared" si="10"/>
        <v>100</v>
      </c>
      <c r="V45" s="705" t="s">
        <v>18</v>
      </c>
      <c r="W45" s="706">
        <f t="shared" si="11"/>
        <v>100</v>
      </c>
      <c r="X45" s="1354"/>
      <c r="Y45" s="3726"/>
      <c r="Z45" s="1355">
        <f t="shared" si="15"/>
        <v>111</v>
      </c>
      <c r="AA45" s="1352">
        <f t="shared" si="12"/>
        <v>1</v>
      </c>
      <c r="AB45" s="1352">
        <f t="shared" si="13"/>
        <v>1</v>
      </c>
      <c r="AC45" s="1352">
        <f t="shared" si="14"/>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25"/>
      <c r="Q46" s="1351">
        <f t="shared" si="8"/>
        <v>111</v>
      </c>
      <c r="R46" s="705" t="s">
        <v>17</v>
      </c>
      <c r="S46" s="706">
        <f t="shared" si="9"/>
        <v>100</v>
      </c>
      <c r="T46" s="705" t="s">
        <v>17</v>
      </c>
      <c r="U46" s="706">
        <f t="shared" si="10"/>
        <v>100</v>
      </c>
      <c r="V46" s="705" t="s">
        <v>17</v>
      </c>
      <c r="W46" s="706">
        <f t="shared" si="11"/>
        <v>100</v>
      </c>
      <c r="X46" s="1354"/>
      <c r="Y46" s="3727"/>
      <c r="Z46" s="1355">
        <f t="shared" si="15"/>
        <v>111</v>
      </c>
      <c r="AA46" s="1352">
        <f t="shared" si="12"/>
        <v>1</v>
      </c>
      <c r="AB46" s="1352">
        <f t="shared" si="13"/>
        <v>1</v>
      </c>
      <c r="AC46" s="1352">
        <f t="shared" si="14"/>
        <v>1</v>
      </c>
    </row>
    <row r="47" spans="1:29" ht="15">
      <c r="A47" s="430" t="s">
        <v>1706</v>
      </c>
      <c r="B47" s="431"/>
      <c r="C47" s="1154" t="s">
        <v>16</v>
      </c>
      <c r="D47" s="1155"/>
      <c r="E47" s="1156">
        <f>案例!J2</f>
        <v>127245</v>
      </c>
      <c r="F47" s="1157"/>
      <c r="G47" s="1158">
        <f>案例!$J$3</f>
        <v>127299</v>
      </c>
      <c r="H47" s="1159"/>
      <c r="I47" s="1156">
        <f>案例!$J$4</f>
        <v>127080</v>
      </c>
      <c r="J47" s="1159"/>
      <c r="K47" s="1910"/>
      <c r="L47" s="2719"/>
      <c r="M47" s="2720"/>
      <c r="N47" s="2711"/>
      <c r="O47" s="2720"/>
      <c r="P47" s="3719" t="str">
        <f>A47</f>
        <v>成交单价（元/平方米）</v>
      </c>
      <c r="Q47" s="3719"/>
      <c r="R47" s="3720">
        <f>E47</f>
        <v>127245</v>
      </c>
      <c r="S47" s="3720"/>
      <c r="T47" s="3720">
        <f>G47</f>
        <v>127299</v>
      </c>
      <c r="U47" s="3720"/>
      <c r="V47" s="3720">
        <f>I47</f>
        <v>127080</v>
      </c>
      <c r="W47" s="3720"/>
      <c r="X47" s="690"/>
      <c r="Y47" s="712"/>
      <c r="Z47" s="690"/>
      <c r="AA47" s="690"/>
      <c r="AB47" s="690"/>
      <c r="AC47" s="690"/>
    </row>
    <row r="48" spans="1:29" ht="15.75" thickBot="1">
      <c r="A48" s="437" t="s">
        <v>1707</v>
      </c>
      <c r="B48" s="438"/>
      <c r="C48" s="1160">
        <f>R49</f>
        <v>123318</v>
      </c>
      <c r="D48" s="2313" t="s">
        <v>2135</v>
      </c>
      <c r="E48" s="1161">
        <f>R48</f>
        <v>123391</v>
      </c>
      <c r="F48" s="2314"/>
      <c r="G48" s="1160">
        <f>T48</f>
        <v>123456</v>
      </c>
      <c r="H48" s="2314"/>
      <c r="I48" s="1161">
        <f>V48</f>
        <v>123108</v>
      </c>
      <c r="J48" s="2314"/>
      <c r="K48" s="2315">
        <f>F48+H48+J48</f>
        <v>0</v>
      </c>
      <c r="L48" s="2719"/>
      <c r="M48" s="2720"/>
      <c r="N48" s="2720"/>
      <c r="O48" s="2720"/>
      <c r="P48" s="3719" t="str">
        <f>A48</f>
        <v>比较价值（元/平方米）</v>
      </c>
      <c r="Q48" s="3719"/>
      <c r="R48" s="3720">
        <f>IF(F1="售价",ROUND(PRODUCT(R47,AA7:AA46),0),ROUND(PRODUCT(R47,AA7:AA46),1))</f>
        <v>123391</v>
      </c>
      <c r="S48" s="3720"/>
      <c r="T48" s="3720">
        <f>IF(F1="售价",ROUND(PRODUCT(T47,AB7:AB46),0),ROUND(PRODUCT(T47,AB7:AB46),1))</f>
        <v>123456</v>
      </c>
      <c r="U48" s="3720"/>
      <c r="V48" s="3720">
        <f>IF(F1="售价",ROUND(PRODUCT(V47,AC7:AC46),0),ROUND(PRODUCT(V47,AC7:AC46),1))</f>
        <v>123108</v>
      </c>
      <c r="W48" s="3720"/>
      <c r="X48" s="690"/>
      <c r="Y48" s="690"/>
      <c r="Z48" s="690"/>
      <c r="AA48" s="690"/>
      <c r="AB48" s="690"/>
      <c r="AC48" s="690"/>
    </row>
    <row r="49" spans="1:29" ht="15.75" thickBot="1">
      <c r="A49" s="441" t="s">
        <v>1708</v>
      </c>
      <c r="B49" s="442"/>
      <c r="C49" s="1162">
        <f>R49</f>
        <v>123318</v>
      </c>
      <c r="D49" s="1163"/>
      <c r="E49" s="1163"/>
      <c r="F49" s="1163"/>
      <c r="G49" s="1163"/>
      <c r="H49" s="1163"/>
      <c r="I49" s="1163"/>
      <c r="J49" s="1163"/>
      <c r="K49" s="1911"/>
      <c r="L49" s="2719"/>
      <c r="M49" s="2720"/>
      <c r="N49" s="2720"/>
      <c r="O49" s="2720"/>
      <c r="P49" s="3716" t="str">
        <f>A49</f>
        <v>估价对象XX用房的比较价值（楼面单价，元/平方米）</v>
      </c>
      <c r="Q49" s="3717"/>
      <c r="R49" s="3718">
        <f>IF(F1="售价",ROUND(IF(D48="简单平均",AVERAGE(R48:V48),R48*F48+T48*H48+V48*J48),0),ROUND(IF(D48="简单平均",AVERAGE(R48:V48),R48*F48+T48*H48+V48*J48),1))</f>
        <v>123318</v>
      </c>
      <c r="S49" s="3718"/>
      <c r="T49" s="3718"/>
      <c r="U49" s="3718"/>
      <c r="V49" s="3718"/>
      <c r="W49" s="371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f>IF(E47&lt;E48,E48/E47-1,E47/E48-1)</f>
        <v>3.1234044622379331E-2</v>
      </c>
      <c r="F52" s="449" t="str">
        <f>IF(OR(E52&gt;=0.3,E52&lt;=-0.3),"超过30%","")</f>
        <v/>
      </c>
      <c r="G52" s="448">
        <f>IF(G47&lt;G48,G48/G47-1,G47/G48-1)</f>
        <v>3.1128499222395023E-2</v>
      </c>
      <c r="H52" s="449" t="str">
        <f>IF(OR(G52&gt;=0.3,G52&lt;=-0.3),"超过30%","")</f>
        <v/>
      </c>
      <c r="I52" s="448">
        <f>IF(I47&lt;I48,I48/I47-1,I47/I48-1)</f>
        <v>3.2264353250804234E-2</v>
      </c>
      <c r="J52" s="449" t="str">
        <f>IF(OR(I52&gt;=0.3,I52&lt;=-0.3),"超过30%","")</f>
        <v/>
      </c>
      <c r="K52" s="2725"/>
      <c r="L52" s="2721"/>
      <c r="M52" s="2720"/>
      <c r="N52" s="2720"/>
      <c r="O52" s="2720"/>
    </row>
    <row r="53" spans="1:29" ht="13.5" customHeight="1">
      <c r="A53" s="2720"/>
      <c r="B53" s="2720"/>
      <c r="C53" s="446" t="s">
        <v>1710</v>
      </c>
      <c r="D53" s="450"/>
      <c r="E53" s="448">
        <f>IF(E48&lt;G48,G48/E48-1,E48/G48-1)</f>
        <v>5.2678072144640709E-4</v>
      </c>
      <c r="F53" s="449" t="str">
        <f>IF(OR(E53&gt;=0.2,E53&lt;=-0.2),"超过20%","")</f>
        <v/>
      </c>
      <c r="G53" s="448">
        <f>IF(G48&lt;I48,I48/G48-1,G48/I48-1)</f>
        <v>2.8267862364752538E-3</v>
      </c>
      <c r="H53" s="449" t="str">
        <f>IF(OR(G53&gt;=0.2,G53&lt;=-0.2),"超过20%","")</f>
        <v/>
      </c>
      <c r="I53" s="448">
        <f>IF(I48&lt;E48,E48/I48-1,I48/E48-1)</f>
        <v>2.2987945543750943E-3</v>
      </c>
      <c r="J53" s="449" t="str">
        <f>IF(OR(I53&gt;=0.2,I53&lt;=-0.2),"超过20%","")</f>
        <v/>
      </c>
      <c r="K53" s="2725"/>
      <c r="L53" s="2721"/>
      <c r="M53" s="2720"/>
      <c r="N53" s="2720"/>
      <c r="O53" s="2720"/>
    </row>
    <row r="54" spans="1:29" s="451" customFormat="1" ht="13.5" customHeight="1">
      <c r="A54" s="2723"/>
      <c r="B54" s="2723"/>
      <c r="C54" s="446" t="s">
        <v>1711</v>
      </c>
      <c r="D54" s="450"/>
      <c r="E54" s="448">
        <f>IF(E47&lt;G47,G47/E47-1,E47/G47-1)</f>
        <v>4.2437816810081408E-4</v>
      </c>
      <c r="F54" s="449" t="str">
        <f>IF(OR(E54&gt;=0.3,E54&lt;=-0.3),"超过30%","")</f>
        <v/>
      </c>
      <c r="G54" s="448">
        <f>IF(G47&lt;I47,I47/G47-1,G47/I47-1)</f>
        <v>1.7233238904625914E-3</v>
      </c>
      <c r="H54" s="449" t="str">
        <f>IF(OR(G54&gt;=0.3,G54&lt;=-0.3),"超过30%","")</f>
        <v/>
      </c>
      <c r="I54" s="448">
        <f>IF(I47&lt;E47,E47/I47-1,I47/E47-1)</f>
        <v>1.2983947119924455E-3</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1712</v>
      </c>
      <c r="B57" s="690"/>
      <c r="C57" s="695"/>
      <c r="D57" s="695"/>
      <c r="E57" s="695"/>
      <c r="F57" s="696"/>
      <c r="G57" s="696"/>
      <c r="H57" s="695"/>
      <c r="I57" s="695"/>
      <c r="J57" s="695"/>
      <c r="K57" s="941"/>
      <c r="L57" s="942"/>
      <c r="M57" s="940"/>
      <c r="N57" s="940"/>
      <c r="O57" s="940"/>
      <c r="P57" s="1914"/>
      <c r="Q57" s="453"/>
    </row>
    <row r="58" spans="1:29" s="457" customFormat="1" ht="15">
      <c r="A58" s="454" t="s">
        <v>1713</v>
      </c>
      <c r="B58" s="455"/>
      <c r="C58" s="1185" t="str">
        <f>YEAR(C7)&amp;"-"&amp;MONTH(C7)</f>
        <v>2023-11</v>
      </c>
      <c r="D58" s="1184">
        <f>EDATE(C58,-1)</f>
        <v>45200</v>
      </c>
      <c r="E58" s="1184">
        <f>EDATE(D58,-1)</f>
        <v>45170</v>
      </c>
      <c r="F58" s="1184">
        <f t="shared" ref="F58:O58" si="16">EDATE(E58,-1)</f>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 t="shared" si="16"/>
        <v>44866</v>
      </c>
      <c r="P58" s="3451">
        <f t="shared" ref="P58:AB58" si="17">EDATE(O58,-1)</f>
        <v>44835</v>
      </c>
      <c r="Q58" s="3451">
        <f t="shared" si="17"/>
        <v>44805</v>
      </c>
      <c r="R58" s="3451">
        <f t="shared" si="17"/>
        <v>44774</v>
      </c>
      <c r="S58" s="3451">
        <f t="shared" si="17"/>
        <v>44743</v>
      </c>
      <c r="T58" s="3451">
        <f t="shared" si="17"/>
        <v>44713</v>
      </c>
      <c r="U58" s="3451">
        <f t="shared" si="17"/>
        <v>44682</v>
      </c>
      <c r="V58" s="3451">
        <f t="shared" si="17"/>
        <v>44652</v>
      </c>
      <c r="W58" s="3451">
        <f t="shared" si="17"/>
        <v>44621</v>
      </c>
      <c r="X58" s="3451">
        <f t="shared" si="17"/>
        <v>44593</v>
      </c>
      <c r="Y58" s="3451">
        <f t="shared" si="17"/>
        <v>44562</v>
      </c>
      <c r="Z58" s="3451">
        <f t="shared" si="17"/>
        <v>44531</v>
      </c>
      <c r="AA58" s="3451">
        <f t="shared" si="17"/>
        <v>44501</v>
      </c>
      <c r="AB58" s="3451">
        <f t="shared" si="17"/>
        <v>44470</v>
      </c>
    </row>
    <row r="59" spans="1:29" s="108" customFormat="1" ht="15">
      <c r="A59" s="458"/>
      <c r="B59" s="1915"/>
      <c r="C59" s="1182">
        <v>100</v>
      </c>
      <c r="D59" s="3455">
        <f>C59-C60</f>
        <v>100</v>
      </c>
      <c r="E59" s="3456">
        <v>100.1</v>
      </c>
      <c r="F59" s="3456">
        <f>E59</f>
        <v>100.1</v>
      </c>
      <c r="G59" s="3456">
        <f>F59-C60</f>
        <v>100.1</v>
      </c>
      <c r="H59" s="3456">
        <v>100.2</v>
      </c>
      <c r="I59" s="3456">
        <f>H59</f>
        <v>100.2</v>
      </c>
      <c r="J59" s="3456">
        <f>I59-C60</f>
        <v>100.2</v>
      </c>
      <c r="K59" s="3456">
        <v>100.3</v>
      </c>
      <c r="L59" s="3456">
        <f>K59</f>
        <v>100.3</v>
      </c>
      <c r="M59" s="3457">
        <f>L59-C60</f>
        <v>100.3</v>
      </c>
      <c r="N59" s="3456">
        <f>M59</f>
        <v>100.3</v>
      </c>
      <c r="O59" s="3457">
        <f>N59</f>
        <v>100.3</v>
      </c>
      <c r="P59" s="3457">
        <f>O59-C60</f>
        <v>100.3</v>
      </c>
      <c r="Q59" s="3457">
        <f>P59</f>
        <v>100.3</v>
      </c>
      <c r="R59" s="3458">
        <f>P59</f>
        <v>100.3</v>
      </c>
      <c r="S59" s="3458">
        <f>R59-C60</f>
        <v>100.3</v>
      </c>
      <c r="T59" s="3458">
        <f>S59</f>
        <v>100.3</v>
      </c>
      <c r="U59" s="3458">
        <f>T59</f>
        <v>100.3</v>
      </c>
      <c r="V59" s="108">
        <f>U59-C60</f>
        <v>100.3</v>
      </c>
      <c r="W59" s="108">
        <f>V59</f>
        <v>100.3</v>
      </c>
      <c r="X59" s="108">
        <f>V59</f>
        <v>100.3</v>
      </c>
      <c r="Y59" s="108">
        <f>X59-C60</f>
        <v>100.3</v>
      </c>
      <c r="Z59" s="108">
        <f>Y59</f>
        <v>100.3</v>
      </c>
      <c r="AA59" s="108">
        <f>Y59</f>
        <v>100.3</v>
      </c>
      <c r="AB59" s="108">
        <f>AA59-C60</f>
        <v>100.3</v>
      </c>
    </row>
    <row r="60" spans="1:29" s="108" customFormat="1" ht="15.75" thickBot="1">
      <c r="A60" s="464" t="s">
        <v>1714</v>
      </c>
      <c r="B60" s="465"/>
      <c r="C60" s="466">
        <v>0</v>
      </c>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1717</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3435</v>
      </c>
      <c r="D65" s="532" t="s">
        <v>3437</v>
      </c>
      <c r="E65" s="532" t="s">
        <v>3436</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K68&amp;"（含）"&amp;"-"&amp;L68</f>
        <v>（含）-</v>
      </c>
      <c r="L67" s="496" t="str">
        <f t="shared" si="18"/>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1718</v>
      </c>
      <c r="C76" s="522" t="s">
        <v>1719</v>
      </c>
      <c r="D76" s="522" t="s">
        <v>1720</v>
      </c>
      <c r="E76" s="522" t="s">
        <v>1721</v>
      </c>
      <c r="F76" s="522" t="s">
        <v>1722</v>
      </c>
      <c r="G76" s="522" t="s">
        <v>1723</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1726</v>
      </c>
      <c r="D82" s="488" t="s">
        <v>1727</v>
      </c>
      <c r="E82" s="488" t="s">
        <v>1728</v>
      </c>
      <c r="F82" s="488" t="s">
        <v>1729</v>
      </c>
      <c r="G82" s="488" t="s">
        <v>1730</v>
      </c>
      <c r="H82" s="488"/>
      <c r="I82" s="488"/>
      <c r="J82" s="488"/>
      <c r="K82" s="488"/>
      <c r="L82" s="488"/>
      <c r="M82" s="1129"/>
      <c r="N82" s="934"/>
      <c r="O82" s="934"/>
      <c r="P82" s="1918"/>
      <c r="Q82" s="453"/>
    </row>
    <row r="83" spans="1:17" ht="15.75" thickBot="1">
      <c r="A83" s="483"/>
      <c r="B83" s="495"/>
      <c r="C83" s="608">
        <v>100</v>
      </c>
      <c r="D83" s="608">
        <f>C83-$K21</f>
        <v>100</v>
      </c>
      <c r="E83" s="608">
        <f>D83-$K21</f>
        <v>100</v>
      </c>
      <c r="F83" s="608">
        <f>E83-$K21</f>
        <v>100</v>
      </c>
      <c r="G83" s="608">
        <f>F83-$K21</f>
        <v>100</v>
      </c>
      <c r="H83" s="608"/>
      <c r="I83" s="608"/>
      <c r="J83" s="608"/>
      <c r="K83" s="608"/>
      <c r="L83" s="608"/>
      <c r="M83" s="401"/>
      <c r="N83" s="934"/>
      <c r="O83" s="934"/>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1732</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20">$C$87-($C$86-D86)*$K$25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934"/>
      <c r="O87" s="934"/>
      <c r="P87" s="1918"/>
      <c r="Q87" s="453"/>
    </row>
    <row r="88" spans="1:17" s="108" customFormat="1" ht="15.75" thickTop="1">
      <c r="A88" s="528"/>
      <c r="B88" s="487" t="s">
        <v>1733</v>
      </c>
      <c r="C88" s="3473" t="s">
        <v>3438</v>
      </c>
      <c r="D88" s="3474" t="s">
        <v>3439</v>
      </c>
      <c r="E88" s="3474" t="s">
        <v>3440</v>
      </c>
      <c r="F88" s="3474" t="s">
        <v>3441</v>
      </c>
      <c r="G88" s="3474" t="s">
        <v>3478</v>
      </c>
      <c r="H88" s="3474" t="s">
        <v>3442</v>
      </c>
      <c r="I88" s="3474" t="s">
        <v>3443</v>
      </c>
      <c r="J88" s="3475" t="s">
        <v>3444</v>
      </c>
      <c r="K88" s="3475" t="s">
        <v>3445</v>
      </c>
      <c r="L88" s="3474" t="s">
        <v>3446</v>
      </c>
      <c r="M88" s="3474" t="s">
        <v>3447</v>
      </c>
      <c r="N88" s="932"/>
      <c r="O88" s="932"/>
      <c r="P88" s="1918"/>
      <c r="Q88" s="453"/>
    </row>
    <row r="89" spans="1:17" s="108" customFormat="1" ht="15.75" thickBot="1">
      <c r="A89" s="528"/>
      <c r="B89" s="492"/>
      <c r="C89" s="531">
        <v>100</v>
      </c>
      <c r="D89" s="493">
        <f t="shared" ref="D89:M89" si="21">C89-$K26</f>
        <v>99.5</v>
      </c>
      <c r="E89" s="493">
        <f t="shared" si="21"/>
        <v>99</v>
      </c>
      <c r="F89" s="493">
        <f t="shared" si="21"/>
        <v>98.5</v>
      </c>
      <c r="G89" s="493">
        <f t="shared" si="21"/>
        <v>98</v>
      </c>
      <c r="H89" s="493">
        <f t="shared" si="21"/>
        <v>97.5</v>
      </c>
      <c r="I89" s="493">
        <f t="shared" si="21"/>
        <v>97</v>
      </c>
      <c r="J89" s="493">
        <f t="shared" si="21"/>
        <v>96.5</v>
      </c>
      <c r="K89" s="493">
        <f t="shared" si="21"/>
        <v>96</v>
      </c>
      <c r="L89" s="493">
        <f t="shared" si="21"/>
        <v>95.5</v>
      </c>
      <c r="M89" s="493">
        <f t="shared" si="21"/>
        <v>95</v>
      </c>
      <c r="N89" s="934"/>
      <c r="O89" s="934"/>
      <c r="P89" s="1918"/>
      <c r="Q89" s="453"/>
    </row>
    <row r="90" spans="1:17" s="422" customFormat="1" ht="15.75" thickTop="1">
      <c r="A90" s="502"/>
      <c r="B90" s="487" t="str">
        <f>B27</f>
        <v>楼层</v>
      </c>
      <c r="C90" s="3497" t="s">
        <v>3479</v>
      </c>
      <c r="D90" s="3497" t="s">
        <v>3482</v>
      </c>
      <c r="E90" s="3497" t="s">
        <v>3480</v>
      </c>
      <c r="F90" s="503"/>
      <c r="G90" s="503"/>
      <c r="H90" s="504"/>
      <c r="I90" s="504"/>
      <c r="J90" s="504"/>
      <c r="K90" s="504"/>
      <c r="L90" s="505"/>
      <c r="M90" s="506"/>
      <c r="N90" s="935"/>
      <c r="O90" s="935"/>
      <c r="P90" s="1919"/>
      <c r="Q90" s="508"/>
    </row>
    <row r="91" spans="1:17" s="422" customFormat="1" ht="15.75" thickBot="1">
      <c r="A91" s="502"/>
      <c r="B91" s="492"/>
      <c r="C91" s="509">
        <v>101</v>
      </c>
      <c r="D91" s="509">
        <v>102</v>
      </c>
      <c r="E91" s="509">
        <v>100</v>
      </c>
      <c r="F91" s="509"/>
      <c r="G91" s="509"/>
      <c r="H91" s="511"/>
      <c r="I91" s="511"/>
      <c r="J91" s="511"/>
      <c r="K91" s="511"/>
      <c r="L91" s="511"/>
      <c r="M91" s="512"/>
      <c r="N91" s="935"/>
      <c r="O91" s="935"/>
      <c r="P91" s="1919"/>
      <c r="Q91" s="508"/>
    </row>
    <row r="92" spans="1:17" ht="15.75" thickTop="1">
      <c r="A92" s="483"/>
      <c r="B92" s="487" t="str">
        <f>B28</f>
        <v>道路级别</v>
      </c>
      <c r="C92" s="3447" t="s">
        <v>3451</v>
      </c>
      <c r="D92" s="3447" t="s">
        <v>3450</v>
      </c>
      <c r="E92" s="3447" t="s">
        <v>3453</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1734</v>
      </c>
      <c r="C100" s="3452" t="s">
        <v>3459</v>
      </c>
      <c r="D100" s="3452" t="s">
        <v>3460</v>
      </c>
      <c r="E100" s="3452" t="s">
        <v>3448</v>
      </c>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3">
        <f t="shared" si="22"/>
        <v>70</v>
      </c>
      <c r="N101" s="934"/>
      <c r="O101" s="934"/>
      <c r="P101" s="1918"/>
      <c r="Q101" s="453"/>
    </row>
    <row r="102" spans="1:17" ht="15.75" thickTop="1">
      <c r="A102" s="483"/>
      <c r="B102" s="487" t="s">
        <v>1735</v>
      </c>
      <c r="C102" s="527" t="str">
        <f>C103&amp;"(含)"&amp;"-"&amp;D103</f>
        <v>0(含)-40</v>
      </c>
      <c r="D102" s="527" t="str">
        <f t="shared" ref="D102:L102" si="23">D103&amp;"(含)"&amp;"-"&amp;E103</f>
        <v>40(含)-50</v>
      </c>
      <c r="E102" s="527" t="str">
        <f t="shared" si="23"/>
        <v>50(含)-60</v>
      </c>
      <c r="F102" s="527" t="str">
        <f t="shared" si="23"/>
        <v>60(含)-70</v>
      </c>
      <c r="G102" s="527" t="str">
        <f t="shared" si="23"/>
        <v>70(含)-</v>
      </c>
      <c r="H102" s="527" t="str">
        <f t="shared" si="23"/>
        <v>(含)-</v>
      </c>
      <c r="I102" s="527" t="str">
        <f t="shared" si="23"/>
        <v>(含)-</v>
      </c>
      <c r="J102" s="527" t="str">
        <f t="shared" si="23"/>
        <v>(含)-</v>
      </c>
      <c r="K102" s="527" t="str">
        <f>K103&amp;"(含)"&amp;"-"&amp;L103</f>
        <v>(含)-0.2</v>
      </c>
      <c r="L102" s="527" t="str">
        <f t="shared" si="23"/>
        <v>0.2(含)-</v>
      </c>
      <c r="M102" s="527" t="str">
        <f>M103&amp;"(含)"&amp;"-"&amp;P103</f>
        <v>(含)-</v>
      </c>
      <c r="N102" s="932"/>
      <c r="O102" s="932"/>
      <c r="P102" s="1918"/>
      <c r="Q102" s="453"/>
    </row>
    <row r="103" spans="1:17" s="422" customFormat="1">
      <c r="A103" s="542"/>
      <c r="B103" s="543"/>
      <c r="C103" s="544">
        <v>0</v>
      </c>
      <c r="D103" s="544">
        <v>40</v>
      </c>
      <c r="E103" s="544">
        <v>50</v>
      </c>
      <c r="F103" s="544">
        <v>60</v>
      </c>
      <c r="G103" s="544">
        <v>70</v>
      </c>
      <c r="H103" s="544"/>
      <c r="I103" s="544"/>
      <c r="J103" s="545"/>
      <c r="K103" s="545"/>
      <c r="L103" s="545">
        <v>0.2</v>
      </c>
      <c r="M103" s="547"/>
      <c r="N103" s="935"/>
      <c r="O103" s="935"/>
      <c r="P103" s="1919"/>
      <c r="Q103" s="508"/>
    </row>
    <row r="104" spans="1:17" s="422" customFormat="1" ht="15.75" thickBot="1">
      <c r="A104" s="502"/>
      <c r="B104" s="492"/>
      <c r="C104" s="485">
        <f>D104+$L$103</f>
        <v>100.60000000000001</v>
      </c>
      <c r="D104" s="485">
        <f>E104+$L$103</f>
        <v>100.4</v>
      </c>
      <c r="E104" s="485">
        <f>F104+$L$103</f>
        <v>100.2</v>
      </c>
      <c r="F104" s="485">
        <v>100</v>
      </c>
      <c r="G104" s="485">
        <f>F104-$L$103</f>
        <v>99.8</v>
      </c>
      <c r="H104" s="485"/>
      <c r="I104" s="3486"/>
      <c r="J104" s="485"/>
      <c r="K104" s="485"/>
      <c r="L104" s="485"/>
      <c r="M104" s="485"/>
      <c r="N104" s="934"/>
      <c r="O104" s="934"/>
      <c r="P104" s="1919"/>
      <c r="Q104" s="508"/>
    </row>
    <row r="105" spans="1:17" ht="15" thickTop="1">
      <c r="A105" s="548"/>
      <c r="B105" s="487" t="s">
        <v>1736</v>
      </c>
      <c r="C105" s="3447" t="s">
        <v>3413</v>
      </c>
      <c r="D105" s="3447" t="s">
        <v>3456</v>
      </c>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4">C106-$K34</f>
        <v>99.5</v>
      </c>
      <c r="E106" s="493">
        <f t="shared" si="24"/>
        <v>99</v>
      </c>
      <c r="F106" s="493">
        <f t="shared" si="24"/>
        <v>98.5</v>
      </c>
      <c r="G106" s="493">
        <f t="shared" si="24"/>
        <v>98</v>
      </c>
      <c r="H106" s="493">
        <f t="shared" si="24"/>
        <v>97.5</v>
      </c>
      <c r="I106" s="493">
        <f t="shared" si="24"/>
        <v>97</v>
      </c>
      <c r="J106" s="493">
        <f t="shared" si="24"/>
        <v>96.5</v>
      </c>
      <c r="K106" s="493">
        <f t="shared" si="24"/>
        <v>96</v>
      </c>
      <c r="L106" s="493">
        <f t="shared" si="24"/>
        <v>95.5</v>
      </c>
      <c r="M106" s="493">
        <f t="shared" si="24"/>
        <v>95</v>
      </c>
      <c r="N106" s="934"/>
      <c r="O106" s="934"/>
      <c r="P106" s="1918"/>
      <c r="Q106" s="453"/>
    </row>
    <row r="107" spans="1:17" ht="15" thickTop="1">
      <c r="A107" s="548"/>
      <c r="B107" s="3489" t="s">
        <v>3461</v>
      </c>
      <c r="C107" s="3476" t="s">
        <v>1719</v>
      </c>
      <c r="D107" s="3476" t="s">
        <v>1720</v>
      </c>
      <c r="E107" s="3476" t="s">
        <v>1721</v>
      </c>
      <c r="F107" s="3476" t="s">
        <v>1722</v>
      </c>
      <c r="G107" s="3476" t="s">
        <v>1723</v>
      </c>
      <c r="H107" s="532"/>
      <c r="I107" s="532"/>
      <c r="J107" s="532"/>
      <c r="K107" s="533"/>
      <c r="L107" s="534"/>
      <c r="M107" s="535"/>
      <c r="N107" s="933"/>
      <c r="O107" s="933"/>
      <c r="P107" s="1918"/>
      <c r="Q107" s="453"/>
    </row>
    <row r="108" spans="1:17" ht="15.75" thickBot="1">
      <c r="A108" s="483"/>
      <c r="B108" s="492"/>
      <c r="C108" s="493">
        <v>100</v>
      </c>
      <c r="D108" s="493">
        <f t="shared" ref="D108:M108" si="25">C108-$K35</f>
        <v>97</v>
      </c>
      <c r="E108" s="493">
        <f t="shared" si="25"/>
        <v>94</v>
      </c>
      <c r="F108" s="493">
        <f t="shared" si="25"/>
        <v>91</v>
      </c>
      <c r="G108" s="493">
        <f t="shared" si="25"/>
        <v>88</v>
      </c>
      <c r="H108" s="493">
        <f t="shared" si="25"/>
        <v>85</v>
      </c>
      <c r="I108" s="493">
        <f t="shared" si="25"/>
        <v>82</v>
      </c>
      <c r="J108" s="493">
        <f t="shared" si="25"/>
        <v>79</v>
      </c>
      <c r="K108" s="493">
        <f t="shared" si="25"/>
        <v>76</v>
      </c>
      <c r="L108" s="493">
        <f t="shared" si="25"/>
        <v>73</v>
      </c>
      <c r="M108" s="493">
        <f t="shared" si="25"/>
        <v>70</v>
      </c>
      <c r="N108" s="934"/>
      <c r="O108" s="934"/>
      <c r="P108" s="1918"/>
      <c r="Q108" s="453"/>
    </row>
    <row r="109" spans="1:17" ht="15" thickTop="1">
      <c r="A109" s="548"/>
      <c r="B109" s="487" t="s">
        <v>1737</v>
      </c>
      <c r="C109" s="3447" t="s">
        <v>3414</v>
      </c>
      <c r="D109" s="3447" t="s">
        <v>3486</v>
      </c>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6">C110-$K36</f>
        <v>100</v>
      </c>
      <c r="E110" s="493">
        <f t="shared" si="26"/>
        <v>100</v>
      </c>
      <c r="F110" s="493">
        <f t="shared" si="26"/>
        <v>100</v>
      </c>
      <c r="G110" s="493">
        <f t="shared" si="26"/>
        <v>100</v>
      </c>
      <c r="H110" s="493">
        <f t="shared" si="26"/>
        <v>100</v>
      </c>
      <c r="I110" s="493">
        <f t="shared" si="26"/>
        <v>100</v>
      </c>
      <c r="J110" s="493">
        <f t="shared" si="26"/>
        <v>100</v>
      </c>
      <c r="K110" s="493">
        <f t="shared" si="26"/>
        <v>100</v>
      </c>
      <c r="L110" s="493">
        <f t="shared" si="26"/>
        <v>100</v>
      </c>
      <c r="M110" s="493">
        <f t="shared" si="26"/>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1738</v>
      </c>
      <c r="C114" s="3447" t="s">
        <v>3415</v>
      </c>
      <c r="D114" s="3447" t="s">
        <v>3454</v>
      </c>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27">C115-$K38</f>
        <v>99</v>
      </c>
      <c r="E115" s="493">
        <f t="shared" si="27"/>
        <v>98</v>
      </c>
      <c r="F115" s="493">
        <f t="shared" si="27"/>
        <v>97</v>
      </c>
      <c r="G115" s="493">
        <f t="shared" si="27"/>
        <v>96</v>
      </c>
      <c r="H115" s="493">
        <f t="shared" si="27"/>
        <v>95</v>
      </c>
      <c r="I115" s="493">
        <f t="shared" si="27"/>
        <v>94</v>
      </c>
      <c r="J115" s="493">
        <f t="shared" si="27"/>
        <v>93</v>
      </c>
      <c r="K115" s="493">
        <f t="shared" si="27"/>
        <v>92</v>
      </c>
      <c r="L115" s="493">
        <f t="shared" si="27"/>
        <v>91</v>
      </c>
      <c r="M115" s="493">
        <f t="shared" si="27"/>
        <v>90</v>
      </c>
      <c r="N115" s="934"/>
      <c r="O115" s="934"/>
      <c r="P115" s="1918"/>
      <c r="Q115" s="453"/>
    </row>
    <row r="116" spans="1:17" ht="15" thickTop="1">
      <c r="A116" s="548"/>
      <c r="B116" s="487" t="s">
        <v>1739</v>
      </c>
      <c r="C116" s="3447" t="s">
        <v>3416</v>
      </c>
      <c r="D116" s="3447" t="s">
        <v>3417</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1740</v>
      </c>
      <c r="C118" s="3453" t="s">
        <v>3419</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28">C119-$K40</f>
        <v>100</v>
      </c>
      <c r="E119" s="493">
        <f t="shared" si="28"/>
        <v>100</v>
      </c>
      <c r="F119" s="493">
        <f t="shared" si="28"/>
        <v>100</v>
      </c>
      <c r="G119" s="493">
        <f t="shared" si="28"/>
        <v>100</v>
      </c>
      <c r="H119" s="493">
        <f t="shared" si="28"/>
        <v>100</v>
      </c>
      <c r="I119" s="493">
        <f t="shared" si="28"/>
        <v>100</v>
      </c>
      <c r="J119" s="493">
        <f t="shared" si="28"/>
        <v>100</v>
      </c>
      <c r="K119" s="493">
        <f t="shared" si="28"/>
        <v>100</v>
      </c>
      <c r="L119" s="493">
        <f t="shared" si="28"/>
        <v>100</v>
      </c>
      <c r="M119" s="493">
        <f t="shared" si="28"/>
        <v>100</v>
      </c>
      <c r="N119" s="934"/>
      <c r="O119" s="934"/>
      <c r="P119" s="1918"/>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1741</v>
      </c>
      <c r="C122" s="3447" t="s">
        <v>3420</v>
      </c>
      <c r="D122" s="3447" t="s">
        <v>3421</v>
      </c>
      <c r="E122" s="3447" t="s">
        <v>3486</v>
      </c>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29">C123-$K42</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3">
        <f t="shared" si="29"/>
        <v>90</v>
      </c>
      <c r="N123" s="934"/>
      <c r="O123" s="934"/>
      <c r="P123" s="1918"/>
      <c r="Q123" s="453"/>
    </row>
    <row r="124" spans="1:17" ht="15" thickTop="1">
      <c r="A124" s="548"/>
      <c r="B124" s="487" t="s">
        <v>1742</v>
      </c>
      <c r="C124" s="527" t="s">
        <v>1719</v>
      </c>
      <c r="D124" s="527" t="s">
        <v>1720</v>
      </c>
      <c r="E124" s="527" t="s">
        <v>1721</v>
      </c>
      <c r="F124" s="527" t="s">
        <v>1722</v>
      </c>
      <c r="G124" s="527" t="s">
        <v>1723</v>
      </c>
      <c r="H124" s="488"/>
      <c r="I124" s="488"/>
      <c r="J124" s="488"/>
      <c r="K124" s="489"/>
      <c r="L124" s="490"/>
      <c r="M124" s="491"/>
      <c r="N124" s="933"/>
      <c r="O124" s="933"/>
      <c r="P124" s="1919"/>
      <c r="Q124" s="453"/>
    </row>
    <row r="125" spans="1:17" ht="15.75" thickBot="1">
      <c r="A125" s="483"/>
      <c r="B125" s="492"/>
      <c r="C125" s="493">
        <v>100</v>
      </c>
      <c r="D125" s="493">
        <f>C125-$K43</f>
        <v>99.5</v>
      </c>
      <c r="E125" s="493">
        <f>D125-$K43</f>
        <v>99</v>
      </c>
      <c r="F125" s="493">
        <f>E125-$K43</f>
        <v>98.5</v>
      </c>
      <c r="G125" s="493">
        <f>F125-$K43</f>
        <v>98</v>
      </c>
      <c r="H125" s="493"/>
      <c r="I125" s="493"/>
      <c r="J125" s="493"/>
      <c r="K125" s="493"/>
      <c r="L125" s="493"/>
      <c r="M125" s="494"/>
      <c r="N125" s="934"/>
      <c r="O125" s="934"/>
      <c r="P125" s="1918"/>
      <c r="Q125" s="453"/>
    </row>
    <row r="126" spans="1:17" s="422" customFormat="1" ht="15" thickTop="1">
      <c r="A126" s="542"/>
      <c r="B126" s="487">
        <f>B44</f>
        <v>111</v>
      </c>
      <c r="C126" s="3447">
        <f>C44</f>
        <v>0</v>
      </c>
      <c r="D126" s="3447">
        <f>G44</f>
        <v>0</v>
      </c>
      <c r="E126" s="503">
        <f>E44</f>
        <v>0</v>
      </c>
      <c r="F126" s="503">
        <f>I44</f>
        <v>0</v>
      </c>
      <c r="G126" s="503"/>
      <c r="H126" s="504"/>
      <c r="I126" s="504">
        <v>4</v>
      </c>
      <c r="J126" s="504"/>
      <c r="K126" s="504"/>
      <c r="L126" s="505"/>
      <c r="M126" s="506"/>
      <c r="N126" s="935"/>
      <c r="O126" s="935"/>
      <c r="P126" s="1919"/>
      <c r="Q126" s="508"/>
    </row>
    <row r="127" spans="1:17" s="422" customFormat="1" ht="15.75" thickBot="1">
      <c r="A127" s="502"/>
      <c r="B127" s="492"/>
      <c r="C127" s="509">
        <v>100</v>
      </c>
      <c r="D127" s="485">
        <f>C127-$I$126</f>
        <v>96</v>
      </c>
      <c r="E127" s="485">
        <f>D127-$I$126</f>
        <v>92</v>
      </c>
      <c r="F127" s="485">
        <f>E127-$I$126</f>
        <v>88</v>
      </c>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7">
        <v>6</v>
      </c>
      <c r="C139" s="868">
        <v>96</v>
      </c>
      <c r="D139" s="1936" t="s">
        <v>1752</v>
      </c>
      <c r="E139" s="869">
        <v>100</v>
      </c>
      <c r="F139" s="870">
        <v>102.5</v>
      </c>
      <c r="G139" s="1936" t="s">
        <v>1752</v>
      </c>
      <c r="H139" s="871">
        <v>105</v>
      </c>
      <c r="I139" s="1937" t="s">
        <v>1753</v>
      </c>
      <c r="J139" s="868">
        <v>20</v>
      </c>
      <c r="K139" s="872">
        <f>C145/(J139-2)</f>
        <v>4.0555555555555553E-3</v>
      </c>
    </row>
    <row r="140" spans="1:17" ht="15">
      <c r="B140" s="873">
        <v>5</v>
      </c>
      <c r="C140" s="874">
        <v>100</v>
      </c>
      <c r="D140" s="874"/>
      <c r="E140" s="875"/>
      <c r="F140" s="876">
        <v>102</v>
      </c>
      <c r="G140" s="874"/>
      <c r="H140" s="877"/>
      <c r="I140" s="1938" t="s">
        <v>1754</v>
      </c>
      <c r="J140" s="271">
        <f>ROUNDUP((J139-1)/2,0)</f>
        <v>10</v>
      </c>
      <c r="K140" s="878">
        <v>100</v>
      </c>
    </row>
    <row r="141" spans="1:17" ht="15">
      <c r="B141" s="873">
        <v>4</v>
      </c>
      <c r="C141" s="874">
        <v>102</v>
      </c>
      <c r="D141" s="874"/>
      <c r="E141" s="875"/>
      <c r="F141" s="876">
        <v>101.5</v>
      </c>
      <c r="G141" s="874"/>
      <c r="H141" s="877"/>
      <c r="I141" s="1938" t="s">
        <v>1755</v>
      </c>
      <c r="J141" s="271">
        <v>1</v>
      </c>
      <c r="K141" s="879">
        <f>ROUND(100+(J141-J140)*K139*100,1)</f>
        <v>96.4</v>
      </c>
    </row>
    <row r="142" spans="1:17" ht="15">
      <c r="B142" s="873">
        <v>3</v>
      </c>
      <c r="C142" s="874">
        <v>103</v>
      </c>
      <c r="D142" s="874"/>
      <c r="E142" s="875"/>
      <c r="F142" s="876">
        <v>101</v>
      </c>
      <c r="G142" s="874"/>
      <c r="H142" s="877"/>
      <c r="I142" s="1938" t="s">
        <v>1756</v>
      </c>
      <c r="J142" s="271">
        <f>J139</f>
        <v>20</v>
      </c>
      <c r="K142" s="880">
        <v>95</v>
      </c>
    </row>
    <row r="143" spans="1:17" ht="15">
      <c r="B143" s="873">
        <v>2</v>
      </c>
      <c r="C143" s="874">
        <v>100</v>
      </c>
      <c r="D143" s="874"/>
      <c r="E143" s="875"/>
      <c r="F143" s="876">
        <v>100.5</v>
      </c>
      <c r="G143" s="874"/>
      <c r="H143" s="877"/>
      <c r="I143" s="1938" t="s">
        <v>1757</v>
      </c>
      <c r="J143" s="874">
        <v>15</v>
      </c>
      <c r="K143" s="879">
        <f>ROUND(100+(J143-J140)*K139*100,1)</f>
        <v>102</v>
      </c>
    </row>
    <row r="144" spans="1:17" ht="15">
      <c r="B144" s="873">
        <v>1</v>
      </c>
      <c r="C144" s="874">
        <v>98</v>
      </c>
      <c r="D144" s="1939" t="s">
        <v>1758</v>
      </c>
      <c r="E144" s="875">
        <v>102</v>
      </c>
      <c r="F144" s="881">
        <v>100</v>
      </c>
      <c r="G144" s="1939" t="s">
        <v>1758</v>
      </c>
      <c r="H144" s="877">
        <v>105</v>
      </c>
      <c r="I144" s="1938" t="s">
        <v>1757</v>
      </c>
      <c r="J144" s="874">
        <v>18</v>
      </c>
      <c r="K144" s="879">
        <f>ROUND(100+(J144-J140)*K139*100,1)</f>
        <v>103.2</v>
      </c>
    </row>
    <row r="145" spans="2:11" ht="15.75" thickBot="1">
      <c r="B145" s="1940" t="s">
        <v>1759</v>
      </c>
      <c r="C145" s="882">
        <f>ROUND(MAX(C139:C144)/MIN(C139:C144)-1,3)</f>
        <v>7.2999999999999995E-2</v>
      </c>
      <c r="D145" s="883"/>
      <c r="E145" s="883"/>
      <c r="F145" s="1941" t="s">
        <v>1760</v>
      </c>
      <c r="G145" s="1942"/>
      <c r="H145" s="1943"/>
      <c r="I145" s="1944" t="s">
        <v>1757</v>
      </c>
      <c r="J145" s="884">
        <v>8</v>
      </c>
      <c r="K145" s="885">
        <f>ROUND(100+(J145-J140)*K139*100,1)</f>
        <v>99.2</v>
      </c>
    </row>
    <row r="147" spans="2:11">
      <c r="B147" s="1925" t="s">
        <v>1761</v>
      </c>
    </row>
    <row r="148" spans="2:11">
      <c r="B148" s="1925"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1763</v>
      </c>
      <c r="C1" s="1237" t="s">
        <v>1662</v>
      </c>
      <c r="D1" s="1224"/>
      <c r="E1" s="3421"/>
      <c r="F1" s="1878"/>
      <c r="G1" s="1234" t="s">
        <v>1764</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1765</v>
      </c>
      <c r="D3" s="353">
        <f>IF(D1="",'数据-汇总表'!E3,SUMIF('数据-汇总表'!$C19:$C33,D1,'数据-汇总表'!$E19:$E33))</f>
        <v>69.099999999999994</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1766</v>
      </c>
      <c r="B4" s="356"/>
      <c r="C4" s="3734" t="s">
        <v>1767</v>
      </c>
      <c r="D4" s="3735"/>
      <c r="E4" s="3736" t="s">
        <v>1768</v>
      </c>
      <c r="F4" s="3737"/>
      <c r="G4" s="3734" t="s">
        <v>1769</v>
      </c>
      <c r="H4" s="3735"/>
      <c r="I4" s="3734" t="s">
        <v>1770</v>
      </c>
      <c r="J4" s="3735"/>
      <c r="K4" s="559" t="s">
        <v>1771</v>
      </c>
      <c r="L4" s="2710"/>
      <c r="M4" s="2711"/>
      <c r="N4" s="2711"/>
      <c r="O4" s="2711"/>
      <c r="P4" s="3738" t="s">
        <v>1772</v>
      </c>
      <c r="Q4" s="3739"/>
      <c r="R4" s="3744" t="s">
        <v>1768</v>
      </c>
      <c r="S4" s="3745"/>
      <c r="T4" s="3744" t="s">
        <v>1769</v>
      </c>
      <c r="U4" s="3745"/>
      <c r="V4" s="3750" t="s">
        <v>1770</v>
      </c>
      <c r="W4" s="3750"/>
      <c r="X4" s="1354"/>
      <c r="Y4" s="3744" t="s">
        <v>1772</v>
      </c>
      <c r="Z4" s="3745"/>
      <c r="AA4" s="3731" t="s">
        <v>1768</v>
      </c>
      <c r="AB4" s="3750" t="s">
        <v>1769</v>
      </c>
      <c r="AC4" s="3731" t="s">
        <v>1770</v>
      </c>
    </row>
    <row r="5" spans="1:29" ht="15">
      <c r="A5" s="358"/>
      <c r="B5" s="359"/>
      <c r="C5" s="3753" t="s">
        <v>1673</v>
      </c>
      <c r="D5" s="3754"/>
      <c r="E5" s="3763" t="s">
        <v>1674</v>
      </c>
      <c r="F5" s="3762"/>
      <c r="G5" s="3753" t="s">
        <v>1675</v>
      </c>
      <c r="H5" s="3754"/>
      <c r="I5" s="3753" t="s">
        <v>1676</v>
      </c>
      <c r="J5" s="3754"/>
      <c r="K5" s="559"/>
      <c r="L5" s="2710"/>
      <c r="M5" s="2711"/>
      <c r="N5" s="2711"/>
      <c r="O5" s="2711"/>
      <c r="P5" s="3740"/>
      <c r="Q5" s="3741"/>
      <c r="R5" s="3746"/>
      <c r="S5" s="3747"/>
      <c r="T5" s="3746"/>
      <c r="U5" s="3747"/>
      <c r="V5" s="3750"/>
      <c r="W5" s="3750"/>
      <c r="X5" s="1354"/>
      <c r="Y5" s="3746"/>
      <c r="Z5" s="3747"/>
      <c r="AA5" s="3732"/>
      <c r="AB5" s="3750"/>
      <c r="AC5" s="3732"/>
    </row>
    <row r="6" spans="1:29" ht="15.75" thickBot="1">
      <c r="A6" s="360"/>
      <c r="B6" s="361"/>
      <c r="C6" s="3751" t="s">
        <v>1677</v>
      </c>
      <c r="D6" s="3752"/>
      <c r="E6" s="3759" t="s">
        <v>1677</v>
      </c>
      <c r="F6" s="3760"/>
      <c r="G6" s="3751" t="s">
        <v>1677</v>
      </c>
      <c r="H6" s="3752"/>
      <c r="I6" s="3751" t="s">
        <v>1677</v>
      </c>
      <c r="J6" s="3752"/>
      <c r="K6" s="559" t="s">
        <v>1678</v>
      </c>
      <c r="L6" s="2710"/>
      <c r="M6" s="2711"/>
      <c r="N6" s="2711"/>
      <c r="O6" s="2711"/>
      <c r="P6" s="3742"/>
      <c r="Q6" s="3743"/>
      <c r="R6" s="3746"/>
      <c r="S6" s="3747"/>
      <c r="T6" s="3748"/>
      <c r="U6" s="3749"/>
      <c r="V6" s="3750"/>
      <c r="W6" s="3750"/>
      <c r="X6" s="1354"/>
      <c r="Y6" s="3748"/>
      <c r="Z6" s="3749"/>
      <c r="AA6" s="3733"/>
      <c r="AB6" s="3750"/>
      <c r="AC6" s="3733"/>
    </row>
    <row r="7" spans="1:29" s="108" customFormat="1" ht="15.75" thickBot="1">
      <c r="A7" s="362" t="s">
        <v>1679</v>
      </c>
      <c r="B7" s="363"/>
      <c r="C7" s="364">
        <f>'数据-取费表'!B2</f>
        <v>45250</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55" t="s">
        <v>1683</v>
      </c>
      <c r="Q8" s="3756"/>
      <c r="R8" s="701" t="s">
        <v>14</v>
      </c>
      <c r="S8" s="702">
        <f t="shared" si="0"/>
        <v>100</v>
      </c>
      <c r="T8" s="701" t="s">
        <v>14</v>
      </c>
      <c r="U8" s="702">
        <f t="shared" si="1"/>
        <v>100</v>
      </c>
      <c r="V8" s="701" t="s">
        <v>14</v>
      </c>
      <c r="W8" s="702">
        <f t="shared" si="2"/>
        <v>100</v>
      </c>
      <c r="X8" s="703"/>
      <c r="Y8" s="3755" t="s">
        <v>1683</v>
      </c>
      <c r="Z8" s="375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30"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30"/>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30"/>
      <c r="Q11" s="1342"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0"/>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0"/>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0"/>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71.25">
      <c r="A15" s="391" t="s">
        <v>1690</v>
      </c>
      <c r="B15" s="61" t="s">
        <v>1774</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8"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29"/>
      <c r="Q16" s="1351"/>
      <c r="R16" s="705"/>
      <c r="S16" s="706"/>
      <c r="T16" s="705"/>
      <c r="U16" s="706"/>
      <c r="V16" s="705"/>
      <c r="W16" s="706"/>
      <c r="X16" s="1354"/>
      <c r="Y16" s="3722"/>
      <c r="Z16" s="1355"/>
      <c r="AA16" s="1352">
        <v>1</v>
      </c>
      <c r="AB16" s="1352">
        <v>1</v>
      </c>
      <c r="AC16" s="1352">
        <v>1</v>
      </c>
    </row>
    <row r="17" spans="1:29" ht="99.75">
      <c r="A17" s="379"/>
      <c r="B17" s="402" t="s">
        <v>1259</v>
      </c>
      <c r="C17" s="1898" t="str">
        <f>估价对象房地状况!C6</f>
        <v>周边有10路、13路、21路、26路、68路等多条公交线路及地铁1号线南礼士路站，综合评价交通便捷度较好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29"/>
      <c r="Q18" s="1351"/>
      <c r="R18" s="705"/>
      <c r="S18" s="706"/>
      <c r="T18" s="705"/>
      <c r="U18" s="706"/>
      <c r="V18" s="705"/>
      <c r="W18" s="706"/>
      <c r="X18" s="1354"/>
      <c r="Y18" s="3722"/>
      <c r="Z18" s="1355"/>
      <c r="AA18" s="1352">
        <v>1</v>
      </c>
      <c r="AB18" s="1352">
        <v>1</v>
      </c>
      <c r="AC18" s="1352">
        <v>1</v>
      </c>
    </row>
    <row r="19" spans="1:29" ht="299.25">
      <c r="A19" s="379"/>
      <c r="B19" s="402" t="s">
        <v>1775</v>
      </c>
      <c r="C19" s="1898"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29"/>
      <c r="Q20" s="1351"/>
      <c r="R20" s="705"/>
      <c r="S20" s="706"/>
      <c r="T20" s="705"/>
      <c r="U20" s="706"/>
      <c r="V20" s="705"/>
      <c r="W20" s="706"/>
      <c r="X20" s="1354"/>
      <c r="Y20" s="3722"/>
      <c r="Z20" s="1355"/>
      <c r="AA20" s="1352">
        <v>1</v>
      </c>
      <c r="AB20" s="1352">
        <v>1</v>
      </c>
      <c r="AC20" s="1352">
        <v>1</v>
      </c>
    </row>
    <row r="21" spans="1:29" ht="28.5">
      <c r="A21" s="379"/>
      <c r="B21" s="1131" t="s">
        <v>1776</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D21/F21</f>
        <v>1</v>
      </c>
      <c r="AB21" s="1352">
        <f>D21/H21</f>
        <v>1</v>
      </c>
      <c r="AC21" s="1352">
        <f>D21/J21</f>
        <v>1</v>
      </c>
    </row>
    <row r="22" spans="1:29" ht="15">
      <c r="A22" s="379"/>
      <c r="B22" s="1131"/>
      <c r="C22" s="1899"/>
      <c r="D22" s="399"/>
      <c r="E22" s="398"/>
      <c r="F22" s="400"/>
      <c r="G22" s="398"/>
      <c r="H22" s="399"/>
      <c r="I22" s="398"/>
      <c r="J22" s="399"/>
      <c r="K22" s="1130"/>
      <c r="L22" s="2717"/>
      <c r="M22" s="2711"/>
      <c r="N22" s="2711"/>
      <c r="O22" s="2711"/>
      <c r="P22" s="3729"/>
      <c r="Q22" s="1351"/>
      <c r="R22" s="705"/>
      <c r="S22" s="706"/>
      <c r="T22" s="705"/>
      <c r="U22" s="706"/>
      <c r="V22" s="705"/>
      <c r="W22" s="706"/>
      <c r="X22" s="1354"/>
      <c r="Y22" s="3722"/>
      <c r="Z22" s="1355"/>
      <c r="AA22" s="1352">
        <v>1</v>
      </c>
      <c r="AB22" s="1352">
        <v>1</v>
      </c>
      <c r="AC22" s="1352">
        <v>1</v>
      </c>
    </row>
    <row r="23" spans="1:29" ht="114">
      <c r="A23" s="379"/>
      <c r="B23" s="402" t="s">
        <v>1261</v>
      </c>
      <c r="C23" s="1951" t="str">
        <f>估价对象房地状况!C9</f>
        <v>自然环境：月坛公园等自然水系景观；
人文环境：二七剧场等人文场所；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9"/>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29"/>
      <c r="Q24" s="1351"/>
      <c r="R24" s="705"/>
      <c r="S24" s="706"/>
      <c r="T24" s="705"/>
      <c r="U24" s="706"/>
      <c r="V24" s="705"/>
      <c r="W24" s="706"/>
      <c r="X24" s="1354"/>
      <c r="Y24" s="3722"/>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9"/>
      <c r="Q25" s="1351" t="str">
        <f t="shared" ref="Q25:Q46" si="8">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9"/>
      <c r="Q26" s="1351" t="str">
        <f t="shared" si="8"/>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1779</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29"/>
      <c r="Q27" s="1342" t="str">
        <f t="shared" si="8"/>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9"/>
      <c r="Q28" s="1351" t="str">
        <f t="shared" si="8"/>
        <v>楼层</v>
      </c>
      <c r="R28" s="705" t="s">
        <v>14</v>
      </c>
      <c r="S28" s="706">
        <f t="shared" ref="S28:S46" si="9">F28</f>
        <v>100</v>
      </c>
      <c r="T28" s="705" t="s">
        <v>14</v>
      </c>
      <c r="U28" s="706">
        <f t="shared" ref="U28:U46" si="10">H28</f>
        <v>100</v>
      </c>
      <c r="V28" s="705" t="s">
        <v>14</v>
      </c>
      <c r="W28" s="706">
        <f t="shared" ref="W28:W46" si="11">J28</f>
        <v>100</v>
      </c>
      <c r="X28" s="1354"/>
      <c r="Y28" s="3722"/>
      <c r="Z28" s="1355" t="str">
        <f t="shared" ref="Z28:Z46" si="12">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9"/>
      <c r="Q29" s="1351">
        <f t="shared" si="8"/>
        <v>111</v>
      </c>
      <c r="R29" s="705" t="s">
        <v>14</v>
      </c>
      <c r="S29" s="706">
        <f t="shared" si="9"/>
        <v>100</v>
      </c>
      <c r="T29" s="705" t="s">
        <v>14</v>
      </c>
      <c r="U29" s="706">
        <f t="shared" si="10"/>
        <v>100</v>
      </c>
      <c r="V29" s="705" t="s">
        <v>14</v>
      </c>
      <c r="W29" s="706">
        <f t="shared" si="11"/>
        <v>100</v>
      </c>
      <c r="X29" s="1354"/>
      <c r="Y29" s="3722"/>
      <c r="Z29" s="1355">
        <f t="shared" si="12"/>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9"/>
      <c r="Q30" s="1351">
        <f t="shared" si="8"/>
        <v>111</v>
      </c>
      <c r="R30" s="705" t="s">
        <v>14</v>
      </c>
      <c r="S30" s="706">
        <f t="shared" si="9"/>
        <v>100</v>
      </c>
      <c r="T30" s="705" t="s">
        <v>14</v>
      </c>
      <c r="U30" s="706">
        <f t="shared" si="10"/>
        <v>100</v>
      </c>
      <c r="V30" s="705" t="s">
        <v>14</v>
      </c>
      <c r="W30" s="706">
        <f t="shared" si="11"/>
        <v>100</v>
      </c>
      <c r="X30" s="1354"/>
      <c r="Y30" s="3722"/>
      <c r="Z30" s="1355">
        <f t="shared" si="12"/>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9"/>
      <c r="Q31" s="1351">
        <f t="shared" si="8"/>
        <v>111</v>
      </c>
      <c r="R31" s="705" t="s">
        <v>14</v>
      </c>
      <c r="S31" s="706">
        <f t="shared" si="9"/>
        <v>100</v>
      </c>
      <c r="T31" s="705" t="s">
        <v>14</v>
      </c>
      <c r="U31" s="706">
        <f t="shared" si="10"/>
        <v>100</v>
      </c>
      <c r="V31" s="705" t="s">
        <v>14</v>
      </c>
      <c r="W31" s="706">
        <f t="shared" si="11"/>
        <v>100</v>
      </c>
      <c r="X31" s="1354"/>
      <c r="Y31" s="3722"/>
      <c r="Z31" s="1355">
        <f t="shared" si="12"/>
        <v>111</v>
      </c>
      <c r="AA31" s="1352">
        <f t="shared" si="3"/>
        <v>1</v>
      </c>
      <c r="AB31" s="1352">
        <f t="shared" si="4"/>
        <v>1</v>
      </c>
      <c r="AC31" s="1352">
        <f t="shared" si="5"/>
        <v>1</v>
      </c>
    </row>
    <row r="32" spans="1:29" ht="15">
      <c r="A32" s="391" t="s">
        <v>1694</v>
      </c>
      <c r="B32" s="63" t="s">
        <v>1781</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23" t="s">
        <v>1696</v>
      </c>
      <c r="Q32" s="1351" t="str">
        <f t="shared" si="8"/>
        <v>商业类型</v>
      </c>
      <c r="R32" s="705" t="s">
        <v>14</v>
      </c>
      <c r="S32" s="706">
        <f t="shared" si="9"/>
        <v>100</v>
      </c>
      <c r="T32" s="705" t="s">
        <v>14</v>
      </c>
      <c r="U32" s="706">
        <f t="shared" si="10"/>
        <v>100</v>
      </c>
      <c r="V32" s="705" t="s">
        <v>14</v>
      </c>
      <c r="W32" s="706">
        <f t="shared" si="11"/>
        <v>100</v>
      </c>
      <c r="X32" s="1354"/>
      <c r="Y32" s="3726" t="s">
        <v>1696</v>
      </c>
      <c r="Z32" s="1355" t="str">
        <f t="shared" si="12"/>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24"/>
      <c r="Q33" s="707" t="str">
        <f t="shared" si="8"/>
        <v>项目建筑规模</v>
      </c>
      <c r="R33" s="708" t="s">
        <v>14</v>
      </c>
      <c r="S33" s="709" t="e">
        <f t="shared" si="9"/>
        <v>#N/A</v>
      </c>
      <c r="T33" s="708" t="s">
        <v>14</v>
      </c>
      <c r="U33" s="709" t="e">
        <f t="shared" si="10"/>
        <v>#N/A</v>
      </c>
      <c r="V33" s="708" t="s">
        <v>14</v>
      </c>
      <c r="W33" s="709" t="e">
        <f t="shared" si="11"/>
        <v>#N/A</v>
      </c>
      <c r="X33" s="710"/>
      <c r="Y33" s="3726"/>
      <c r="Z33" s="711" t="str">
        <f t="shared" si="12"/>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24"/>
      <c r="Q34" s="1351" t="str">
        <f t="shared" si="8"/>
        <v>建筑结构</v>
      </c>
      <c r="R34" s="705" t="s">
        <v>14</v>
      </c>
      <c r="S34" s="706">
        <f t="shared" si="9"/>
        <v>100</v>
      </c>
      <c r="T34" s="705" t="s">
        <v>14</v>
      </c>
      <c r="U34" s="706">
        <f t="shared" si="10"/>
        <v>100</v>
      </c>
      <c r="V34" s="705" t="s">
        <v>14</v>
      </c>
      <c r="W34" s="706">
        <f t="shared" si="11"/>
        <v>100</v>
      </c>
      <c r="X34" s="1354"/>
      <c r="Y34" s="3726"/>
      <c r="Z34" s="1355" t="str">
        <f t="shared" si="12"/>
        <v>建筑结构</v>
      </c>
      <c r="AA34" s="1352">
        <f t="shared" si="3"/>
        <v>1</v>
      </c>
      <c r="AB34" s="1352">
        <f t="shared" si="4"/>
        <v>1</v>
      </c>
      <c r="AC34" s="1352">
        <f t="shared" si="5"/>
        <v>1</v>
      </c>
    </row>
    <row r="35" spans="1:29" ht="15">
      <c r="A35" s="423"/>
      <c r="B35" s="375" t="s">
        <v>1782</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24"/>
      <c r="Q35" s="1351" t="str">
        <f t="shared" si="8"/>
        <v>公共部分装修</v>
      </c>
      <c r="R35" s="705" t="s">
        <v>14</v>
      </c>
      <c r="S35" s="706">
        <f t="shared" si="9"/>
        <v>100</v>
      </c>
      <c r="T35" s="705" t="s">
        <v>14</v>
      </c>
      <c r="U35" s="706">
        <f t="shared" si="10"/>
        <v>100</v>
      </c>
      <c r="V35" s="705" t="s">
        <v>14</v>
      </c>
      <c r="W35" s="706">
        <f t="shared" si="11"/>
        <v>100</v>
      </c>
      <c r="X35" s="1354"/>
      <c r="Y35" s="3726"/>
      <c r="Z35" s="1355" t="str">
        <f t="shared" si="12"/>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24"/>
      <c r="Q36" s="1351" t="str">
        <f t="shared" si="8"/>
        <v>成新度</v>
      </c>
      <c r="R36" s="705" t="s">
        <v>14</v>
      </c>
      <c r="S36" s="706" t="e">
        <f t="shared" si="9"/>
        <v>#N/A</v>
      </c>
      <c r="T36" s="705" t="s">
        <v>14</v>
      </c>
      <c r="U36" s="706" t="e">
        <f t="shared" si="10"/>
        <v>#N/A</v>
      </c>
      <c r="V36" s="705" t="s">
        <v>14</v>
      </c>
      <c r="W36" s="706" t="e">
        <f t="shared" si="11"/>
        <v>#N/A</v>
      </c>
      <c r="X36" s="1354"/>
      <c r="Y36" s="3726"/>
      <c r="Z36" s="1355" t="str">
        <f t="shared" si="12"/>
        <v>成新度</v>
      </c>
      <c r="AA36" s="1352" t="e">
        <f t="shared" si="3"/>
        <v>#N/A</v>
      </c>
      <c r="AB36" s="1352" t="e">
        <f t="shared" si="4"/>
        <v>#N/A</v>
      </c>
      <c r="AC36" s="1352" t="e">
        <f t="shared" si="5"/>
        <v>#N/A</v>
      </c>
    </row>
    <row r="37" spans="1:29" s="108" customFormat="1" ht="15">
      <c r="A37" s="424"/>
      <c r="B37" s="375" t="s">
        <v>1784</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24"/>
      <c r="Q37" s="1342" t="str">
        <f t="shared" si="8"/>
        <v>市政基础设施</v>
      </c>
      <c r="R37" s="701" t="s">
        <v>14</v>
      </c>
      <c r="S37" s="702">
        <f t="shared" si="9"/>
        <v>100</v>
      </c>
      <c r="T37" s="701" t="s">
        <v>14</v>
      </c>
      <c r="U37" s="702">
        <f t="shared" si="10"/>
        <v>100</v>
      </c>
      <c r="V37" s="701" t="s">
        <v>14</v>
      </c>
      <c r="W37" s="702">
        <f t="shared" si="11"/>
        <v>100</v>
      </c>
      <c r="X37" s="703"/>
      <c r="Y37" s="3726"/>
      <c r="Z37" s="52" t="str">
        <f t="shared" si="12"/>
        <v>市政基础设施</v>
      </c>
      <c r="AA37" s="704">
        <f t="shared" si="3"/>
        <v>1</v>
      </c>
      <c r="AB37" s="704">
        <f t="shared" si="4"/>
        <v>1</v>
      </c>
      <c r="AC37" s="704">
        <f t="shared" si="5"/>
        <v>1</v>
      </c>
    </row>
    <row r="38" spans="1:29" ht="15">
      <c r="A38" s="423"/>
      <c r="B38" s="375" t="s">
        <v>1785</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24" t="s">
        <v>1696</v>
      </c>
      <c r="Q38" s="1351" t="str">
        <f t="shared" si="8"/>
        <v>业态</v>
      </c>
      <c r="R38" s="705" t="s">
        <v>14</v>
      </c>
      <c r="S38" s="706">
        <f t="shared" si="9"/>
        <v>100</v>
      </c>
      <c r="T38" s="705" t="s">
        <v>14</v>
      </c>
      <c r="U38" s="706">
        <f t="shared" si="10"/>
        <v>100</v>
      </c>
      <c r="V38" s="705" t="s">
        <v>14</v>
      </c>
      <c r="W38" s="706">
        <f t="shared" si="11"/>
        <v>100</v>
      </c>
      <c r="X38" s="1354"/>
      <c r="Y38" s="3726" t="s">
        <v>1696</v>
      </c>
      <c r="Z38" s="1355" t="str">
        <f t="shared" si="12"/>
        <v>业态</v>
      </c>
      <c r="AA38" s="1352">
        <f t="shared" si="3"/>
        <v>1</v>
      </c>
      <c r="AB38" s="1352">
        <f t="shared" si="4"/>
        <v>1</v>
      </c>
      <c r="AC38" s="1352">
        <f t="shared" si="5"/>
        <v>1</v>
      </c>
    </row>
    <row r="39" spans="1:29" ht="15">
      <c r="A39" s="423"/>
      <c r="B39" s="375" t="s">
        <v>1786</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24"/>
      <c r="Q39" s="1351" t="str">
        <f t="shared" si="8"/>
        <v>层高</v>
      </c>
      <c r="R39" s="705" t="s">
        <v>14</v>
      </c>
      <c r="S39" s="706">
        <f t="shared" si="9"/>
        <v>100</v>
      </c>
      <c r="T39" s="705" t="s">
        <v>14</v>
      </c>
      <c r="U39" s="706">
        <f t="shared" si="10"/>
        <v>100</v>
      </c>
      <c r="V39" s="705" t="s">
        <v>14</v>
      </c>
      <c r="W39" s="706">
        <f t="shared" si="11"/>
        <v>100</v>
      </c>
      <c r="X39" s="1354"/>
      <c r="Y39" s="3726"/>
      <c r="Z39" s="1355" t="str">
        <f t="shared" si="12"/>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4"/>
      <c r="Q40" s="1351" t="str">
        <f t="shared" si="8"/>
        <v>单套建筑面积</v>
      </c>
      <c r="R40" s="705" t="s">
        <v>14</v>
      </c>
      <c r="S40" s="706">
        <f t="shared" si="9"/>
        <v>100</v>
      </c>
      <c r="T40" s="705" t="s">
        <v>14</v>
      </c>
      <c r="U40" s="706">
        <f t="shared" si="10"/>
        <v>100</v>
      </c>
      <c r="V40" s="705" t="s">
        <v>14</v>
      </c>
      <c r="W40" s="706">
        <f t="shared" si="11"/>
        <v>100</v>
      </c>
      <c r="X40" s="1354"/>
      <c r="Y40" s="3726"/>
      <c r="Z40" s="1355" t="str">
        <f t="shared" si="12"/>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4"/>
      <c r="Q41" s="707" t="str">
        <f t="shared" si="8"/>
        <v>进深比</v>
      </c>
      <c r="R41" s="708" t="s">
        <v>14</v>
      </c>
      <c r="S41" s="709">
        <f t="shared" si="9"/>
        <v>100</v>
      </c>
      <c r="T41" s="708" t="s">
        <v>14</v>
      </c>
      <c r="U41" s="709">
        <f t="shared" si="10"/>
        <v>100</v>
      </c>
      <c r="V41" s="708" t="s">
        <v>14</v>
      </c>
      <c r="W41" s="709">
        <f t="shared" si="11"/>
        <v>100</v>
      </c>
      <c r="X41" s="710"/>
      <c r="Y41" s="3726"/>
      <c r="Z41" s="711" t="str">
        <f t="shared" si="12"/>
        <v>进深比</v>
      </c>
      <c r="AA41" s="1352">
        <f t="shared" si="3"/>
        <v>1</v>
      </c>
      <c r="AB41" s="1352">
        <f t="shared" si="4"/>
        <v>1</v>
      </c>
      <c r="AC41" s="1352">
        <f t="shared" si="5"/>
        <v>1</v>
      </c>
    </row>
    <row r="42" spans="1:29" ht="15">
      <c r="A42" s="423"/>
      <c r="B42" s="375" t="s">
        <v>1789</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24"/>
      <c r="Q42" s="1351" t="str">
        <f t="shared" si="8"/>
        <v>内部装修</v>
      </c>
      <c r="R42" s="705" t="s">
        <v>14</v>
      </c>
      <c r="S42" s="706">
        <f t="shared" si="9"/>
        <v>100</v>
      </c>
      <c r="T42" s="705" t="s">
        <v>14</v>
      </c>
      <c r="U42" s="706">
        <f t="shared" si="10"/>
        <v>100</v>
      </c>
      <c r="V42" s="705" t="s">
        <v>14</v>
      </c>
      <c r="W42" s="706">
        <f t="shared" si="11"/>
        <v>100</v>
      </c>
      <c r="X42" s="1354"/>
      <c r="Y42" s="3726"/>
      <c r="Z42" s="1355" t="str">
        <f t="shared" si="12"/>
        <v>内部装修</v>
      </c>
      <c r="AA42" s="1352">
        <f t="shared" si="3"/>
        <v>1</v>
      </c>
      <c r="AB42" s="1352">
        <f t="shared" si="4"/>
        <v>1</v>
      </c>
      <c r="AC42" s="1352">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24"/>
      <c r="Q43" s="1351" t="str">
        <f t="shared" si="8"/>
        <v>内部装修维护情况</v>
      </c>
      <c r="R43" s="705" t="s">
        <v>14</v>
      </c>
      <c r="S43" s="706">
        <f t="shared" si="9"/>
        <v>100</v>
      </c>
      <c r="T43" s="705" t="s">
        <v>14</v>
      </c>
      <c r="U43" s="706">
        <f t="shared" si="10"/>
        <v>100</v>
      </c>
      <c r="V43" s="705" t="s">
        <v>14</v>
      </c>
      <c r="W43" s="706">
        <f t="shared" si="11"/>
        <v>100</v>
      </c>
      <c r="X43" s="1354"/>
      <c r="Y43" s="3726"/>
      <c r="Z43" s="1355" t="str">
        <f t="shared" si="12"/>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4"/>
      <c r="Q44" s="1342">
        <f t="shared" si="8"/>
        <v>111</v>
      </c>
      <c r="R44" s="701" t="s">
        <v>14</v>
      </c>
      <c r="S44" s="702">
        <f t="shared" si="9"/>
        <v>100</v>
      </c>
      <c r="T44" s="701" t="s">
        <v>14</v>
      </c>
      <c r="U44" s="702">
        <f t="shared" si="10"/>
        <v>100</v>
      </c>
      <c r="V44" s="701" t="s">
        <v>14</v>
      </c>
      <c r="W44" s="702">
        <f t="shared" si="11"/>
        <v>100</v>
      </c>
      <c r="X44" s="703"/>
      <c r="Y44" s="3726"/>
      <c r="Z44" s="52">
        <f t="shared" si="12"/>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4"/>
      <c r="Q45" s="1351">
        <f t="shared" si="8"/>
        <v>111</v>
      </c>
      <c r="R45" s="705" t="s">
        <v>14</v>
      </c>
      <c r="S45" s="706">
        <f t="shared" si="9"/>
        <v>100</v>
      </c>
      <c r="T45" s="705" t="s">
        <v>14</v>
      </c>
      <c r="U45" s="706">
        <f t="shared" si="10"/>
        <v>100</v>
      </c>
      <c r="V45" s="705" t="s">
        <v>14</v>
      </c>
      <c r="W45" s="706">
        <f t="shared" si="11"/>
        <v>100</v>
      </c>
      <c r="X45" s="1354"/>
      <c r="Y45" s="3726"/>
      <c r="Z45" s="1355">
        <f t="shared" si="12"/>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5"/>
      <c r="Q46" s="1351">
        <f t="shared" si="8"/>
        <v>111</v>
      </c>
      <c r="R46" s="705" t="s">
        <v>14</v>
      </c>
      <c r="S46" s="706">
        <f t="shared" si="9"/>
        <v>100</v>
      </c>
      <c r="T46" s="705" t="s">
        <v>14</v>
      </c>
      <c r="U46" s="706">
        <f t="shared" si="10"/>
        <v>100</v>
      </c>
      <c r="V46" s="705" t="s">
        <v>14</v>
      </c>
      <c r="W46" s="706">
        <f t="shared" si="11"/>
        <v>100</v>
      </c>
      <c r="X46" s="1354"/>
      <c r="Y46" s="3727"/>
      <c r="Z46" s="1355">
        <f t="shared" si="12"/>
        <v>111</v>
      </c>
      <c r="AA46" s="1352">
        <f t="shared" si="3"/>
        <v>1</v>
      </c>
      <c r="AB46" s="1352">
        <f t="shared" si="4"/>
        <v>1</v>
      </c>
      <c r="AC46" s="1352">
        <f t="shared" si="5"/>
        <v>1</v>
      </c>
    </row>
    <row r="47" spans="1:29" ht="15">
      <c r="A47" s="430" t="s">
        <v>1706</v>
      </c>
      <c r="B47" s="431"/>
      <c r="C47" s="1154" t="s">
        <v>0</v>
      </c>
      <c r="D47" s="1155"/>
      <c r="E47" s="1156"/>
      <c r="F47" s="1157"/>
      <c r="G47" s="1158"/>
      <c r="H47" s="1159"/>
      <c r="I47" s="1156"/>
      <c r="J47" s="1159"/>
      <c r="K47" s="714"/>
      <c r="L47" s="2719"/>
      <c r="M47" s="2720"/>
      <c r="N47" s="2711"/>
      <c r="O47" s="2720"/>
      <c r="P47" s="3719" t="str">
        <f>A47</f>
        <v>成交单价（元/平方米）</v>
      </c>
      <c r="Q47" s="3719"/>
      <c r="R47" s="3750">
        <f>E47</f>
        <v>0</v>
      </c>
      <c r="S47" s="3750"/>
      <c r="T47" s="3750">
        <f>G47</f>
        <v>0</v>
      </c>
      <c r="U47" s="3750"/>
      <c r="V47" s="3750">
        <f>I47</f>
        <v>0</v>
      </c>
      <c r="W47" s="3750"/>
      <c r="X47" s="690"/>
      <c r="Y47" s="712"/>
      <c r="Z47" s="690"/>
      <c r="AA47" s="690"/>
      <c r="AB47" s="690"/>
      <c r="AC47" s="690"/>
    </row>
    <row r="48" spans="1:29" ht="15.75" thickBot="1">
      <c r="A48" s="437" t="s">
        <v>1790</v>
      </c>
      <c r="B48" s="438"/>
      <c r="C48" s="1160" t="e">
        <f>R49</f>
        <v>#DIV/0!</v>
      </c>
      <c r="D48" s="2313" t="s">
        <v>2135</v>
      </c>
      <c r="E48" s="1161" t="e">
        <f>R48</f>
        <v>#DIV/0!</v>
      </c>
      <c r="F48" s="2314"/>
      <c r="G48" s="1160" t="e">
        <f>T48</f>
        <v>#DIV/0!</v>
      </c>
      <c r="H48" s="2314"/>
      <c r="I48" s="1161" t="e">
        <f>V48</f>
        <v>#DIV/0!</v>
      </c>
      <c r="J48" s="2314"/>
      <c r="K48" s="2316">
        <f>F48+H48+J48</f>
        <v>0</v>
      </c>
      <c r="L48" s="2719"/>
      <c r="M48" s="2720"/>
      <c r="N48" s="2711"/>
      <c r="O48" s="2720"/>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19"/>
      <c r="M49" s="2720"/>
      <c r="N49" s="2711"/>
      <c r="O49" s="2720"/>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1795</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2023-11</v>
      </c>
      <c r="D58" s="1184">
        <f>EDATE(C58,-1)</f>
        <v>45200</v>
      </c>
      <c r="E58" s="1184">
        <f t="shared" ref="E58:N58" si="13">EDATE(D58,-1)</f>
        <v>45170</v>
      </c>
      <c r="F58" s="1184">
        <f t="shared" si="13"/>
        <v>45139</v>
      </c>
      <c r="G58" s="1184">
        <f t="shared" si="13"/>
        <v>45108</v>
      </c>
      <c r="H58" s="1184">
        <f t="shared" si="13"/>
        <v>45078</v>
      </c>
      <c r="I58" s="1184">
        <f t="shared" si="13"/>
        <v>45047</v>
      </c>
      <c r="J58" s="1184">
        <f t="shared" si="13"/>
        <v>45017</v>
      </c>
      <c r="K58" s="1184">
        <f t="shared" si="13"/>
        <v>44986</v>
      </c>
      <c r="L58" s="1184">
        <f t="shared" si="13"/>
        <v>44958</v>
      </c>
      <c r="M58" s="1184">
        <f t="shared" si="13"/>
        <v>44927</v>
      </c>
      <c r="N58" s="1184">
        <f t="shared" si="13"/>
        <v>44896</v>
      </c>
      <c r="O58" s="1184">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D83-$K21</f>
        <v>100</v>
      </c>
      <c r="F83" s="493">
        <f>E83-$K21</f>
        <v>100</v>
      </c>
      <c r="G83" s="493">
        <f>F83-$K21</f>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16">C87-$K25</f>
        <v>100</v>
      </c>
      <c r="E87" s="493">
        <f t="shared" si="16"/>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17">D91-$K27</f>
        <v>100</v>
      </c>
      <c r="F91" s="493">
        <f t="shared" si="17"/>
        <v>100</v>
      </c>
      <c r="G91" s="493">
        <f t="shared" si="17"/>
        <v>100</v>
      </c>
      <c r="H91" s="493">
        <f t="shared" si="17"/>
        <v>100</v>
      </c>
      <c r="I91" s="493">
        <f t="shared" si="17"/>
        <v>100</v>
      </c>
      <c r="J91" s="493">
        <f t="shared" si="17"/>
        <v>100</v>
      </c>
      <c r="K91" s="493">
        <f t="shared" si="17"/>
        <v>100</v>
      </c>
      <c r="L91" s="493">
        <f t="shared" si="17"/>
        <v>100</v>
      </c>
      <c r="M91" s="493">
        <f t="shared" si="17"/>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18">C101-$K32</f>
        <v>100</v>
      </c>
      <c r="E101" s="493">
        <f t="shared" si="18"/>
        <v>100</v>
      </c>
      <c r="F101" s="493">
        <f t="shared" si="18"/>
        <v>100</v>
      </c>
      <c r="G101" s="493">
        <f t="shared" si="18"/>
        <v>100</v>
      </c>
      <c r="H101" s="493">
        <f t="shared" si="18"/>
        <v>100</v>
      </c>
      <c r="I101" s="493">
        <f t="shared" si="18"/>
        <v>100</v>
      </c>
      <c r="J101" s="493">
        <f t="shared" si="18"/>
        <v>100</v>
      </c>
      <c r="K101" s="493">
        <f t="shared" si="18"/>
        <v>100</v>
      </c>
      <c r="L101" s="493">
        <f t="shared" si="18"/>
        <v>100</v>
      </c>
      <c r="M101" s="494">
        <f t="shared" si="18"/>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0">C106-$K34</f>
        <v>100</v>
      </c>
      <c r="E106" s="493">
        <f t="shared" si="20"/>
        <v>100</v>
      </c>
      <c r="F106" s="493">
        <f t="shared" si="20"/>
        <v>100</v>
      </c>
      <c r="G106" s="493">
        <f t="shared" si="20"/>
        <v>100</v>
      </c>
      <c r="H106" s="493">
        <f t="shared" si="20"/>
        <v>100</v>
      </c>
      <c r="I106" s="493">
        <f t="shared" si="20"/>
        <v>100</v>
      </c>
      <c r="J106" s="493">
        <f t="shared" si="20"/>
        <v>100</v>
      </c>
      <c r="K106" s="493">
        <f t="shared" si="20"/>
        <v>100</v>
      </c>
      <c r="L106" s="493">
        <f t="shared" si="20"/>
        <v>100</v>
      </c>
      <c r="M106" s="494">
        <f t="shared" si="20"/>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1">C108-$K35</f>
        <v>100</v>
      </c>
      <c r="E108" s="493">
        <f t="shared" si="21"/>
        <v>100</v>
      </c>
      <c r="F108" s="493">
        <f t="shared" si="21"/>
        <v>100</v>
      </c>
      <c r="G108" s="493">
        <f t="shared" si="21"/>
        <v>100</v>
      </c>
      <c r="H108" s="493">
        <f t="shared" si="21"/>
        <v>100</v>
      </c>
      <c r="I108" s="493">
        <f t="shared" si="21"/>
        <v>100</v>
      </c>
      <c r="J108" s="493">
        <f t="shared" si="21"/>
        <v>100</v>
      </c>
      <c r="K108" s="493">
        <f t="shared" si="21"/>
        <v>100</v>
      </c>
      <c r="L108" s="493">
        <f t="shared" si="21"/>
        <v>100</v>
      </c>
      <c r="M108" s="494">
        <f t="shared" si="21"/>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2">D111+$K36</f>
        <v>100</v>
      </c>
      <c r="F111" s="493">
        <f t="shared" si="22"/>
        <v>100</v>
      </c>
      <c r="G111" s="493">
        <f t="shared" si="22"/>
        <v>100</v>
      </c>
      <c r="H111" s="493">
        <f t="shared" si="22"/>
        <v>100</v>
      </c>
      <c r="I111" s="493">
        <f t="shared" si="22"/>
        <v>100</v>
      </c>
      <c r="J111" s="493">
        <f t="shared" si="22"/>
        <v>100</v>
      </c>
      <c r="K111" s="493">
        <f t="shared" si="22"/>
        <v>100</v>
      </c>
      <c r="L111" s="493">
        <f t="shared" si="22"/>
        <v>100</v>
      </c>
      <c r="M111" s="493">
        <f t="shared" si="22"/>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3">D113-$K37</f>
        <v>100</v>
      </c>
      <c r="F113" s="493">
        <f t="shared" si="23"/>
        <v>100</v>
      </c>
      <c r="G113" s="493">
        <f t="shared" si="23"/>
        <v>100</v>
      </c>
      <c r="H113" s="493">
        <f t="shared" si="23"/>
        <v>100</v>
      </c>
      <c r="I113" s="493">
        <f t="shared" si="23"/>
        <v>100</v>
      </c>
      <c r="J113" s="493">
        <f t="shared" si="23"/>
        <v>100</v>
      </c>
      <c r="K113" s="493">
        <f t="shared" si="23"/>
        <v>100</v>
      </c>
      <c r="L113" s="493">
        <f t="shared" si="23"/>
        <v>100</v>
      </c>
      <c r="M113" s="493">
        <f t="shared" si="23"/>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4">C115-$K38</f>
        <v>100</v>
      </c>
      <c r="E115" s="493">
        <f t="shared" si="24"/>
        <v>100</v>
      </c>
      <c r="F115" s="493">
        <f t="shared" si="24"/>
        <v>100</v>
      </c>
      <c r="G115" s="493">
        <f t="shared" si="24"/>
        <v>100</v>
      </c>
      <c r="H115" s="493">
        <f t="shared" si="24"/>
        <v>100</v>
      </c>
      <c r="I115" s="493">
        <f t="shared" si="24"/>
        <v>100</v>
      </c>
      <c r="J115" s="493">
        <f t="shared" si="24"/>
        <v>100</v>
      </c>
      <c r="K115" s="493">
        <f t="shared" si="24"/>
        <v>100</v>
      </c>
      <c r="L115" s="493">
        <f t="shared" si="24"/>
        <v>100</v>
      </c>
      <c r="M115" s="494">
        <f t="shared" si="24"/>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1807</v>
      </c>
      <c r="C1" s="1223" t="s">
        <v>1662</v>
      </c>
      <c r="D1" s="1224"/>
      <c r="E1" s="3428"/>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1765</v>
      </c>
      <c r="D3" s="353">
        <f>IF(D1="",'数据-汇总表'!E3,SUMIF('数据-汇总表'!$C19:$C33,D1,'数据-汇总表'!$E19:$E33))</f>
        <v>69.099999999999994</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1766</v>
      </c>
      <c r="B4" s="356"/>
      <c r="C4" s="3734" t="s">
        <v>1767</v>
      </c>
      <c r="D4" s="3735"/>
      <c r="E4" s="3736" t="s">
        <v>1768</v>
      </c>
      <c r="F4" s="3737"/>
      <c r="G4" s="3734" t="s">
        <v>1769</v>
      </c>
      <c r="H4" s="3735"/>
      <c r="I4" s="3734" t="s">
        <v>1770</v>
      </c>
      <c r="J4" s="3735"/>
      <c r="K4" s="559" t="s">
        <v>1771</v>
      </c>
      <c r="L4" s="2710"/>
      <c r="M4" s="2711"/>
      <c r="N4" s="2711"/>
      <c r="O4" s="2711"/>
      <c r="P4" s="3770" t="s">
        <v>1772</v>
      </c>
      <c r="Q4" s="3771"/>
      <c r="R4" s="3774" t="s">
        <v>1768</v>
      </c>
      <c r="S4" s="3775"/>
      <c r="T4" s="3774" t="s">
        <v>1769</v>
      </c>
      <c r="U4" s="3775"/>
      <c r="V4" s="3776" t="s">
        <v>1770</v>
      </c>
      <c r="W4" s="3776"/>
      <c r="X4" s="1954"/>
      <c r="Y4" s="3774" t="s">
        <v>1772</v>
      </c>
      <c r="Z4" s="3775"/>
      <c r="AA4" s="3778" t="s">
        <v>1768</v>
      </c>
      <c r="AB4" s="3778" t="s">
        <v>1769</v>
      </c>
      <c r="AC4" s="3767" t="s">
        <v>1770</v>
      </c>
    </row>
    <row r="5" spans="1:29" ht="15">
      <c r="A5" s="358"/>
      <c r="B5" s="359"/>
      <c r="C5" s="3753" t="s">
        <v>1673</v>
      </c>
      <c r="D5" s="3754"/>
      <c r="E5" s="3763" t="s">
        <v>1674</v>
      </c>
      <c r="F5" s="3762"/>
      <c r="G5" s="3753" t="s">
        <v>1675</v>
      </c>
      <c r="H5" s="3754"/>
      <c r="I5" s="3753" t="s">
        <v>1676</v>
      </c>
      <c r="J5" s="3754"/>
      <c r="K5" s="559"/>
      <c r="L5" s="2710"/>
      <c r="M5" s="2711"/>
      <c r="N5" s="2711"/>
      <c r="O5" s="2711"/>
      <c r="P5" s="3772"/>
      <c r="Q5" s="3741"/>
      <c r="R5" s="3746"/>
      <c r="S5" s="3747"/>
      <c r="T5" s="3746"/>
      <c r="U5" s="3747"/>
      <c r="V5" s="3750"/>
      <c r="W5" s="3750"/>
      <c r="X5" s="1354"/>
      <c r="Y5" s="3746"/>
      <c r="Z5" s="3747"/>
      <c r="AA5" s="3732"/>
      <c r="AB5" s="3732"/>
      <c r="AC5" s="3768"/>
    </row>
    <row r="6" spans="1:29" ht="15.75" thickBot="1">
      <c r="A6" s="360"/>
      <c r="B6" s="361"/>
      <c r="C6" s="3751" t="s">
        <v>1677</v>
      </c>
      <c r="D6" s="3752"/>
      <c r="E6" s="3759" t="s">
        <v>1677</v>
      </c>
      <c r="F6" s="3760"/>
      <c r="G6" s="3751" t="s">
        <v>1677</v>
      </c>
      <c r="H6" s="3752"/>
      <c r="I6" s="3751" t="s">
        <v>1677</v>
      </c>
      <c r="J6" s="3752"/>
      <c r="K6" s="559" t="s">
        <v>1678</v>
      </c>
      <c r="L6" s="2710"/>
      <c r="M6" s="2711"/>
      <c r="N6" s="2711"/>
      <c r="O6" s="2711"/>
      <c r="P6" s="3773"/>
      <c r="Q6" s="3743"/>
      <c r="R6" s="3746"/>
      <c r="S6" s="3747"/>
      <c r="T6" s="3748"/>
      <c r="U6" s="3749"/>
      <c r="V6" s="3750"/>
      <c r="W6" s="3750"/>
      <c r="X6" s="1354"/>
      <c r="Y6" s="3748"/>
      <c r="Z6" s="3749"/>
      <c r="AA6" s="3733"/>
      <c r="AB6" s="3733"/>
      <c r="AC6" s="3769"/>
    </row>
    <row r="7" spans="1:29" s="108" customFormat="1" ht="15.75" thickBot="1">
      <c r="A7" s="362" t="s">
        <v>1679</v>
      </c>
      <c r="B7" s="363"/>
      <c r="C7" s="364">
        <f>'数据-取费表'!B2</f>
        <v>45250</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7"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7" t="s">
        <v>1683</v>
      </c>
      <c r="Q8" s="3756"/>
      <c r="R8" s="701" t="s">
        <v>14</v>
      </c>
      <c r="S8" s="702">
        <f t="shared" si="0"/>
        <v>100</v>
      </c>
      <c r="T8" s="701" t="s">
        <v>14</v>
      </c>
      <c r="U8" s="702">
        <f t="shared" si="1"/>
        <v>100</v>
      </c>
      <c r="V8" s="701" t="s">
        <v>14</v>
      </c>
      <c r="W8" s="702">
        <f t="shared" si="2"/>
        <v>100</v>
      </c>
      <c r="X8" s="703"/>
      <c r="Y8" s="3755" t="s">
        <v>1683</v>
      </c>
      <c r="Z8" s="375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0"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0"/>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0"/>
      <c r="Q11" s="1342"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30"/>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30"/>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30"/>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1955">
        <f t="shared" si="5"/>
        <v>1</v>
      </c>
    </row>
    <row r="15" spans="1:29" ht="71.25">
      <c r="A15" s="391" t="s">
        <v>1690</v>
      </c>
      <c r="B15" s="577"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8"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29"/>
      <c r="Q16" s="1351"/>
      <c r="R16" s="705"/>
      <c r="S16" s="706"/>
      <c r="T16" s="705"/>
      <c r="U16" s="706"/>
      <c r="V16" s="705"/>
      <c r="W16" s="706"/>
      <c r="X16" s="1354"/>
      <c r="Y16" s="3722"/>
      <c r="Z16" s="1355"/>
      <c r="AA16" s="1352">
        <v>1</v>
      </c>
      <c r="AB16" s="1352">
        <v>1</v>
      </c>
      <c r="AC16" s="1958">
        <v>1</v>
      </c>
    </row>
    <row r="17" spans="1:29" ht="99.75">
      <c r="A17" s="379"/>
      <c r="B17" s="579" t="s">
        <v>1259</v>
      </c>
      <c r="C17" s="1959" t="str">
        <f>估价对象房地状况!C6</f>
        <v>周边有10路、13路、21路、26路、68路等多条公交线路及地铁1号线南礼士路站，综合评价交通便捷度较好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29"/>
      <c r="Q18" s="1351"/>
      <c r="R18" s="705"/>
      <c r="S18" s="706"/>
      <c r="T18" s="705"/>
      <c r="U18" s="706"/>
      <c r="V18" s="705"/>
      <c r="W18" s="706"/>
      <c r="X18" s="1354"/>
      <c r="Y18" s="3722"/>
      <c r="Z18" s="1355"/>
      <c r="AA18" s="1352">
        <v>1</v>
      </c>
      <c r="AB18" s="1352">
        <v>1</v>
      </c>
      <c r="AC18" s="1958">
        <v>1</v>
      </c>
    </row>
    <row r="19" spans="1:29" ht="242.25">
      <c r="A19" s="379"/>
      <c r="B19" s="579" t="s">
        <v>1809</v>
      </c>
      <c r="C19" s="1959"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29"/>
      <c r="Q20" s="1351"/>
      <c r="R20" s="705"/>
      <c r="S20" s="706"/>
      <c r="T20" s="705"/>
      <c r="U20" s="706"/>
      <c r="V20" s="705"/>
      <c r="W20" s="706"/>
      <c r="X20" s="1354"/>
      <c r="Y20" s="3722"/>
      <c r="Z20" s="1355"/>
      <c r="AA20" s="1352">
        <v>1</v>
      </c>
      <c r="AB20" s="1352">
        <v>1</v>
      </c>
      <c r="AC20" s="1958">
        <v>1</v>
      </c>
    </row>
    <row r="21" spans="1:29" ht="28.5">
      <c r="A21" s="379"/>
      <c r="B21" s="581"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D21/F21</f>
        <v>1</v>
      </c>
      <c r="AB21" s="1352">
        <f>D21/H21</f>
        <v>1</v>
      </c>
      <c r="AC21" s="1958">
        <f>D21/J21</f>
        <v>1</v>
      </c>
    </row>
    <row r="22" spans="1:29" ht="15">
      <c r="A22" s="379"/>
      <c r="B22" s="581"/>
      <c r="C22" s="1960"/>
      <c r="D22" s="399"/>
      <c r="E22" s="398"/>
      <c r="F22" s="399"/>
      <c r="G22" s="1902"/>
      <c r="H22" s="399"/>
      <c r="I22" s="1902"/>
      <c r="J22" s="399"/>
      <c r="K22" s="1130"/>
      <c r="L22" s="2717"/>
      <c r="M22" s="2711"/>
      <c r="N22" s="2711"/>
      <c r="O22" s="2711"/>
      <c r="P22" s="3729"/>
      <c r="Q22" s="1351"/>
      <c r="R22" s="705"/>
      <c r="S22" s="706"/>
      <c r="T22" s="705"/>
      <c r="U22" s="706"/>
      <c r="V22" s="705"/>
      <c r="W22" s="706"/>
      <c r="X22" s="1354"/>
      <c r="Y22" s="3722"/>
      <c r="Z22" s="1355"/>
      <c r="AA22" s="1352">
        <v>1</v>
      </c>
      <c r="AB22" s="1352">
        <v>1</v>
      </c>
      <c r="AC22" s="1958">
        <v>1</v>
      </c>
    </row>
    <row r="23" spans="1:29" ht="99.75">
      <c r="A23" s="379"/>
      <c r="B23" s="579" t="s">
        <v>1811</v>
      </c>
      <c r="C23" s="1959" t="str">
        <f>估价对象房地状况!C9</f>
        <v>自然环境：月坛公园等自然水系景观；
人文环境：二七剧场等人文场所；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9"/>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29"/>
      <c r="Q24" s="1351"/>
      <c r="R24" s="705"/>
      <c r="S24" s="706"/>
      <c r="T24" s="705"/>
      <c r="U24" s="706"/>
      <c r="V24" s="705"/>
      <c r="W24" s="706"/>
      <c r="X24" s="1354"/>
      <c r="Y24" s="3722"/>
      <c r="Z24" s="1355"/>
      <c r="AA24" s="1352">
        <v>1</v>
      </c>
      <c r="AB24" s="1352">
        <v>1</v>
      </c>
      <c r="AC24" s="1958">
        <v>1</v>
      </c>
    </row>
    <row r="25" spans="1:29" ht="27">
      <c r="A25" s="358"/>
      <c r="B25" s="579" t="s">
        <v>1812</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29"/>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29"/>
      <c r="Q26" s="1351"/>
      <c r="R26" s="705"/>
      <c r="S26" s="706"/>
      <c r="T26" s="705"/>
      <c r="U26" s="706"/>
      <c r="V26" s="705"/>
      <c r="W26" s="706"/>
      <c r="X26" s="1354"/>
      <c r="Y26" s="3722"/>
      <c r="Z26" s="1355"/>
      <c r="AA26" s="1352">
        <v>1</v>
      </c>
      <c r="AB26" s="1352">
        <v>1</v>
      </c>
      <c r="AC26" s="1958">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9"/>
      <c r="Q27" s="1351" t="str">
        <f t="shared" ref="Q27:Q47" si="8">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58">
        <f t="shared" si="5"/>
        <v>1</v>
      </c>
    </row>
    <row r="28" spans="1:29" s="108" customFormat="1" ht="15">
      <c r="A28" s="382"/>
      <c r="B28" s="579"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29"/>
      <c r="Q28" s="1342" t="str">
        <f t="shared" si="8"/>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29"/>
      <c r="Q29" s="1351">
        <f t="shared" si="8"/>
        <v>111</v>
      </c>
      <c r="R29" s="705" t="s">
        <v>14</v>
      </c>
      <c r="S29" s="706">
        <f t="shared" ref="S29:S47" si="9">F29</f>
        <v>100</v>
      </c>
      <c r="T29" s="705" t="s">
        <v>14</v>
      </c>
      <c r="U29" s="706">
        <f t="shared" ref="U29:U47" si="10">H29</f>
        <v>100</v>
      </c>
      <c r="V29" s="705" t="s">
        <v>14</v>
      </c>
      <c r="W29" s="706">
        <f t="shared" ref="W29:W47" si="11">J29</f>
        <v>100</v>
      </c>
      <c r="X29" s="1354"/>
      <c r="Y29" s="3722"/>
      <c r="Z29" s="1355">
        <f t="shared" ref="Z29:Z47" si="12">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29"/>
      <c r="Q30" s="1351">
        <f t="shared" si="8"/>
        <v>111</v>
      </c>
      <c r="R30" s="705" t="s">
        <v>14</v>
      </c>
      <c r="S30" s="706">
        <f t="shared" si="9"/>
        <v>100</v>
      </c>
      <c r="T30" s="705" t="s">
        <v>14</v>
      </c>
      <c r="U30" s="706">
        <f t="shared" si="10"/>
        <v>100</v>
      </c>
      <c r="V30" s="705" t="s">
        <v>14</v>
      </c>
      <c r="W30" s="706">
        <f t="shared" si="11"/>
        <v>100</v>
      </c>
      <c r="X30" s="1354"/>
      <c r="Y30" s="3722"/>
      <c r="Z30" s="1355">
        <f t="shared" si="12"/>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29"/>
      <c r="Q31" s="1351">
        <f t="shared" si="8"/>
        <v>111</v>
      </c>
      <c r="R31" s="705" t="s">
        <v>14</v>
      </c>
      <c r="S31" s="706">
        <f t="shared" si="9"/>
        <v>100</v>
      </c>
      <c r="T31" s="705" t="s">
        <v>14</v>
      </c>
      <c r="U31" s="706">
        <f t="shared" si="10"/>
        <v>100</v>
      </c>
      <c r="V31" s="705" t="s">
        <v>14</v>
      </c>
      <c r="W31" s="706">
        <f t="shared" si="11"/>
        <v>100</v>
      </c>
      <c r="X31" s="1354"/>
      <c r="Y31" s="3722"/>
      <c r="Z31" s="1355">
        <f t="shared" si="12"/>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29"/>
      <c r="Q32" s="1351">
        <f t="shared" si="8"/>
        <v>111</v>
      </c>
      <c r="R32" s="705" t="s">
        <v>14</v>
      </c>
      <c r="S32" s="706">
        <f t="shared" si="9"/>
        <v>100</v>
      </c>
      <c r="T32" s="705" t="s">
        <v>14</v>
      </c>
      <c r="U32" s="706">
        <f t="shared" si="10"/>
        <v>100</v>
      </c>
      <c r="V32" s="705" t="s">
        <v>14</v>
      </c>
      <c r="W32" s="706">
        <f t="shared" si="11"/>
        <v>100</v>
      </c>
      <c r="X32" s="1354"/>
      <c r="Y32" s="3722"/>
      <c r="Z32" s="1355">
        <f t="shared" si="12"/>
        <v>111</v>
      </c>
      <c r="AA32" s="1352">
        <f t="shared" si="3"/>
        <v>1</v>
      </c>
      <c r="AB32" s="1352">
        <f t="shared" si="4"/>
        <v>1</v>
      </c>
      <c r="AC32" s="1958">
        <f t="shared" si="5"/>
        <v>1</v>
      </c>
    </row>
    <row r="33" spans="1:29" ht="15">
      <c r="A33" s="391" t="s">
        <v>1694</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23" t="s">
        <v>1696</v>
      </c>
      <c r="Q33" s="1351" t="str">
        <f t="shared" si="8"/>
        <v>建筑类型</v>
      </c>
      <c r="R33" s="705" t="s">
        <v>14</v>
      </c>
      <c r="S33" s="706">
        <f t="shared" si="9"/>
        <v>100</v>
      </c>
      <c r="T33" s="705" t="s">
        <v>14</v>
      </c>
      <c r="U33" s="706">
        <f t="shared" si="10"/>
        <v>100</v>
      </c>
      <c r="V33" s="705" t="s">
        <v>14</v>
      </c>
      <c r="W33" s="706">
        <f t="shared" si="11"/>
        <v>100</v>
      </c>
      <c r="X33" s="1354"/>
      <c r="Y33" s="3726" t="s">
        <v>1696</v>
      </c>
      <c r="Z33" s="1355" t="str">
        <f t="shared" si="12"/>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24"/>
      <c r="Q34" s="707" t="str">
        <f t="shared" si="8"/>
        <v>项目建筑规模</v>
      </c>
      <c r="R34" s="708" t="s">
        <v>14</v>
      </c>
      <c r="S34" s="709" t="e">
        <f t="shared" si="9"/>
        <v>#N/A</v>
      </c>
      <c r="T34" s="708" t="s">
        <v>14</v>
      </c>
      <c r="U34" s="709" t="e">
        <f t="shared" si="10"/>
        <v>#N/A</v>
      </c>
      <c r="V34" s="708" t="s">
        <v>14</v>
      </c>
      <c r="W34" s="709" t="e">
        <f t="shared" si="11"/>
        <v>#N/A</v>
      </c>
      <c r="X34" s="710"/>
      <c r="Y34" s="3726"/>
      <c r="Z34" s="711" t="str">
        <f t="shared" si="12"/>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24"/>
      <c r="Q35" s="1351" t="str">
        <f t="shared" si="8"/>
        <v>建筑结构</v>
      </c>
      <c r="R35" s="705" t="s">
        <v>14</v>
      </c>
      <c r="S35" s="706">
        <f t="shared" si="9"/>
        <v>100</v>
      </c>
      <c r="T35" s="705" t="s">
        <v>14</v>
      </c>
      <c r="U35" s="706">
        <f t="shared" si="10"/>
        <v>100</v>
      </c>
      <c r="V35" s="705" t="s">
        <v>14</v>
      </c>
      <c r="W35" s="706">
        <f t="shared" si="11"/>
        <v>100</v>
      </c>
      <c r="X35" s="1354"/>
      <c r="Y35" s="3726"/>
      <c r="Z35" s="1355" t="str">
        <f t="shared" si="12"/>
        <v>建筑结构</v>
      </c>
      <c r="AA35" s="1352">
        <f t="shared" si="3"/>
        <v>1</v>
      </c>
      <c r="AB35" s="1352">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24"/>
      <c r="Q36" s="1351" t="str">
        <f t="shared" si="8"/>
        <v>公共部分装修</v>
      </c>
      <c r="R36" s="705" t="s">
        <v>14</v>
      </c>
      <c r="S36" s="706">
        <f t="shared" si="9"/>
        <v>100</v>
      </c>
      <c r="T36" s="705" t="s">
        <v>14</v>
      </c>
      <c r="U36" s="706">
        <f t="shared" si="10"/>
        <v>100</v>
      </c>
      <c r="V36" s="705" t="s">
        <v>14</v>
      </c>
      <c r="W36" s="706">
        <f t="shared" si="11"/>
        <v>100</v>
      </c>
      <c r="X36" s="1354"/>
      <c r="Y36" s="3726"/>
      <c r="Z36" s="1355" t="str">
        <f t="shared" si="12"/>
        <v>公共部分装修</v>
      </c>
      <c r="AA36" s="1352">
        <f t="shared" si="3"/>
        <v>1</v>
      </c>
      <c r="AB36" s="1352">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24"/>
      <c r="Q37" s="1351" t="str">
        <f t="shared" si="8"/>
        <v>成新度</v>
      </c>
      <c r="R37" s="705" t="s">
        <v>14</v>
      </c>
      <c r="S37" s="706" t="e">
        <f t="shared" si="9"/>
        <v>#N/A</v>
      </c>
      <c r="T37" s="705" t="s">
        <v>14</v>
      </c>
      <c r="U37" s="706" t="e">
        <f t="shared" si="10"/>
        <v>#N/A</v>
      </c>
      <c r="V37" s="705" t="s">
        <v>14</v>
      </c>
      <c r="W37" s="706" t="e">
        <f t="shared" si="11"/>
        <v>#N/A</v>
      </c>
      <c r="X37" s="1354"/>
      <c r="Y37" s="3726"/>
      <c r="Z37" s="1355" t="str">
        <f t="shared" si="12"/>
        <v>成新度</v>
      </c>
      <c r="AA37" s="1352" t="e">
        <f t="shared" si="3"/>
        <v>#N/A</v>
      </c>
      <c r="AB37" s="1352"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4"/>
      <c r="Q38" s="1342" t="str">
        <f t="shared" si="8"/>
        <v>写字楼等级</v>
      </c>
      <c r="R38" s="701" t="s">
        <v>14</v>
      </c>
      <c r="S38" s="702">
        <f t="shared" si="9"/>
        <v>100</v>
      </c>
      <c r="T38" s="701" t="s">
        <v>14</v>
      </c>
      <c r="U38" s="702">
        <f t="shared" si="10"/>
        <v>100</v>
      </c>
      <c r="V38" s="701" t="s">
        <v>14</v>
      </c>
      <c r="W38" s="702">
        <f t="shared" si="11"/>
        <v>100</v>
      </c>
      <c r="X38" s="703"/>
      <c r="Y38" s="3726"/>
      <c r="Z38" s="52" t="str">
        <f t="shared" si="12"/>
        <v>写字楼等级</v>
      </c>
      <c r="AA38" s="704">
        <f t="shared" si="3"/>
        <v>1</v>
      </c>
      <c r="AB38" s="704">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24" t="s">
        <v>1696</v>
      </c>
      <c r="Q39" s="1351" t="str">
        <f t="shared" si="8"/>
        <v>物业管理</v>
      </c>
      <c r="R39" s="705" t="s">
        <v>14</v>
      </c>
      <c r="S39" s="706">
        <f t="shared" si="9"/>
        <v>100</v>
      </c>
      <c r="T39" s="705" t="s">
        <v>14</v>
      </c>
      <c r="U39" s="706">
        <f t="shared" si="10"/>
        <v>100</v>
      </c>
      <c r="V39" s="705" t="s">
        <v>14</v>
      </c>
      <c r="W39" s="706">
        <f t="shared" si="11"/>
        <v>100</v>
      </c>
      <c r="X39" s="1354"/>
      <c r="Y39" s="3726" t="s">
        <v>1696</v>
      </c>
      <c r="Z39" s="1355" t="str">
        <f t="shared" si="12"/>
        <v>物业管理</v>
      </c>
      <c r="AA39" s="1352">
        <f t="shared" si="3"/>
        <v>1</v>
      </c>
      <c r="AB39" s="1352">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24"/>
      <c r="Q40" s="1351" t="str">
        <f t="shared" si="8"/>
        <v>市政基础设施</v>
      </c>
      <c r="R40" s="705" t="s">
        <v>14</v>
      </c>
      <c r="S40" s="706">
        <f t="shared" si="9"/>
        <v>100</v>
      </c>
      <c r="T40" s="705" t="s">
        <v>14</v>
      </c>
      <c r="U40" s="706">
        <f t="shared" si="10"/>
        <v>100</v>
      </c>
      <c r="V40" s="705" t="s">
        <v>14</v>
      </c>
      <c r="W40" s="706">
        <f t="shared" si="11"/>
        <v>100</v>
      </c>
      <c r="X40" s="1354"/>
      <c r="Y40" s="3726"/>
      <c r="Z40" s="1355" t="str">
        <f t="shared" si="12"/>
        <v>市政基础设施</v>
      </c>
      <c r="AA40" s="1352">
        <f t="shared" si="3"/>
        <v>1</v>
      </c>
      <c r="AB40" s="1352">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4"/>
      <c r="Q41" s="1351" t="str">
        <f t="shared" si="8"/>
        <v>层高</v>
      </c>
      <c r="R41" s="705" t="s">
        <v>14</v>
      </c>
      <c r="S41" s="706">
        <f t="shared" si="9"/>
        <v>100</v>
      </c>
      <c r="T41" s="705" t="s">
        <v>14</v>
      </c>
      <c r="U41" s="706">
        <f t="shared" si="10"/>
        <v>100</v>
      </c>
      <c r="V41" s="705" t="s">
        <v>14</v>
      </c>
      <c r="W41" s="706">
        <f t="shared" si="11"/>
        <v>100</v>
      </c>
      <c r="X41" s="1354"/>
      <c r="Y41" s="3726"/>
      <c r="Z41" s="1355" t="str">
        <f t="shared" si="12"/>
        <v>层高</v>
      </c>
      <c r="AA41" s="1352">
        <f t="shared" si="3"/>
        <v>1</v>
      </c>
      <c r="AB41" s="1352">
        <f t="shared" si="4"/>
        <v>1</v>
      </c>
      <c r="AC41" s="1958">
        <f t="shared" si="5"/>
        <v>1</v>
      </c>
    </row>
    <row r="42" spans="1:29" s="422" customFormat="1" ht="15">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4"/>
      <c r="Q42" s="707" t="str">
        <f t="shared" si="8"/>
        <v>单套建筑面积</v>
      </c>
      <c r="R42" s="708" t="s">
        <v>14</v>
      </c>
      <c r="S42" s="709">
        <f t="shared" si="9"/>
        <v>100</v>
      </c>
      <c r="T42" s="708" t="s">
        <v>14</v>
      </c>
      <c r="U42" s="709">
        <f t="shared" si="10"/>
        <v>100</v>
      </c>
      <c r="V42" s="708" t="s">
        <v>14</v>
      </c>
      <c r="W42" s="709">
        <f t="shared" si="11"/>
        <v>100</v>
      </c>
      <c r="X42" s="710"/>
      <c r="Y42" s="3726"/>
      <c r="Z42" s="711" t="str">
        <f t="shared" si="12"/>
        <v>单套建筑面积</v>
      </c>
      <c r="AA42" s="1352">
        <f t="shared" si="3"/>
        <v>1</v>
      </c>
      <c r="AB42" s="1352">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24"/>
      <c r="Q43" s="1351" t="str">
        <f t="shared" si="8"/>
        <v>内部装修</v>
      </c>
      <c r="R43" s="705" t="s">
        <v>14</v>
      </c>
      <c r="S43" s="706">
        <f t="shared" si="9"/>
        <v>100</v>
      </c>
      <c r="T43" s="705" t="s">
        <v>14</v>
      </c>
      <c r="U43" s="706">
        <f t="shared" si="10"/>
        <v>100</v>
      </c>
      <c r="V43" s="705" t="s">
        <v>14</v>
      </c>
      <c r="W43" s="706">
        <f t="shared" si="11"/>
        <v>100</v>
      </c>
      <c r="X43" s="1354"/>
      <c r="Y43" s="3726"/>
      <c r="Z43" s="1355" t="str">
        <f t="shared" si="12"/>
        <v>内部装修</v>
      </c>
      <c r="AA43" s="1352">
        <f t="shared" si="3"/>
        <v>1</v>
      </c>
      <c r="AB43" s="1352">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24"/>
      <c r="Q44" s="1351" t="str">
        <f t="shared" si="8"/>
        <v>内部装修维护情况</v>
      </c>
      <c r="R44" s="705" t="s">
        <v>14</v>
      </c>
      <c r="S44" s="706">
        <f t="shared" si="9"/>
        <v>100</v>
      </c>
      <c r="T44" s="705" t="s">
        <v>14</v>
      </c>
      <c r="U44" s="706">
        <f t="shared" si="10"/>
        <v>100</v>
      </c>
      <c r="V44" s="705" t="s">
        <v>14</v>
      </c>
      <c r="W44" s="706">
        <f t="shared" si="11"/>
        <v>100</v>
      </c>
      <c r="X44" s="1354"/>
      <c r="Y44" s="3726"/>
      <c r="Z44" s="1355" t="str">
        <f t="shared" si="12"/>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4"/>
      <c r="Q45" s="1342">
        <f t="shared" si="8"/>
        <v>111</v>
      </c>
      <c r="R45" s="701" t="s">
        <v>14</v>
      </c>
      <c r="S45" s="702">
        <f t="shared" si="9"/>
        <v>100</v>
      </c>
      <c r="T45" s="701" t="s">
        <v>14</v>
      </c>
      <c r="U45" s="702">
        <f t="shared" si="10"/>
        <v>100</v>
      </c>
      <c r="V45" s="701" t="s">
        <v>14</v>
      </c>
      <c r="W45" s="702">
        <f t="shared" si="11"/>
        <v>100</v>
      </c>
      <c r="X45" s="703"/>
      <c r="Y45" s="3726"/>
      <c r="Z45" s="52">
        <f t="shared" si="12"/>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4"/>
      <c r="Q46" s="1351">
        <f t="shared" si="8"/>
        <v>111</v>
      </c>
      <c r="R46" s="705" t="s">
        <v>14</v>
      </c>
      <c r="S46" s="706">
        <f t="shared" si="9"/>
        <v>100</v>
      </c>
      <c r="T46" s="705" t="s">
        <v>14</v>
      </c>
      <c r="U46" s="706">
        <f t="shared" si="10"/>
        <v>100</v>
      </c>
      <c r="V46" s="705" t="s">
        <v>14</v>
      </c>
      <c r="W46" s="706">
        <f t="shared" si="11"/>
        <v>100</v>
      </c>
      <c r="X46" s="1354"/>
      <c r="Y46" s="3726"/>
      <c r="Z46" s="1355">
        <f t="shared" si="12"/>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5"/>
      <c r="Q47" s="1351">
        <f t="shared" si="8"/>
        <v>111</v>
      </c>
      <c r="R47" s="705" t="s">
        <v>14</v>
      </c>
      <c r="S47" s="706">
        <f t="shared" si="9"/>
        <v>100</v>
      </c>
      <c r="T47" s="705" t="s">
        <v>14</v>
      </c>
      <c r="U47" s="706">
        <f t="shared" si="10"/>
        <v>100</v>
      </c>
      <c r="V47" s="705" t="s">
        <v>14</v>
      </c>
      <c r="W47" s="706">
        <f t="shared" si="11"/>
        <v>100</v>
      </c>
      <c r="X47" s="1354"/>
      <c r="Y47" s="3727"/>
      <c r="Z47" s="1355">
        <f t="shared" si="12"/>
        <v>111</v>
      </c>
      <c r="AA47" s="1352">
        <f t="shared" si="3"/>
        <v>1</v>
      </c>
      <c r="AB47" s="1352">
        <f t="shared" si="4"/>
        <v>1</v>
      </c>
      <c r="AC47" s="1958">
        <f t="shared" si="5"/>
        <v>1</v>
      </c>
    </row>
    <row r="48" spans="1:29" ht="15">
      <c r="A48" s="430" t="s">
        <v>1706</v>
      </c>
      <c r="B48" s="431"/>
      <c r="C48" s="1154" t="s">
        <v>0</v>
      </c>
      <c r="D48" s="1155"/>
      <c r="E48" s="1156"/>
      <c r="F48" s="1157"/>
      <c r="G48" s="1158"/>
      <c r="H48" s="1159"/>
      <c r="I48" s="1156"/>
      <c r="J48" s="436"/>
      <c r="K48" s="714"/>
      <c r="L48" s="2719"/>
      <c r="M48" s="2711"/>
      <c r="N48" s="2711"/>
      <c r="O48" s="2711"/>
      <c r="P48" s="3730"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1790</v>
      </c>
      <c r="B49" s="438"/>
      <c r="C49" s="1160" t="e">
        <f>R50</f>
        <v>#DIV/0!</v>
      </c>
      <c r="D49" s="2313" t="s">
        <v>2135</v>
      </c>
      <c r="E49" s="1161" t="e">
        <f>R49</f>
        <v>#DIV/0!</v>
      </c>
      <c r="F49" s="2314"/>
      <c r="G49" s="1160" t="e">
        <f>T49</f>
        <v>#DIV/0!</v>
      </c>
      <c r="H49" s="2314"/>
      <c r="I49" s="1161" t="e">
        <f>V49</f>
        <v>#DIV/0!</v>
      </c>
      <c r="J49" s="2314"/>
      <c r="K49" s="2316">
        <f>F49+H49+J49</f>
        <v>0</v>
      </c>
      <c r="L49" s="2719"/>
      <c r="M49" s="2711"/>
      <c r="N49" s="2711"/>
      <c r="O49" s="2711"/>
      <c r="P49" s="3730"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19"/>
      <c r="M50" s="2711"/>
      <c r="N50" s="2711"/>
      <c r="O50" s="2711"/>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1795</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2023-11</v>
      </c>
      <c r="D59" s="1184">
        <f>EDATE(C59,-1)</f>
        <v>45200</v>
      </c>
      <c r="E59" s="1184">
        <f>EDATE(D59,-1)</f>
        <v>45170</v>
      </c>
      <c r="F59" s="1184">
        <f t="shared" ref="F59:O59" si="13">EDATE(E59,-1)</f>
        <v>45139</v>
      </c>
      <c r="G59" s="1184">
        <f t="shared" si="13"/>
        <v>45108</v>
      </c>
      <c r="H59" s="1184">
        <f t="shared" si="13"/>
        <v>45078</v>
      </c>
      <c r="I59" s="1184">
        <f t="shared" si="13"/>
        <v>45047</v>
      </c>
      <c r="J59" s="1184">
        <f t="shared" si="13"/>
        <v>45017</v>
      </c>
      <c r="K59" s="1184">
        <f t="shared" si="13"/>
        <v>44986</v>
      </c>
      <c r="L59" s="1184">
        <f t="shared" si="13"/>
        <v>44958</v>
      </c>
      <c r="M59" s="1184">
        <f t="shared" si="13"/>
        <v>44927</v>
      </c>
      <c r="N59" s="1184">
        <f t="shared" si="13"/>
        <v>44896</v>
      </c>
      <c r="O59" s="1184">
        <f t="shared" si="13"/>
        <v>44866</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1818</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17">D90-$K27</f>
        <v>100</v>
      </c>
      <c r="F90" s="493">
        <f t="shared" si="17"/>
        <v>100</v>
      </c>
      <c r="G90" s="493">
        <f t="shared" si="17"/>
        <v>100</v>
      </c>
      <c r="H90" s="493">
        <f t="shared" si="17"/>
        <v>100</v>
      </c>
      <c r="I90" s="493">
        <f t="shared" si="17"/>
        <v>100</v>
      </c>
      <c r="J90" s="493">
        <f t="shared" si="17"/>
        <v>100</v>
      </c>
      <c r="K90" s="493">
        <f t="shared" si="17"/>
        <v>100</v>
      </c>
      <c r="L90" s="493">
        <f t="shared" si="17"/>
        <v>100</v>
      </c>
      <c r="M90" s="493">
        <f t="shared" si="17"/>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19">C102-$K33</f>
        <v>100</v>
      </c>
      <c r="E102" s="493">
        <f t="shared" si="19"/>
        <v>100</v>
      </c>
      <c r="F102" s="493">
        <f t="shared" si="19"/>
        <v>100</v>
      </c>
      <c r="G102" s="493">
        <f t="shared" si="19"/>
        <v>100</v>
      </c>
      <c r="H102" s="493">
        <f t="shared" si="19"/>
        <v>100</v>
      </c>
      <c r="I102" s="493">
        <f t="shared" si="19"/>
        <v>100</v>
      </c>
      <c r="J102" s="493">
        <f t="shared" si="19"/>
        <v>100</v>
      </c>
      <c r="K102" s="493">
        <f t="shared" si="19"/>
        <v>100</v>
      </c>
      <c r="L102" s="493">
        <f t="shared" si="19"/>
        <v>100</v>
      </c>
      <c r="M102" s="494">
        <f t="shared" si="19"/>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0">D104&amp;"(含)"&amp;"-"&amp;E104</f>
        <v>(含)-</v>
      </c>
      <c r="E103" s="527" t="str">
        <f t="shared" si="20"/>
        <v>(含)-</v>
      </c>
      <c r="F103" s="527" t="str">
        <f t="shared" si="20"/>
        <v>(含)-</v>
      </c>
      <c r="G103" s="527" t="str">
        <f t="shared" si="20"/>
        <v>(含)-</v>
      </c>
      <c r="H103" s="527" t="str">
        <f t="shared" si="20"/>
        <v>(含)-</v>
      </c>
      <c r="I103" s="527" t="str">
        <f t="shared" si="20"/>
        <v>(含)-</v>
      </c>
      <c r="J103" s="527" t="str">
        <f t="shared" si="20"/>
        <v>(含)-</v>
      </c>
      <c r="K103" s="527" t="str">
        <f t="shared" si="20"/>
        <v>(含)-</v>
      </c>
      <c r="L103" s="527" t="str">
        <f t="shared" si="20"/>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1">C107-$K35</f>
        <v>100</v>
      </c>
      <c r="E107" s="493">
        <f t="shared" si="21"/>
        <v>100</v>
      </c>
      <c r="F107" s="493">
        <f t="shared" si="21"/>
        <v>100</v>
      </c>
      <c r="G107" s="493">
        <f t="shared" si="21"/>
        <v>100</v>
      </c>
      <c r="H107" s="493">
        <f t="shared" si="21"/>
        <v>100</v>
      </c>
      <c r="I107" s="493">
        <f t="shared" si="21"/>
        <v>100</v>
      </c>
      <c r="J107" s="493">
        <f t="shared" si="21"/>
        <v>100</v>
      </c>
      <c r="K107" s="493">
        <f t="shared" si="21"/>
        <v>100</v>
      </c>
      <c r="L107" s="493">
        <f t="shared" si="21"/>
        <v>100</v>
      </c>
      <c r="M107" s="494">
        <f t="shared" si="21"/>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2">C109-$K36</f>
        <v>100</v>
      </c>
      <c r="E109" s="493">
        <f t="shared" si="22"/>
        <v>100</v>
      </c>
      <c r="F109" s="493">
        <f t="shared" si="22"/>
        <v>100</v>
      </c>
      <c r="G109" s="493">
        <f t="shared" si="22"/>
        <v>100</v>
      </c>
      <c r="H109" s="493">
        <f t="shared" si="22"/>
        <v>100</v>
      </c>
      <c r="I109" s="493">
        <f t="shared" si="22"/>
        <v>100</v>
      </c>
      <c r="J109" s="493">
        <f t="shared" si="22"/>
        <v>100</v>
      </c>
      <c r="K109" s="493">
        <f t="shared" si="22"/>
        <v>100</v>
      </c>
      <c r="L109" s="493">
        <f t="shared" si="22"/>
        <v>100</v>
      </c>
      <c r="M109" s="494">
        <f t="shared" si="22"/>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3">D112+$K37</f>
        <v>100</v>
      </c>
      <c r="F112" s="493">
        <f t="shared" si="23"/>
        <v>100</v>
      </c>
      <c r="G112" s="493">
        <f t="shared" si="23"/>
        <v>100</v>
      </c>
      <c r="H112" s="493">
        <f t="shared" si="23"/>
        <v>100</v>
      </c>
      <c r="I112" s="493">
        <f t="shared" si="23"/>
        <v>100</v>
      </c>
      <c r="J112" s="493">
        <f t="shared" si="23"/>
        <v>100</v>
      </c>
      <c r="K112" s="493">
        <f t="shared" si="23"/>
        <v>100</v>
      </c>
      <c r="L112" s="493">
        <f t="shared" si="23"/>
        <v>100</v>
      </c>
      <c r="M112" s="493">
        <f t="shared" si="23"/>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5">C116-$K39</f>
        <v>100</v>
      </c>
      <c r="E116" s="493">
        <f t="shared" si="25"/>
        <v>100</v>
      </c>
      <c r="F116" s="493">
        <f t="shared" si="25"/>
        <v>100</v>
      </c>
      <c r="G116" s="493">
        <f t="shared" si="25"/>
        <v>100</v>
      </c>
      <c r="H116" s="493">
        <f t="shared" si="25"/>
        <v>100</v>
      </c>
      <c r="I116" s="493">
        <f t="shared" si="25"/>
        <v>100</v>
      </c>
      <c r="J116" s="493">
        <f t="shared" si="25"/>
        <v>100</v>
      </c>
      <c r="K116" s="493">
        <f t="shared" si="25"/>
        <v>100</v>
      </c>
      <c r="L116" s="493">
        <f t="shared" si="25"/>
        <v>100</v>
      </c>
      <c r="M116" s="494">
        <f t="shared" si="25"/>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6">D120-$K41</f>
        <v>100</v>
      </c>
      <c r="F120" s="493">
        <f t="shared" si="26"/>
        <v>100</v>
      </c>
      <c r="G120" s="493">
        <f t="shared" si="26"/>
        <v>100</v>
      </c>
      <c r="H120" s="493">
        <f t="shared" si="26"/>
        <v>100</v>
      </c>
      <c r="I120" s="493">
        <f t="shared" si="26"/>
        <v>100</v>
      </c>
      <c r="J120" s="493">
        <f t="shared" si="26"/>
        <v>100</v>
      </c>
      <c r="K120" s="493">
        <f t="shared" si="26"/>
        <v>100</v>
      </c>
      <c r="L120" s="493">
        <f t="shared" si="26"/>
        <v>100</v>
      </c>
      <c r="M120" s="493">
        <f t="shared" si="26"/>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27">C124-$K43</f>
        <v>100</v>
      </c>
      <c r="E124" s="493">
        <f t="shared" si="27"/>
        <v>100</v>
      </c>
      <c r="F124" s="493">
        <f t="shared" si="27"/>
        <v>100</v>
      </c>
      <c r="G124" s="493">
        <f t="shared" si="27"/>
        <v>100</v>
      </c>
      <c r="H124" s="493">
        <f t="shared" si="27"/>
        <v>100</v>
      </c>
      <c r="I124" s="493">
        <f t="shared" si="27"/>
        <v>100</v>
      </c>
      <c r="J124" s="493">
        <f t="shared" si="27"/>
        <v>100</v>
      </c>
      <c r="K124" s="493">
        <f t="shared" si="27"/>
        <v>100</v>
      </c>
      <c r="L124" s="493">
        <f t="shared" si="27"/>
        <v>100</v>
      </c>
      <c r="M124" s="494">
        <f t="shared" si="27"/>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1823</v>
      </c>
      <c r="C1" s="1223" t="s">
        <v>1662</v>
      </c>
      <c r="D1" s="1224"/>
      <c r="E1" s="3428"/>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1765</v>
      </c>
      <c r="D3" s="353">
        <f>IF(D1="",'数据-汇总表'!E3,SUMIF('数据-汇总表'!$C19:$C33,D1,'数据-汇总表'!$E19:$E33))</f>
        <v>69.099999999999994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34" t="s">
        <v>1767</v>
      </c>
      <c r="D4" s="3735"/>
      <c r="E4" s="3736" t="s">
        <v>1768</v>
      </c>
      <c r="F4" s="3737"/>
      <c r="G4" s="3734" t="s">
        <v>1769</v>
      </c>
      <c r="H4" s="3735"/>
      <c r="I4" s="3734" t="s">
        <v>1770</v>
      </c>
      <c r="J4" s="3735"/>
      <c r="K4" s="559" t="s">
        <v>1771</v>
      </c>
      <c r="L4" s="913"/>
      <c r="M4" s="914"/>
      <c r="N4" s="914"/>
      <c r="O4" s="914"/>
      <c r="P4" s="3738" t="s">
        <v>1772</v>
      </c>
      <c r="Q4" s="3739"/>
      <c r="R4" s="3744" t="s">
        <v>1768</v>
      </c>
      <c r="S4" s="3745"/>
      <c r="T4" s="3744" t="s">
        <v>1769</v>
      </c>
      <c r="U4" s="3745"/>
      <c r="V4" s="3750" t="s">
        <v>1770</v>
      </c>
      <c r="W4" s="3750"/>
      <c r="X4" s="1354"/>
      <c r="Y4" s="3744" t="s">
        <v>1772</v>
      </c>
      <c r="Z4" s="3745"/>
      <c r="AA4" s="3731" t="s">
        <v>1768</v>
      </c>
      <c r="AB4" s="3732" t="s">
        <v>1769</v>
      </c>
      <c r="AC4" s="3731" t="s">
        <v>1770</v>
      </c>
    </row>
    <row r="5" spans="1:29" ht="15">
      <c r="A5" s="358"/>
      <c r="B5" s="359"/>
      <c r="C5" s="3753" t="s">
        <v>1673</v>
      </c>
      <c r="D5" s="3754"/>
      <c r="E5" s="3763" t="s">
        <v>1674</v>
      </c>
      <c r="F5" s="3762"/>
      <c r="G5" s="3753" t="s">
        <v>1675</v>
      </c>
      <c r="H5" s="3754"/>
      <c r="I5" s="3753" t="s">
        <v>1676</v>
      </c>
      <c r="J5" s="3754"/>
      <c r="K5" s="559"/>
      <c r="L5" s="913"/>
      <c r="M5" s="914"/>
      <c r="N5" s="914"/>
      <c r="O5" s="914"/>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559" t="s">
        <v>1678</v>
      </c>
      <c r="L6" s="913"/>
      <c r="M6" s="914"/>
      <c r="N6" s="914"/>
      <c r="O6" s="914"/>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45250</v>
      </c>
      <c r="D7" s="365">
        <v>100</v>
      </c>
      <c r="E7" s="366"/>
      <c r="F7" s="367">
        <f>SUMIF(52:52,YEAR(E7)&amp;"-"&amp;MONTH(E7),53:53)</f>
        <v>0</v>
      </c>
      <c r="G7" s="366"/>
      <c r="H7" s="365">
        <f>SUMIF(52:52,YEAR(G7)&amp;"-"&amp;MONTH(G7),53:53)</f>
        <v>0</v>
      </c>
      <c r="I7" s="366"/>
      <c r="J7" s="365">
        <f>SUMIF(52:52,YEAR(I7)&amp;"-"&amp;MONTH(I7),53:53)</f>
        <v>0</v>
      </c>
      <c r="K7" s="560"/>
      <c r="L7" s="915"/>
      <c r="M7" s="916"/>
      <c r="N7" s="916"/>
      <c r="O7" s="916"/>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5" t="s">
        <v>1683</v>
      </c>
      <c r="Q8" s="3756"/>
      <c r="R8" s="701" t="s">
        <v>14</v>
      </c>
      <c r="S8" s="702">
        <f t="shared" si="0"/>
        <v>100</v>
      </c>
      <c r="T8" s="701" t="s">
        <v>14</v>
      </c>
      <c r="U8" s="702">
        <f t="shared" si="1"/>
        <v>100</v>
      </c>
      <c r="V8" s="701" t="s">
        <v>14</v>
      </c>
      <c r="W8" s="702">
        <f t="shared" si="2"/>
        <v>100</v>
      </c>
      <c r="X8" s="703"/>
      <c r="Y8" s="3755" t="s">
        <v>1683</v>
      </c>
      <c r="Z8" s="375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19"/>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2"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9"/>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9"/>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9"/>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57">
      <c r="A15" s="391" t="s">
        <v>1690</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2"/>
      <c r="Q16" s="1351"/>
      <c r="R16" s="705"/>
      <c r="S16" s="706"/>
      <c r="T16" s="705"/>
      <c r="U16" s="706"/>
      <c r="V16" s="705"/>
      <c r="W16" s="706"/>
      <c r="X16" s="1354"/>
      <c r="Y16" s="3722"/>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2"/>
      <c r="Q18" s="1351"/>
      <c r="R18" s="705"/>
      <c r="S18" s="706"/>
      <c r="T18" s="705"/>
      <c r="U18" s="706"/>
      <c r="V18" s="705"/>
      <c r="W18" s="706"/>
      <c r="X18" s="1354"/>
      <c r="Y18" s="3722"/>
      <c r="Z18" s="1355"/>
      <c r="AA18" s="1352">
        <v>1</v>
      </c>
      <c r="AB18" s="1352">
        <v>1</v>
      </c>
      <c r="AC18" s="1352">
        <v>1</v>
      </c>
    </row>
    <row r="19" spans="1:29" ht="42.75">
      <c r="A19" s="379"/>
      <c r="B19" s="402" t="s">
        <v>1809</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2"/>
      <c r="Q20" s="1351"/>
      <c r="R20" s="705"/>
      <c r="S20" s="706"/>
      <c r="T20" s="705"/>
      <c r="U20" s="706"/>
      <c r="V20" s="705"/>
      <c r="W20" s="706"/>
      <c r="X20" s="1354"/>
      <c r="Y20" s="3722"/>
      <c r="Z20" s="1355"/>
      <c r="AA20" s="1352">
        <v>1</v>
      </c>
      <c r="AB20" s="1352">
        <v>1</v>
      </c>
      <c r="AC20" s="1352">
        <v>1</v>
      </c>
    </row>
    <row r="21" spans="1:29" ht="28.5">
      <c r="A21" s="379"/>
      <c r="B21" s="1131" t="s">
        <v>1810</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D21/F21</f>
        <v>1</v>
      </c>
      <c r="AB21" s="1352">
        <f>D21/H21</f>
        <v>1</v>
      </c>
      <c r="AC21" s="1352">
        <f>D21/J21</f>
        <v>1</v>
      </c>
    </row>
    <row r="22" spans="1:29" ht="15">
      <c r="A22" s="379"/>
      <c r="B22" s="1131"/>
      <c r="C22" s="1899"/>
      <c r="D22" s="399"/>
      <c r="E22" s="398"/>
      <c r="F22" s="400"/>
      <c r="G22" s="398"/>
      <c r="H22" s="399"/>
      <c r="I22" s="398"/>
      <c r="J22" s="399"/>
      <c r="K22" s="1130"/>
      <c r="L22" s="923"/>
      <c r="M22" s="914"/>
      <c r="N22" s="914"/>
      <c r="O22" s="922"/>
      <c r="P22" s="3722"/>
      <c r="Q22" s="1351"/>
      <c r="R22" s="705"/>
      <c r="S22" s="706"/>
      <c r="T22" s="705"/>
      <c r="U22" s="706"/>
      <c r="V22" s="705"/>
      <c r="W22" s="706"/>
      <c r="X22" s="1354"/>
      <c r="Y22" s="3722"/>
      <c r="Z22" s="1355"/>
      <c r="AA22" s="1352">
        <v>1</v>
      </c>
      <c r="AB22" s="1352">
        <v>1</v>
      </c>
      <c r="AC22" s="1352">
        <v>1</v>
      </c>
    </row>
    <row r="23" spans="1:29" ht="71.25">
      <c r="A23" s="379"/>
      <c r="B23" s="402" t="s">
        <v>1811</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22"/>
      <c r="Q24" s="1351"/>
      <c r="R24" s="705"/>
      <c r="S24" s="706"/>
      <c r="T24" s="705"/>
      <c r="U24" s="706"/>
      <c r="V24" s="705"/>
      <c r="W24" s="706"/>
      <c r="X24" s="1354"/>
      <c r="Y24" s="372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1">
        <f t="shared" ref="Q26:Q40" si="8">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2">
        <f t="shared" si="8"/>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1">
        <f t="shared" si="8"/>
        <v>111</v>
      </c>
      <c r="R28" s="705" t="s">
        <v>14</v>
      </c>
      <c r="S28" s="706">
        <f t="shared" ref="S28:S40" si="9">F28</f>
        <v>100</v>
      </c>
      <c r="T28" s="705" t="s">
        <v>14</v>
      </c>
      <c r="U28" s="706">
        <f t="shared" ref="U28:U40" si="10">H28</f>
        <v>100</v>
      </c>
      <c r="V28" s="705" t="s">
        <v>14</v>
      </c>
      <c r="W28" s="706">
        <f t="shared" ref="W28:W40" si="11">J28</f>
        <v>100</v>
      </c>
      <c r="X28" s="1354"/>
      <c r="Y28" s="3722"/>
      <c r="Z28" s="1355">
        <f t="shared" ref="Z28:Z40" si="12">Q28</f>
        <v>111</v>
      </c>
      <c r="AA28" s="1352">
        <f t="shared" si="3"/>
        <v>1</v>
      </c>
      <c r="AB28" s="1352">
        <f t="shared" si="4"/>
        <v>1</v>
      </c>
      <c r="AC28" s="1352">
        <f t="shared" si="5"/>
        <v>1</v>
      </c>
    </row>
    <row r="29" spans="1:29" ht="28.5">
      <c r="A29" s="417" t="s">
        <v>1694</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79" t="s">
        <v>1696</v>
      </c>
      <c r="Q29" s="1351" t="str">
        <f t="shared" si="8"/>
        <v>建筑类型</v>
      </c>
      <c r="R29" s="705" t="s">
        <v>14</v>
      </c>
      <c r="S29" s="706">
        <f t="shared" si="9"/>
        <v>100</v>
      </c>
      <c r="T29" s="705" t="s">
        <v>14</v>
      </c>
      <c r="U29" s="706">
        <f t="shared" si="10"/>
        <v>100</v>
      </c>
      <c r="V29" s="705" t="s">
        <v>14</v>
      </c>
      <c r="W29" s="706">
        <f t="shared" si="11"/>
        <v>100</v>
      </c>
      <c r="X29" s="1354"/>
      <c r="Y29" s="3726" t="s">
        <v>1696</v>
      </c>
      <c r="Z29" s="1355" t="str">
        <f t="shared" si="12"/>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8"/>
        <v>项目建筑规模</v>
      </c>
      <c r="R30" s="708" t="s">
        <v>14</v>
      </c>
      <c r="S30" s="709" t="e">
        <f t="shared" si="9"/>
        <v>#N/A</v>
      </c>
      <c r="T30" s="708" t="s">
        <v>14</v>
      </c>
      <c r="U30" s="709" t="e">
        <f t="shared" si="10"/>
        <v>#N/A</v>
      </c>
      <c r="V30" s="708" t="s">
        <v>14</v>
      </c>
      <c r="W30" s="709" t="e">
        <f t="shared" si="11"/>
        <v>#N/A</v>
      </c>
      <c r="X30" s="710"/>
      <c r="Y30" s="3726"/>
      <c r="Z30" s="711" t="str">
        <f t="shared" si="12"/>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1" t="str">
        <f t="shared" si="8"/>
        <v>建筑结构</v>
      </c>
      <c r="R31" s="705" t="s">
        <v>14</v>
      </c>
      <c r="S31" s="706">
        <f t="shared" si="9"/>
        <v>100</v>
      </c>
      <c r="T31" s="705" t="s">
        <v>14</v>
      </c>
      <c r="U31" s="706">
        <f t="shared" si="10"/>
        <v>100</v>
      </c>
      <c r="V31" s="705" t="s">
        <v>14</v>
      </c>
      <c r="W31" s="706">
        <f t="shared" si="11"/>
        <v>100</v>
      </c>
      <c r="X31" s="1354"/>
      <c r="Y31" s="3726"/>
      <c r="Z31" s="1355" t="str">
        <f t="shared" si="12"/>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1" t="str">
        <f t="shared" si="8"/>
        <v>公共部分装修</v>
      </c>
      <c r="R32" s="705" t="s">
        <v>14</v>
      </c>
      <c r="S32" s="706">
        <f t="shared" si="9"/>
        <v>100</v>
      </c>
      <c r="T32" s="705" t="s">
        <v>14</v>
      </c>
      <c r="U32" s="706">
        <f t="shared" si="10"/>
        <v>100</v>
      </c>
      <c r="V32" s="705" t="s">
        <v>14</v>
      </c>
      <c r="W32" s="706">
        <f t="shared" si="11"/>
        <v>100</v>
      </c>
      <c r="X32" s="1354"/>
      <c r="Y32" s="3726"/>
      <c r="Z32" s="1355" t="str">
        <f t="shared" si="12"/>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1" t="str">
        <f t="shared" si="8"/>
        <v>成新度</v>
      </c>
      <c r="R33" s="705" t="s">
        <v>14</v>
      </c>
      <c r="S33" s="706" t="e">
        <f t="shared" si="9"/>
        <v>#N/A</v>
      </c>
      <c r="T33" s="705" t="s">
        <v>14</v>
      </c>
      <c r="U33" s="706" t="e">
        <f t="shared" si="10"/>
        <v>#N/A</v>
      </c>
      <c r="V33" s="705" t="s">
        <v>14</v>
      </c>
      <c r="W33" s="706" t="e">
        <f t="shared" si="11"/>
        <v>#N/A</v>
      </c>
      <c r="X33" s="1354"/>
      <c r="Y33" s="3726"/>
      <c r="Z33" s="1355" t="str">
        <f t="shared" si="12"/>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2" t="str">
        <f t="shared" si="8"/>
        <v>物业管理</v>
      </c>
      <c r="R34" s="701" t="s">
        <v>14</v>
      </c>
      <c r="S34" s="702">
        <f t="shared" si="9"/>
        <v>100</v>
      </c>
      <c r="T34" s="701" t="s">
        <v>14</v>
      </c>
      <c r="U34" s="702">
        <f t="shared" si="10"/>
        <v>100</v>
      </c>
      <c r="V34" s="701" t="s">
        <v>14</v>
      </c>
      <c r="W34" s="702">
        <f t="shared" si="11"/>
        <v>100</v>
      </c>
      <c r="X34" s="703"/>
      <c r="Y34" s="3726"/>
      <c r="Z34" s="52" t="str">
        <f t="shared" si="12"/>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1" t="str">
        <f t="shared" si="8"/>
        <v>市政基础设施</v>
      </c>
      <c r="R35" s="705" t="s">
        <v>14</v>
      </c>
      <c r="S35" s="706">
        <f t="shared" si="9"/>
        <v>100</v>
      </c>
      <c r="T35" s="705" t="s">
        <v>14</v>
      </c>
      <c r="U35" s="706">
        <f t="shared" si="10"/>
        <v>100</v>
      </c>
      <c r="V35" s="705" t="s">
        <v>14</v>
      </c>
      <c r="W35" s="706">
        <f t="shared" si="11"/>
        <v>100</v>
      </c>
      <c r="X35" s="1354"/>
      <c r="Y35" s="3726" t="s">
        <v>1696</v>
      </c>
      <c r="Z35" s="1355" t="str">
        <f t="shared" si="12"/>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1" t="str">
        <f t="shared" si="8"/>
        <v>内部装修</v>
      </c>
      <c r="R36" s="705" t="s">
        <v>14</v>
      </c>
      <c r="S36" s="706">
        <f t="shared" si="9"/>
        <v>100</v>
      </c>
      <c r="T36" s="705" t="s">
        <v>14</v>
      </c>
      <c r="U36" s="706">
        <f t="shared" si="10"/>
        <v>100</v>
      </c>
      <c r="V36" s="705" t="s">
        <v>14</v>
      </c>
      <c r="W36" s="706">
        <f t="shared" si="11"/>
        <v>100</v>
      </c>
      <c r="X36" s="1354"/>
      <c r="Y36" s="3726"/>
      <c r="Z36" s="1355" t="str">
        <f t="shared" si="12"/>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1" t="str">
        <f t="shared" si="8"/>
        <v>内部装修状况</v>
      </c>
      <c r="R37" s="705" t="s">
        <v>14</v>
      </c>
      <c r="S37" s="706">
        <f t="shared" si="9"/>
        <v>100</v>
      </c>
      <c r="T37" s="705" t="s">
        <v>14</v>
      </c>
      <c r="U37" s="706">
        <f t="shared" si="10"/>
        <v>100</v>
      </c>
      <c r="V37" s="705" t="s">
        <v>14</v>
      </c>
      <c r="W37" s="706">
        <f t="shared" si="11"/>
        <v>100</v>
      </c>
      <c r="X37" s="1354"/>
      <c r="Y37" s="3726"/>
      <c r="Z37" s="1355" t="str">
        <f t="shared" si="12"/>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8"/>
        <v>111</v>
      </c>
      <c r="R38" s="708" t="s">
        <v>14</v>
      </c>
      <c r="S38" s="709">
        <f t="shared" si="9"/>
        <v>100</v>
      </c>
      <c r="T38" s="708" t="s">
        <v>14</v>
      </c>
      <c r="U38" s="709">
        <f t="shared" si="10"/>
        <v>100</v>
      </c>
      <c r="V38" s="708" t="s">
        <v>14</v>
      </c>
      <c r="W38" s="709">
        <f t="shared" si="11"/>
        <v>100</v>
      </c>
      <c r="X38" s="710"/>
      <c r="Y38" s="3726"/>
      <c r="Z38" s="711">
        <f t="shared" si="12"/>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1">
        <f t="shared" si="8"/>
        <v>111</v>
      </c>
      <c r="R39" s="705" t="s">
        <v>14</v>
      </c>
      <c r="S39" s="706">
        <f t="shared" si="9"/>
        <v>100</v>
      </c>
      <c r="T39" s="705" t="s">
        <v>14</v>
      </c>
      <c r="U39" s="706">
        <f t="shared" si="10"/>
        <v>100</v>
      </c>
      <c r="V39" s="705" t="s">
        <v>14</v>
      </c>
      <c r="W39" s="706">
        <f t="shared" si="11"/>
        <v>100</v>
      </c>
      <c r="X39" s="1354"/>
      <c r="Y39" s="3726"/>
      <c r="Z39" s="1355">
        <f t="shared" si="12"/>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1">
        <f t="shared" si="8"/>
        <v>111</v>
      </c>
      <c r="R40" s="705" t="s">
        <v>14</v>
      </c>
      <c r="S40" s="706">
        <f t="shared" si="9"/>
        <v>100</v>
      </c>
      <c r="T40" s="705" t="s">
        <v>14</v>
      </c>
      <c r="U40" s="706">
        <f t="shared" si="10"/>
        <v>100</v>
      </c>
      <c r="V40" s="705" t="s">
        <v>14</v>
      </c>
      <c r="W40" s="706">
        <f t="shared" si="11"/>
        <v>100</v>
      </c>
      <c r="X40" s="1354"/>
      <c r="Y40" s="3727"/>
      <c r="Z40" s="1355">
        <f t="shared" si="12"/>
        <v>111</v>
      </c>
      <c r="AA40" s="1352">
        <f t="shared" si="3"/>
        <v>1</v>
      </c>
      <c r="AB40" s="1352">
        <f t="shared" si="4"/>
        <v>1</v>
      </c>
      <c r="AC40" s="1352">
        <f t="shared" si="5"/>
        <v>1</v>
      </c>
    </row>
    <row r="41" spans="1:29" ht="15">
      <c r="A41" s="430" t="s">
        <v>1706</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1790</v>
      </c>
      <c r="B42" s="438"/>
      <c r="C42" s="1160" t="e">
        <f>R43</f>
        <v>#DIV/0!</v>
      </c>
      <c r="D42" s="2313" t="s">
        <v>2135</v>
      </c>
      <c r="E42" s="1161" t="e">
        <f>R42</f>
        <v>#DIV/0!</v>
      </c>
      <c r="F42" s="2314"/>
      <c r="G42" s="1160" t="e">
        <f>T42</f>
        <v>#DIV/0!</v>
      </c>
      <c r="H42" s="2314"/>
      <c r="I42" s="1161" t="e">
        <f>V42</f>
        <v>#DIV/0!</v>
      </c>
      <c r="J42" s="2314"/>
      <c r="K42" s="2316">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2023-11</v>
      </c>
      <c r="D52" s="1184">
        <f>EDATE(C52,-1)</f>
        <v>45200</v>
      </c>
      <c r="E52" s="1184">
        <f t="shared" ref="E52:O52" si="13">EDATE(D52,-1)</f>
        <v>45170</v>
      </c>
      <c r="F52" s="1184">
        <f t="shared" si="13"/>
        <v>45139</v>
      </c>
      <c r="G52" s="1184">
        <f t="shared" si="13"/>
        <v>45108</v>
      </c>
      <c r="H52" s="1184">
        <f t="shared" si="13"/>
        <v>45078</v>
      </c>
      <c r="I52" s="1184">
        <f t="shared" si="13"/>
        <v>45047</v>
      </c>
      <c r="J52" s="1184">
        <f t="shared" si="13"/>
        <v>45017</v>
      </c>
      <c r="K52" s="1184">
        <f t="shared" si="13"/>
        <v>44986</v>
      </c>
      <c r="L52" s="1184">
        <f t="shared" si="13"/>
        <v>44958</v>
      </c>
      <c r="M52" s="1184">
        <f t="shared" si="13"/>
        <v>44927</v>
      </c>
      <c r="N52" s="1184">
        <f t="shared" si="13"/>
        <v>44896</v>
      </c>
      <c r="O52" s="1184">
        <f t="shared" si="13"/>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1826</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4"/>
      <c r="O89" s="934"/>
      <c r="P89" s="42"/>
      <c r="Q89" s="453"/>
    </row>
    <row r="90" spans="1:17" ht="15.75" thickTop="1">
      <c r="A90" s="483"/>
      <c r="B90" s="487" t="s">
        <v>1735</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3" priority="20" stopIfTrue="1" operator="containsText" text="超过">
      <formula>NOT(ISERROR(SEARCH("超过",F46)))</formula>
    </cfRule>
  </conditionalFormatting>
  <conditionalFormatting sqref="H48">
    <cfRule type="containsText" dxfId="82" priority="19" stopIfTrue="1" operator="containsText" text="超过">
      <formula>NOT(ISERROR(SEARCH("超过",H48)))</formula>
    </cfRule>
  </conditionalFormatting>
  <conditionalFormatting sqref="F48">
    <cfRule type="containsText" dxfId="81" priority="18" stopIfTrue="1" operator="containsText" text="超过">
      <formula>NOT(ISERROR(SEARCH("超过",F48)))</formula>
    </cfRule>
  </conditionalFormatting>
  <conditionalFormatting sqref="F47 H47">
    <cfRule type="containsText" dxfId="80" priority="17" stopIfTrue="1" operator="containsText" text="超过">
      <formula>NOT(ISERROR(SEARCH("超过",F47)))</formula>
    </cfRule>
  </conditionalFormatting>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G48">
    <cfRule type="expression" dxfId="76" priority="13" stopIfTrue="1">
      <formula>$H$48="超过30%"</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J46">
    <cfRule type="containsText" dxfId="73" priority="10" stopIfTrue="1" operator="containsText" text="超过">
      <formula>NOT(ISERROR(SEARCH("超过",J46)))</formula>
    </cfRule>
  </conditionalFormatting>
  <conditionalFormatting sqref="J48">
    <cfRule type="containsText" dxfId="72" priority="9" stopIfTrue="1" operator="containsText" text="超过">
      <formula>NOT(ISERROR(SEARCH("超过",J48)))</formula>
    </cfRule>
  </conditionalFormatting>
  <conditionalFormatting sqref="J47">
    <cfRule type="containsText" dxfId="71" priority="8" stopIfTrue="1" operator="containsText" text="超过">
      <formula>NOT(ISERROR(SEARCH("超过",J47)))</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3333</v>
      </c>
      <c r="C1" s="1223" t="s">
        <v>1662</v>
      </c>
      <c r="D1" s="1224"/>
      <c r="E1" s="3428"/>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1766</v>
      </c>
      <c r="B4" s="356"/>
      <c r="C4" s="3734" t="s">
        <v>1767</v>
      </c>
      <c r="D4" s="3735"/>
      <c r="E4" s="3736" t="s">
        <v>1768</v>
      </c>
      <c r="F4" s="3737"/>
      <c r="G4" s="3734" t="s">
        <v>1769</v>
      </c>
      <c r="H4" s="3735"/>
      <c r="I4" s="3734" t="s">
        <v>1770</v>
      </c>
      <c r="J4" s="3735"/>
      <c r="K4" s="559" t="s">
        <v>1771</v>
      </c>
      <c r="L4" s="2710"/>
      <c r="M4" s="2711"/>
      <c r="N4" s="2711"/>
      <c r="O4" s="2711"/>
      <c r="P4" s="3738" t="s">
        <v>1772</v>
      </c>
      <c r="Q4" s="3739"/>
      <c r="R4" s="3744" t="s">
        <v>1768</v>
      </c>
      <c r="S4" s="3745"/>
      <c r="T4" s="3744" t="s">
        <v>1769</v>
      </c>
      <c r="U4" s="3745"/>
      <c r="V4" s="3750" t="s">
        <v>1770</v>
      </c>
      <c r="W4" s="3750"/>
      <c r="X4" s="1354"/>
      <c r="Y4" s="3744" t="s">
        <v>1772</v>
      </c>
      <c r="Z4" s="3745"/>
      <c r="AA4" s="3731" t="s">
        <v>1768</v>
      </c>
      <c r="AB4" s="3732" t="s">
        <v>1769</v>
      </c>
      <c r="AC4" s="3731" t="s">
        <v>1770</v>
      </c>
    </row>
    <row r="5" spans="1:29" ht="15">
      <c r="A5" s="358"/>
      <c r="B5" s="359"/>
      <c r="C5" s="3753" t="s">
        <v>1673</v>
      </c>
      <c r="D5" s="3754"/>
      <c r="E5" s="3763" t="s">
        <v>1674</v>
      </c>
      <c r="F5" s="3762"/>
      <c r="G5" s="3753" t="s">
        <v>1675</v>
      </c>
      <c r="H5" s="3754"/>
      <c r="I5" s="3753" t="s">
        <v>1676</v>
      </c>
      <c r="J5" s="3754"/>
      <c r="K5" s="559"/>
      <c r="L5" s="2710"/>
      <c r="M5" s="2711"/>
      <c r="N5" s="2711"/>
      <c r="O5" s="2711"/>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559" t="s">
        <v>1678</v>
      </c>
      <c r="L6" s="2710"/>
      <c r="M6" s="2711"/>
      <c r="N6" s="2711"/>
      <c r="O6" s="2711"/>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45250</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55" t="s">
        <v>1680</v>
      </c>
      <c r="Q7" s="3757"/>
      <c r="R7" s="701" t="s">
        <v>14</v>
      </c>
      <c r="S7" s="702">
        <f t="shared" ref="S7:S14" si="0">F7</f>
        <v>0</v>
      </c>
      <c r="T7" s="701" t="s">
        <v>14</v>
      </c>
      <c r="U7" s="702">
        <f t="shared" ref="U7:U14" si="1">H7</f>
        <v>0</v>
      </c>
      <c r="V7" s="701" t="s">
        <v>14</v>
      </c>
      <c r="W7" s="702">
        <f t="shared" ref="W7:W14"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55" t="s">
        <v>1683</v>
      </c>
      <c r="Q8" s="3756"/>
      <c r="R8" s="701" t="s">
        <v>14</v>
      </c>
      <c r="S8" s="702">
        <f t="shared" si="0"/>
        <v>100</v>
      </c>
      <c r="T8" s="701" t="s">
        <v>14</v>
      </c>
      <c r="U8" s="702">
        <f t="shared" si="1"/>
        <v>100</v>
      </c>
      <c r="V8" s="701" t="s">
        <v>14</v>
      </c>
      <c r="W8" s="702">
        <f t="shared" si="2"/>
        <v>100</v>
      </c>
      <c r="X8" s="703"/>
      <c r="Y8" s="3755" t="s">
        <v>1683</v>
      </c>
      <c r="Z8" s="375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9" t="s">
        <v>1686</v>
      </c>
      <c r="Q9" s="1342" t="str">
        <f t="shared" ref="Q9:Q14" si="6">B9</f>
        <v>用途</v>
      </c>
      <c r="R9" s="701" t="s">
        <v>14</v>
      </c>
      <c r="S9" s="702">
        <f t="shared" si="0"/>
        <v>100</v>
      </c>
      <c r="T9" s="701" t="s">
        <v>14</v>
      </c>
      <c r="U9" s="702">
        <f t="shared" si="1"/>
        <v>100</v>
      </c>
      <c r="V9" s="701" t="s">
        <v>14</v>
      </c>
      <c r="W9" s="702">
        <f t="shared" si="2"/>
        <v>100</v>
      </c>
      <c r="X9" s="703"/>
      <c r="Y9" s="3594"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9"/>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9"/>
      <c r="Q11" s="1342">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9"/>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9"/>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99.75">
      <c r="A14" s="355" t="s">
        <v>1690</v>
      </c>
      <c r="B14" s="577" t="s">
        <v>1830</v>
      </c>
      <c r="C14" s="1967" t="str">
        <f>IF(B1="工业",估价对象房地状况!G4,估价对象房地状况!C6)</f>
        <v>周边有10路、13路、21路、26路、68路等多条公交线路及地铁1号线南礼士路站，综合评价交通便捷度较好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22"/>
      <c r="Q15" s="1351"/>
      <c r="R15" s="705"/>
      <c r="S15" s="706"/>
      <c r="T15" s="705"/>
      <c r="U15" s="706"/>
      <c r="V15" s="705"/>
      <c r="W15" s="706"/>
      <c r="X15" s="1354"/>
      <c r="Y15" s="3722"/>
      <c r="Z15" s="1355"/>
      <c r="AA15" s="1352">
        <v>1</v>
      </c>
      <c r="AB15" s="1352">
        <v>1</v>
      </c>
      <c r="AC15" s="1352">
        <v>1</v>
      </c>
    </row>
    <row r="16" spans="1:29" ht="299.25">
      <c r="A16" s="358"/>
      <c r="B16" s="579" t="s">
        <v>1809</v>
      </c>
      <c r="C16" s="1898"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22"/>
      <c r="Q17" s="1351"/>
      <c r="R17" s="705"/>
      <c r="S17" s="706"/>
      <c r="T17" s="705"/>
      <c r="U17" s="706"/>
      <c r="V17" s="705"/>
      <c r="W17" s="706"/>
      <c r="X17" s="1354"/>
      <c r="Y17" s="3722"/>
      <c r="Z17" s="1355"/>
      <c r="AA17" s="1352">
        <v>1</v>
      </c>
      <c r="AB17" s="1352">
        <v>1</v>
      </c>
      <c r="AC17" s="1352">
        <v>1</v>
      </c>
    </row>
    <row r="18" spans="1:29" ht="28.5">
      <c r="A18" s="358"/>
      <c r="B18" s="581" t="s">
        <v>1810</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D18/F18</f>
        <v>1</v>
      </c>
      <c r="AB18" s="1352">
        <f>D18/H18</f>
        <v>1</v>
      </c>
      <c r="AC18" s="1352">
        <f>D18/J18</f>
        <v>1</v>
      </c>
    </row>
    <row r="19" spans="1:29" ht="15">
      <c r="A19" s="358"/>
      <c r="B19" s="581"/>
      <c r="C19" s="1899"/>
      <c r="D19" s="401"/>
      <c r="E19" s="1899"/>
      <c r="F19" s="404"/>
      <c r="G19" s="1899"/>
      <c r="H19" s="399"/>
      <c r="I19" s="398"/>
      <c r="J19" s="399"/>
      <c r="K19" s="1130"/>
      <c r="L19" s="2717"/>
      <c r="M19" s="2711"/>
      <c r="N19" s="2711"/>
      <c r="O19" s="2711"/>
      <c r="P19" s="3722"/>
      <c r="Q19" s="1351"/>
      <c r="R19" s="705"/>
      <c r="S19" s="706"/>
      <c r="T19" s="705"/>
      <c r="U19" s="706"/>
      <c r="V19" s="705"/>
      <c r="W19" s="706"/>
      <c r="X19" s="1354"/>
      <c r="Y19" s="3722"/>
      <c r="Z19" s="1355"/>
      <c r="AA19" s="1352">
        <v>1</v>
      </c>
      <c r="AB19" s="1352">
        <v>1</v>
      </c>
      <c r="AC19" s="1352">
        <v>1</v>
      </c>
    </row>
    <row r="20" spans="1:29" ht="114">
      <c r="A20" s="358"/>
      <c r="B20" s="579" t="s">
        <v>1831</v>
      </c>
      <c r="C20" s="1898" t="str">
        <f>IF(B1="工业",估价对象房地状况!G7,估价对象房地状况!C9)</f>
        <v>自然环境：月坛公园等自然水系景观；
人文环境：二七剧场等人文场所；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22"/>
      <c r="Q21" s="1351"/>
      <c r="R21" s="705"/>
      <c r="S21" s="706"/>
      <c r="T21" s="705"/>
      <c r="U21" s="706"/>
      <c r="V21" s="705"/>
      <c r="W21" s="706"/>
      <c r="X21" s="1354"/>
      <c r="Y21" s="3722"/>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2"/>
      <c r="Q24" s="1351">
        <f t="shared" ref="Q24:Q36" si="8">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2"/>
      <c r="Q25" s="1342">
        <f t="shared" si="8"/>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9" t="s">
        <v>1696</v>
      </c>
      <c r="Q26" s="1351" t="str">
        <f t="shared" si="8"/>
        <v>配套类型</v>
      </c>
      <c r="R26" s="705" t="s">
        <v>14</v>
      </c>
      <c r="S26" s="706">
        <f t="shared" ref="S26:S36" si="9">F26</f>
        <v>0</v>
      </c>
      <c r="T26" s="705" t="s">
        <v>14</v>
      </c>
      <c r="U26" s="706">
        <f t="shared" ref="U26:U36" si="10">H26</f>
        <v>0</v>
      </c>
      <c r="V26" s="705" t="s">
        <v>14</v>
      </c>
      <c r="W26" s="706">
        <f t="shared" ref="W26:W36" si="11">J26</f>
        <v>0</v>
      </c>
      <c r="X26" s="1354"/>
      <c r="Y26" s="3726" t="s">
        <v>1696</v>
      </c>
      <c r="Z26" s="1355" t="str">
        <f t="shared" ref="Z26:Z36" si="12">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6"/>
      <c r="Q27" s="707" t="str">
        <f t="shared" si="8"/>
        <v>项目停车位配比</v>
      </c>
      <c r="R27" s="708" t="s">
        <v>14</v>
      </c>
      <c r="S27" s="709">
        <f t="shared" si="9"/>
        <v>100</v>
      </c>
      <c r="T27" s="708" t="s">
        <v>14</v>
      </c>
      <c r="U27" s="709">
        <f t="shared" si="10"/>
        <v>100</v>
      </c>
      <c r="V27" s="708" t="s">
        <v>14</v>
      </c>
      <c r="W27" s="709">
        <f t="shared" si="11"/>
        <v>100</v>
      </c>
      <c r="X27" s="710"/>
      <c r="Y27" s="3726"/>
      <c r="Z27" s="711" t="str">
        <f t="shared" si="12"/>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26"/>
      <c r="Q28" s="1351" t="str">
        <f t="shared" si="8"/>
        <v>公共部分装修</v>
      </c>
      <c r="R28" s="705" t="s">
        <v>14</v>
      </c>
      <c r="S28" s="706">
        <f t="shared" si="9"/>
        <v>100</v>
      </c>
      <c r="T28" s="705" t="s">
        <v>14</v>
      </c>
      <c r="U28" s="706">
        <f t="shared" si="10"/>
        <v>100</v>
      </c>
      <c r="V28" s="705" t="s">
        <v>14</v>
      </c>
      <c r="W28" s="706">
        <f t="shared" si="11"/>
        <v>100</v>
      </c>
      <c r="X28" s="1354"/>
      <c r="Y28" s="3726"/>
      <c r="Z28" s="1355" t="str">
        <f t="shared" si="12"/>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26"/>
      <c r="Q29" s="1351" t="str">
        <f t="shared" si="8"/>
        <v>成新率</v>
      </c>
      <c r="R29" s="705" t="s">
        <v>14</v>
      </c>
      <c r="S29" s="706" t="e">
        <f t="shared" si="9"/>
        <v>#N/A</v>
      </c>
      <c r="T29" s="705" t="s">
        <v>14</v>
      </c>
      <c r="U29" s="706" t="e">
        <f t="shared" si="10"/>
        <v>#N/A</v>
      </c>
      <c r="V29" s="705" t="s">
        <v>14</v>
      </c>
      <c r="W29" s="706" t="e">
        <f t="shared" si="11"/>
        <v>#N/A</v>
      </c>
      <c r="X29" s="1354"/>
      <c r="Y29" s="3726"/>
      <c r="Z29" s="1355" t="str">
        <f t="shared" si="12"/>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6"/>
      <c r="Q30" s="1351" t="str">
        <f t="shared" si="8"/>
        <v>物业等级</v>
      </c>
      <c r="R30" s="705" t="s">
        <v>14</v>
      </c>
      <c r="S30" s="706">
        <f t="shared" si="9"/>
        <v>100</v>
      </c>
      <c r="T30" s="705" t="s">
        <v>14</v>
      </c>
      <c r="U30" s="706">
        <f t="shared" si="10"/>
        <v>100</v>
      </c>
      <c r="V30" s="705" t="s">
        <v>14</v>
      </c>
      <c r="W30" s="706">
        <f t="shared" si="11"/>
        <v>100</v>
      </c>
      <c r="X30" s="1354"/>
      <c r="Y30" s="3726"/>
      <c r="Z30" s="1355" t="str">
        <f t="shared" si="12"/>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26"/>
      <c r="Q31" s="1342" t="str">
        <f t="shared" si="8"/>
        <v>停车位面积</v>
      </c>
      <c r="R31" s="701" t="s">
        <v>14</v>
      </c>
      <c r="S31" s="702" t="e">
        <f t="shared" si="9"/>
        <v>#N/A</v>
      </c>
      <c r="T31" s="701" t="s">
        <v>14</v>
      </c>
      <c r="U31" s="702" t="e">
        <f t="shared" si="10"/>
        <v>#N/A</v>
      </c>
      <c r="V31" s="701" t="s">
        <v>14</v>
      </c>
      <c r="W31" s="702" t="e">
        <f t="shared" si="11"/>
        <v>#N/A</v>
      </c>
      <c r="X31" s="703"/>
      <c r="Y31" s="3726"/>
      <c r="Z31" s="52" t="str">
        <f t="shared" si="12"/>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26" t="s">
        <v>1696</v>
      </c>
      <c r="Q32" s="1351" t="str">
        <f t="shared" si="8"/>
        <v>车位类型</v>
      </c>
      <c r="R32" s="705" t="s">
        <v>14</v>
      </c>
      <c r="S32" s="706">
        <f t="shared" si="9"/>
        <v>100</v>
      </c>
      <c r="T32" s="705" t="s">
        <v>14</v>
      </c>
      <c r="U32" s="706">
        <f t="shared" si="10"/>
        <v>100</v>
      </c>
      <c r="V32" s="705" t="s">
        <v>14</v>
      </c>
      <c r="W32" s="706">
        <f t="shared" si="11"/>
        <v>100</v>
      </c>
      <c r="X32" s="1354"/>
      <c r="Y32" s="3726" t="s">
        <v>1696</v>
      </c>
      <c r="Z32" s="1355" t="str">
        <f t="shared" si="12"/>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6"/>
      <c r="Q33" s="1351" t="str">
        <f t="shared" si="8"/>
        <v>是否直接入户</v>
      </c>
      <c r="R33" s="705" t="s">
        <v>14</v>
      </c>
      <c r="S33" s="706">
        <f t="shared" si="9"/>
        <v>100</v>
      </c>
      <c r="T33" s="705" t="s">
        <v>14</v>
      </c>
      <c r="U33" s="706">
        <f t="shared" si="10"/>
        <v>100</v>
      </c>
      <c r="V33" s="705" t="s">
        <v>14</v>
      </c>
      <c r="W33" s="706">
        <f t="shared" si="11"/>
        <v>100</v>
      </c>
      <c r="X33" s="1354"/>
      <c r="Y33" s="3726"/>
      <c r="Z33" s="1355" t="str">
        <f t="shared" si="12"/>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6"/>
      <c r="Q34" s="1351">
        <f t="shared" si="8"/>
        <v>111</v>
      </c>
      <c r="R34" s="705" t="s">
        <v>14</v>
      </c>
      <c r="S34" s="706">
        <f t="shared" si="9"/>
        <v>100</v>
      </c>
      <c r="T34" s="705" t="s">
        <v>14</v>
      </c>
      <c r="U34" s="706">
        <f t="shared" si="10"/>
        <v>100</v>
      </c>
      <c r="V34" s="705" t="s">
        <v>14</v>
      </c>
      <c r="W34" s="706">
        <f t="shared" si="11"/>
        <v>100</v>
      </c>
      <c r="X34" s="1354"/>
      <c r="Y34" s="3726"/>
      <c r="Z34" s="1355">
        <f t="shared" si="12"/>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6"/>
      <c r="Q35" s="707">
        <f t="shared" si="8"/>
        <v>111</v>
      </c>
      <c r="R35" s="708" t="s">
        <v>14</v>
      </c>
      <c r="S35" s="709">
        <f t="shared" si="9"/>
        <v>100</v>
      </c>
      <c r="T35" s="708" t="s">
        <v>14</v>
      </c>
      <c r="U35" s="709">
        <f t="shared" si="10"/>
        <v>100</v>
      </c>
      <c r="V35" s="708" t="s">
        <v>14</v>
      </c>
      <c r="W35" s="709">
        <f t="shared" si="11"/>
        <v>100</v>
      </c>
      <c r="X35" s="710"/>
      <c r="Y35" s="3726"/>
      <c r="Z35" s="711">
        <f t="shared" si="12"/>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6"/>
      <c r="Q36" s="1351">
        <f t="shared" si="8"/>
        <v>111</v>
      </c>
      <c r="R36" s="705" t="s">
        <v>14</v>
      </c>
      <c r="S36" s="706">
        <f t="shared" si="9"/>
        <v>100</v>
      </c>
      <c r="T36" s="705" t="s">
        <v>14</v>
      </c>
      <c r="U36" s="706">
        <f t="shared" si="10"/>
        <v>100</v>
      </c>
      <c r="V36" s="705" t="s">
        <v>14</v>
      </c>
      <c r="W36" s="706">
        <f t="shared" si="11"/>
        <v>100</v>
      </c>
      <c r="X36" s="1354"/>
      <c r="Y36" s="3726"/>
      <c r="Z36" s="1355">
        <f t="shared" si="12"/>
        <v>111</v>
      </c>
      <c r="AA36" s="1352">
        <f t="shared" si="3"/>
        <v>1</v>
      </c>
      <c r="AB36" s="1352">
        <f t="shared" si="4"/>
        <v>1</v>
      </c>
      <c r="AC36" s="1352">
        <f t="shared" si="5"/>
        <v>1</v>
      </c>
    </row>
    <row r="37" spans="1:29" ht="15">
      <c r="A37" s="430" t="s">
        <v>1841</v>
      </c>
      <c r="B37" s="1969" t="s">
        <v>3354</v>
      </c>
      <c r="C37" s="1154" t="s">
        <v>0</v>
      </c>
      <c r="D37" s="1155"/>
      <c r="E37" s="1156"/>
      <c r="F37" s="1157"/>
      <c r="G37" s="1158"/>
      <c r="H37" s="1159"/>
      <c r="I37" s="1156"/>
      <c r="J37" s="1159"/>
      <c r="K37" s="568"/>
      <c r="L37" s="2719"/>
      <c r="M37" s="2720"/>
      <c r="N37" s="2711"/>
      <c r="O37" s="2720"/>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1842</v>
      </c>
      <c r="B38" s="438" t="str">
        <f>B37</f>
        <v>元/平方米</v>
      </c>
      <c r="C38" s="1160" t="e">
        <f>R39</f>
        <v>#DIV/0!</v>
      </c>
      <c r="D38" s="2313" t="s">
        <v>2135</v>
      </c>
      <c r="E38" s="1161" t="e">
        <f>R38</f>
        <v>#DIV/0!</v>
      </c>
      <c r="F38" s="2314"/>
      <c r="G38" s="1160" t="e">
        <f>T38</f>
        <v>#DIV/0!</v>
      </c>
      <c r="H38" s="2314"/>
      <c r="I38" s="1161" t="e">
        <f>V38</f>
        <v>#DIV/0!</v>
      </c>
      <c r="J38" s="2314"/>
      <c r="K38" s="2316">
        <f>F38+H38+J38</f>
        <v>0</v>
      </c>
      <c r="L38" s="2719"/>
      <c r="M38" s="2720"/>
      <c r="N38" s="2720"/>
      <c r="O38" s="2720"/>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19"/>
      <c r="M39" s="2720"/>
      <c r="N39" s="2720"/>
      <c r="O39" s="2720"/>
      <c r="P39" s="3716" t="str">
        <f>A39</f>
        <v>估价对象XX用房的比较价值（楼面单价，元/平方米）</v>
      </c>
      <c r="Q39" s="3717"/>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1847</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3" t="str">
        <f>YEAR(C7)&amp;"-"&amp;MONTH(C7)</f>
        <v>2023-11</v>
      </c>
      <c r="D48" s="1184">
        <f>EDATE(C48,-1)</f>
        <v>45200</v>
      </c>
      <c r="E48" s="1184">
        <f t="shared" ref="E48:O48" si="13">EDATE(D48,-1)</f>
        <v>45170</v>
      </c>
      <c r="F48" s="1184">
        <f t="shared" si="13"/>
        <v>45139</v>
      </c>
      <c r="G48" s="1184">
        <f t="shared" si="13"/>
        <v>45108</v>
      </c>
      <c r="H48" s="1184">
        <f t="shared" si="13"/>
        <v>45078</v>
      </c>
      <c r="I48" s="1184">
        <f t="shared" si="13"/>
        <v>45047</v>
      </c>
      <c r="J48" s="1184">
        <f t="shared" si="13"/>
        <v>45017</v>
      </c>
      <c r="K48" s="1184">
        <f t="shared" si="13"/>
        <v>44986</v>
      </c>
      <c r="L48" s="1184">
        <f t="shared" si="13"/>
        <v>44958</v>
      </c>
      <c r="M48" s="1184">
        <f t="shared" si="13"/>
        <v>44927</v>
      </c>
      <c r="N48" s="1184">
        <f t="shared" si="13"/>
        <v>44896</v>
      </c>
      <c r="O48" s="1184">
        <f t="shared" si="13"/>
        <v>44866</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1850</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4">C80-$K26</f>
        <v>100</v>
      </c>
      <c r="E80" s="493">
        <f t="shared" si="14"/>
        <v>100</v>
      </c>
      <c r="F80" s="493">
        <f t="shared" si="14"/>
        <v>100</v>
      </c>
      <c r="G80" s="493">
        <f t="shared" si="14"/>
        <v>100</v>
      </c>
      <c r="H80" s="493">
        <f t="shared" si="14"/>
        <v>100</v>
      </c>
      <c r="I80" s="493">
        <f t="shared" si="14"/>
        <v>100</v>
      </c>
      <c r="J80" s="493">
        <f t="shared" si="14"/>
        <v>100</v>
      </c>
      <c r="K80" s="493">
        <f t="shared" si="14"/>
        <v>100</v>
      </c>
      <c r="L80" s="493">
        <f t="shared" si="14"/>
        <v>100</v>
      </c>
      <c r="M80" s="494">
        <f t="shared" si="14"/>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5">C84-$K28</f>
        <v>100</v>
      </c>
      <c r="E84" s="493">
        <f t="shared" si="15"/>
        <v>100</v>
      </c>
      <c r="F84" s="493">
        <f t="shared" si="15"/>
        <v>100</v>
      </c>
      <c r="G84" s="493">
        <f t="shared" si="15"/>
        <v>100</v>
      </c>
      <c r="H84" s="493">
        <f t="shared" si="15"/>
        <v>100</v>
      </c>
      <c r="I84" s="493">
        <f t="shared" si="15"/>
        <v>100</v>
      </c>
      <c r="J84" s="493">
        <f t="shared" si="15"/>
        <v>100</v>
      </c>
      <c r="K84" s="493">
        <f t="shared" si="15"/>
        <v>100</v>
      </c>
      <c r="L84" s="493">
        <f t="shared" si="15"/>
        <v>100</v>
      </c>
      <c r="M84" s="494">
        <f t="shared" si="15"/>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6">D87+$K$29</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17">C89+$K30</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19">C94-$K32</f>
        <v>100</v>
      </c>
      <c r="E94" s="493">
        <f t="shared" si="19"/>
        <v>100</v>
      </c>
      <c r="F94" s="493">
        <f t="shared" si="19"/>
        <v>100</v>
      </c>
      <c r="G94" s="493">
        <f t="shared" si="19"/>
        <v>100</v>
      </c>
      <c r="H94" s="493">
        <f t="shared" si="19"/>
        <v>100</v>
      </c>
      <c r="I94" s="493">
        <f t="shared" si="19"/>
        <v>100</v>
      </c>
      <c r="J94" s="493">
        <f t="shared" si="19"/>
        <v>100</v>
      </c>
      <c r="K94" s="493">
        <f t="shared" si="19"/>
        <v>100</v>
      </c>
      <c r="L94" s="493">
        <f t="shared" si="19"/>
        <v>100</v>
      </c>
      <c r="M94" s="494">
        <f t="shared" si="19"/>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2023年11月20日（评估专业人员实地查勘之日）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3334</v>
      </c>
      <c r="C1" s="1223" t="s">
        <v>1662</v>
      </c>
      <c r="D1" s="1224"/>
      <c r="E1" s="3428"/>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1765</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1766</v>
      </c>
      <c r="B4" s="356"/>
      <c r="C4" s="3734" t="s">
        <v>1767</v>
      </c>
      <c r="D4" s="3735"/>
      <c r="E4" s="3736" t="s">
        <v>1768</v>
      </c>
      <c r="F4" s="3737"/>
      <c r="G4" s="3734" t="s">
        <v>1769</v>
      </c>
      <c r="H4" s="3735"/>
      <c r="I4" s="3734" t="s">
        <v>1770</v>
      </c>
      <c r="J4" s="3735"/>
      <c r="K4" s="559" t="s">
        <v>1771</v>
      </c>
      <c r="L4" s="2710"/>
      <c r="M4" s="2711"/>
      <c r="N4" s="2711"/>
      <c r="O4" s="2711"/>
      <c r="P4" s="3738" t="s">
        <v>1772</v>
      </c>
      <c r="Q4" s="3739"/>
      <c r="R4" s="3744" t="s">
        <v>1768</v>
      </c>
      <c r="S4" s="3745"/>
      <c r="T4" s="3744" t="s">
        <v>1769</v>
      </c>
      <c r="U4" s="3745"/>
      <c r="V4" s="3750" t="s">
        <v>1770</v>
      </c>
      <c r="W4" s="3750"/>
      <c r="X4" s="1354"/>
      <c r="Y4" s="3744" t="s">
        <v>1772</v>
      </c>
      <c r="Z4" s="3745"/>
      <c r="AA4" s="3731" t="s">
        <v>1768</v>
      </c>
      <c r="AB4" s="3732" t="s">
        <v>1769</v>
      </c>
      <c r="AC4" s="3731" t="s">
        <v>1770</v>
      </c>
    </row>
    <row r="5" spans="1:29" ht="15">
      <c r="A5" s="358"/>
      <c r="B5" s="359"/>
      <c r="C5" s="3753" t="s">
        <v>1673</v>
      </c>
      <c r="D5" s="3754"/>
      <c r="E5" s="3763" t="s">
        <v>1674</v>
      </c>
      <c r="F5" s="3762"/>
      <c r="G5" s="3753" t="s">
        <v>1675</v>
      </c>
      <c r="H5" s="3754"/>
      <c r="I5" s="3753" t="s">
        <v>1676</v>
      </c>
      <c r="J5" s="3754"/>
      <c r="K5" s="559"/>
      <c r="L5" s="2710"/>
      <c r="M5" s="2711"/>
      <c r="N5" s="2711"/>
      <c r="O5" s="2711"/>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559" t="s">
        <v>1678</v>
      </c>
      <c r="L6" s="2710"/>
      <c r="M6" s="2711"/>
      <c r="N6" s="2711"/>
      <c r="O6" s="2711"/>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45250</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55" t="s">
        <v>1680</v>
      </c>
      <c r="Q7" s="3757"/>
      <c r="R7" s="701" t="s">
        <v>14</v>
      </c>
      <c r="S7" s="702">
        <f t="shared" ref="S7:S14" si="0">F7</f>
        <v>0</v>
      </c>
      <c r="T7" s="701" t="s">
        <v>14</v>
      </c>
      <c r="U7" s="702">
        <f t="shared" ref="U7:U14" si="1">H7</f>
        <v>0</v>
      </c>
      <c r="V7" s="701" t="s">
        <v>14</v>
      </c>
      <c r="W7" s="702">
        <f t="shared" ref="W7:W14"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55" t="s">
        <v>1683</v>
      </c>
      <c r="Q8" s="3756"/>
      <c r="R8" s="701" t="s">
        <v>14</v>
      </c>
      <c r="S8" s="702">
        <f t="shared" si="0"/>
        <v>100</v>
      </c>
      <c r="T8" s="701" t="s">
        <v>14</v>
      </c>
      <c r="U8" s="702">
        <f t="shared" si="1"/>
        <v>100</v>
      </c>
      <c r="V8" s="701" t="s">
        <v>14</v>
      </c>
      <c r="W8" s="702">
        <f t="shared" si="2"/>
        <v>100</v>
      </c>
      <c r="X8" s="703"/>
      <c r="Y8" s="3755" t="s">
        <v>1683</v>
      </c>
      <c r="Z8" s="375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9" t="s">
        <v>1686</v>
      </c>
      <c r="Q9" s="1342" t="str">
        <f t="shared" ref="Q9:Q14" si="6">B9</f>
        <v>用途</v>
      </c>
      <c r="R9" s="701" t="s">
        <v>14</v>
      </c>
      <c r="S9" s="702">
        <f t="shared" si="0"/>
        <v>100</v>
      </c>
      <c r="T9" s="701" t="s">
        <v>14</v>
      </c>
      <c r="U9" s="702">
        <f t="shared" si="1"/>
        <v>100</v>
      </c>
      <c r="V9" s="701" t="s">
        <v>14</v>
      </c>
      <c r="W9" s="702">
        <f t="shared" si="2"/>
        <v>100</v>
      </c>
      <c r="X9" s="703"/>
      <c r="Y9" s="3594"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9"/>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9"/>
      <c r="Q11" s="1342">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9"/>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19"/>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99.75">
      <c r="A14" s="391" t="s">
        <v>1690</v>
      </c>
      <c r="B14" s="61" t="s">
        <v>1830</v>
      </c>
      <c r="C14" s="1967" t="str">
        <f>IF(B1="工业",估价对象房地状况!G4,估价对象房地状况!C6)</f>
        <v>周边有10路、13路、21路、26路、68路等多条公交线路及地铁1号线南礼士路站，综合评价交通便捷度较好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22"/>
      <c r="Q15" s="1351"/>
      <c r="R15" s="705"/>
      <c r="S15" s="706"/>
      <c r="T15" s="705"/>
      <c r="U15" s="706"/>
      <c r="V15" s="705"/>
      <c r="W15" s="706"/>
      <c r="X15" s="1354"/>
      <c r="Y15" s="3722"/>
      <c r="Z15" s="1355"/>
      <c r="AA15" s="1352">
        <v>1</v>
      </c>
      <c r="AB15" s="1352">
        <v>1</v>
      </c>
      <c r="AC15" s="1352">
        <v>1</v>
      </c>
    </row>
    <row r="16" spans="1:29" ht="299.25">
      <c r="A16" s="379"/>
      <c r="B16" s="402" t="s">
        <v>1809</v>
      </c>
      <c r="C16" s="1898"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22"/>
      <c r="Q17" s="1351"/>
      <c r="R17" s="705"/>
      <c r="S17" s="706"/>
      <c r="T17" s="705"/>
      <c r="U17" s="706"/>
      <c r="V17" s="705"/>
      <c r="W17" s="706"/>
      <c r="X17" s="1354"/>
      <c r="Y17" s="3722"/>
      <c r="Z17" s="1355"/>
      <c r="AA17" s="1352">
        <v>1</v>
      </c>
      <c r="AB17" s="1352">
        <v>1</v>
      </c>
      <c r="AC17" s="1352">
        <v>1</v>
      </c>
    </row>
    <row r="18" spans="1:29" ht="28.5">
      <c r="A18" s="379"/>
      <c r="B18" s="1131" t="s">
        <v>1810</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D18/F18</f>
        <v>1</v>
      </c>
      <c r="AB18" s="1352">
        <f>D18/H18</f>
        <v>1</v>
      </c>
      <c r="AC18" s="1352">
        <f>D18/J18</f>
        <v>1</v>
      </c>
    </row>
    <row r="19" spans="1:29" ht="15">
      <c r="A19" s="379"/>
      <c r="B19" s="1131"/>
      <c r="C19" s="1899"/>
      <c r="D19" s="401"/>
      <c r="E19" s="1899"/>
      <c r="F19" s="404"/>
      <c r="G19" s="1899"/>
      <c r="H19" s="399"/>
      <c r="I19" s="398"/>
      <c r="J19" s="399"/>
      <c r="K19" s="1130"/>
      <c r="L19" s="2717"/>
      <c r="M19" s="2711"/>
      <c r="N19" s="2711"/>
      <c r="O19" s="2769"/>
      <c r="P19" s="3722"/>
      <c r="Q19" s="1351"/>
      <c r="R19" s="705"/>
      <c r="S19" s="706"/>
      <c r="T19" s="705"/>
      <c r="U19" s="706"/>
      <c r="V19" s="705"/>
      <c r="W19" s="706"/>
      <c r="X19" s="1354"/>
      <c r="Y19" s="3722"/>
      <c r="Z19" s="1355"/>
      <c r="AA19" s="1352">
        <v>1</v>
      </c>
      <c r="AB19" s="1352">
        <v>1</v>
      </c>
      <c r="AC19" s="1352">
        <v>1</v>
      </c>
    </row>
    <row r="20" spans="1:29" ht="114">
      <c r="A20" s="379"/>
      <c r="B20" s="402" t="s">
        <v>1831</v>
      </c>
      <c r="C20" s="1898" t="str">
        <f>IF(B1="工业",估价对象房地状况!G7,估价对象房地状况!C9)</f>
        <v>自然环境：月坛公园等自然水系景观；
人文环境：二七剧场等人文场所；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22"/>
      <c r="Q21" s="1351"/>
      <c r="R21" s="705"/>
      <c r="S21" s="706"/>
      <c r="T21" s="705"/>
      <c r="U21" s="706"/>
      <c r="V21" s="705"/>
      <c r="W21" s="706"/>
      <c r="X21" s="1354"/>
      <c r="Y21" s="3722"/>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2"/>
      <c r="Q24" s="1351">
        <f t="shared" ref="Q24:Q34" si="8">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22"/>
      <c r="Q25" s="1342">
        <f t="shared" si="8"/>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1835</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79" t="s">
        <v>1696</v>
      </c>
      <c r="Q26" s="1351" t="str">
        <f t="shared" si="8"/>
        <v>公共部分装修</v>
      </c>
      <c r="R26" s="705" t="s">
        <v>14</v>
      </c>
      <c r="S26" s="706">
        <f t="shared" ref="S26:S34" si="9">F26</f>
        <v>100</v>
      </c>
      <c r="T26" s="705" t="s">
        <v>14</v>
      </c>
      <c r="U26" s="706">
        <f t="shared" ref="U26:U34" si="10">H26</f>
        <v>100</v>
      </c>
      <c r="V26" s="705" t="s">
        <v>14</v>
      </c>
      <c r="W26" s="706">
        <f t="shared" ref="W26:W34" si="11">J26</f>
        <v>100</v>
      </c>
      <c r="X26" s="1354"/>
      <c r="Y26" s="3726" t="s">
        <v>1696</v>
      </c>
      <c r="Z26" s="1355" t="str">
        <f t="shared" ref="Z26:Z34" si="12">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6"/>
      <c r="Q27" s="707" t="str">
        <f t="shared" si="8"/>
        <v>成新率</v>
      </c>
      <c r="R27" s="708" t="s">
        <v>14</v>
      </c>
      <c r="S27" s="709" t="e">
        <f t="shared" si="9"/>
        <v>#N/A</v>
      </c>
      <c r="T27" s="708" t="s">
        <v>14</v>
      </c>
      <c r="U27" s="709" t="e">
        <f t="shared" si="10"/>
        <v>#N/A</v>
      </c>
      <c r="V27" s="708" t="s">
        <v>14</v>
      </c>
      <c r="W27" s="709" t="e">
        <f t="shared" si="11"/>
        <v>#N/A</v>
      </c>
      <c r="X27" s="710"/>
      <c r="Y27" s="3726"/>
      <c r="Z27" s="711" t="str">
        <f t="shared" si="12"/>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6"/>
      <c r="Q28" s="1351" t="str">
        <f t="shared" si="8"/>
        <v>物业等级</v>
      </c>
      <c r="R28" s="705" t="s">
        <v>14</v>
      </c>
      <c r="S28" s="706">
        <f t="shared" si="9"/>
        <v>100</v>
      </c>
      <c r="T28" s="705" t="s">
        <v>14</v>
      </c>
      <c r="U28" s="706">
        <f t="shared" si="10"/>
        <v>100</v>
      </c>
      <c r="V28" s="705" t="s">
        <v>14</v>
      </c>
      <c r="W28" s="706">
        <f t="shared" si="11"/>
        <v>100</v>
      </c>
      <c r="X28" s="1354"/>
      <c r="Y28" s="3726"/>
      <c r="Z28" s="1355" t="str">
        <f t="shared" si="12"/>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6"/>
      <c r="Q29" s="1351" t="str">
        <f t="shared" si="8"/>
        <v>有无电梯</v>
      </c>
      <c r="R29" s="705" t="s">
        <v>14</v>
      </c>
      <c r="S29" s="706">
        <f t="shared" si="9"/>
        <v>100</v>
      </c>
      <c r="T29" s="705" t="s">
        <v>14</v>
      </c>
      <c r="U29" s="706">
        <f t="shared" si="10"/>
        <v>100</v>
      </c>
      <c r="V29" s="705" t="s">
        <v>14</v>
      </c>
      <c r="W29" s="706">
        <f t="shared" si="11"/>
        <v>100</v>
      </c>
      <c r="X29" s="1354"/>
      <c r="Y29" s="3726"/>
      <c r="Z29" s="1355" t="str">
        <f t="shared" si="12"/>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6"/>
      <c r="Q30" s="1351" t="str">
        <f t="shared" si="8"/>
        <v>建筑面积</v>
      </c>
      <c r="R30" s="705" t="s">
        <v>14</v>
      </c>
      <c r="S30" s="706" t="e">
        <f t="shared" si="9"/>
        <v>#N/A</v>
      </c>
      <c r="T30" s="705" t="s">
        <v>14</v>
      </c>
      <c r="U30" s="706" t="e">
        <f t="shared" si="10"/>
        <v>#N/A</v>
      </c>
      <c r="V30" s="705" t="s">
        <v>14</v>
      </c>
      <c r="W30" s="706" t="e">
        <f t="shared" si="11"/>
        <v>#N/A</v>
      </c>
      <c r="X30" s="1354"/>
      <c r="Y30" s="3726"/>
      <c r="Z30" s="1355" t="str">
        <f t="shared" si="12"/>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6"/>
      <c r="Q31" s="1342" t="str">
        <f t="shared" si="8"/>
        <v>是否封闭</v>
      </c>
      <c r="R31" s="701" t="s">
        <v>14</v>
      </c>
      <c r="S31" s="702">
        <f t="shared" si="9"/>
        <v>100</v>
      </c>
      <c r="T31" s="701" t="s">
        <v>14</v>
      </c>
      <c r="U31" s="702">
        <f t="shared" si="10"/>
        <v>100</v>
      </c>
      <c r="V31" s="701" t="s">
        <v>14</v>
      </c>
      <c r="W31" s="702">
        <f t="shared" si="11"/>
        <v>100</v>
      </c>
      <c r="X31" s="703"/>
      <c r="Y31" s="3726"/>
      <c r="Z31" s="52" t="str">
        <f t="shared" si="12"/>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6" t="s">
        <v>1696</v>
      </c>
      <c r="Q32" s="1351">
        <f t="shared" si="8"/>
        <v>111</v>
      </c>
      <c r="R32" s="705" t="s">
        <v>14</v>
      </c>
      <c r="S32" s="706">
        <f t="shared" si="9"/>
        <v>100</v>
      </c>
      <c r="T32" s="705" t="s">
        <v>14</v>
      </c>
      <c r="U32" s="706">
        <f t="shared" si="10"/>
        <v>100</v>
      </c>
      <c r="V32" s="705" t="s">
        <v>14</v>
      </c>
      <c r="W32" s="706">
        <f t="shared" si="11"/>
        <v>100</v>
      </c>
      <c r="X32" s="1354"/>
      <c r="Y32" s="3726" t="s">
        <v>1696</v>
      </c>
      <c r="Z32" s="1355">
        <f t="shared" si="12"/>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6"/>
      <c r="Q33" s="1351">
        <f t="shared" si="8"/>
        <v>111</v>
      </c>
      <c r="R33" s="705" t="s">
        <v>14</v>
      </c>
      <c r="S33" s="706">
        <f t="shared" si="9"/>
        <v>100</v>
      </c>
      <c r="T33" s="705" t="s">
        <v>14</v>
      </c>
      <c r="U33" s="706">
        <f t="shared" si="10"/>
        <v>100</v>
      </c>
      <c r="V33" s="705" t="s">
        <v>14</v>
      </c>
      <c r="W33" s="706">
        <f t="shared" si="11"/>
        <v>100</v>
      </c>
      <c r="X33" s="1354"/>
      <c r="Y33" s="3726"/>
      <c r="Z33" s="1355">
        <f t="shared" si="12"/>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26"/>
      <c r="Q34" s="1351">
        <f t="shared" si="8"/>
        <v>111</v>
      </c>
      <c r="R34" s="705" t="s">
        <v>14</v>
      </c>
      <c r="S34" s="706">
        <f t="shared" si="9"/>
        <v>100</v>
      </c>
      <c r="T34" s="705" t="s">
        <v>14</v>
      </c>
      <c r="U34" s="706">
        <f t="shared" si="10"/>
        <v>100</v>
      </c>
      <c r="V34" s="705" t="s">
        <v>14</v>
      </c>
      <c r="W34" s="706">
        <f t="shared" si="11"/>
        <v>100</v>
      </c>
      <c r="X34" s="1354"/>
      <c r="Y34" s="3726"/>
      <c r="Z34" s="1355">
        <f t="shared" si="12"/>
        <v>111</v>
      </c>
      <c r="AA34" s="1352">
        <f t="shared" si="3"/>
        <v>1</v>
      </c>
      <c r="AB34" s="1352">
        <f t="shared" si="4"/>
        <v>1</v>
      </c>
      <c r="AC34" s="1352">
        <f t="shared" si="5"/>
        <v>1</v>
      </c>
    </row>
    <row r="35" spans="1:30" ht="15">
      <c r="A35" s="430" t="s">
        <v>1706</v>
      </c>
      <c r="B35" s="431"/>
      <c r="C35" s="1154" t="s">
        <v>0</v>
      </c>
      <c r="D35" s="1155"/>
      <c r="E35" s="1156"/>
      <c r="F35" s="1157"/>
      <c r="G35" s="1158"/>
      <c r="H35" s="1159"/>
      <c r="I35" s="1156"/>
      <c r="J35" s="1159"/>
      <c r="K35" s="714"/>
      <c r="L35" s="2719"/>
      <c r="M35" s="2720"/>
      <c r="N35" s="2711"/>
      <c r="O35" s="2720"/>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1790</v>
      </c>
      <c r="B36" s="438"/>
      <c r="C36" s="1160" t="e">
        <f>R37</f>
        <v>#DIV/0!</v>
      </c>
      <c r="D36" s="2313" t="s">
        <v>2135</v>
      </c>
      <c r="E36" s="1161" t="e">
        <f>R36</f>
        <v>#DIV/0!</v>
      </c>
      <c r="F36" s="2314"/>
      <c r="G36" s="1160" t="e">
        <f>T36</f>
        <v>#DIV/0!</v>
      </c>
      <c r="H36" s="2314"/>
      <c r="I36" s="1161" t="e">
        <f>V36</f>
        <v>#DIV/0!</v>
      </c>
      <c r="J36" s="2314"/>
      <c r="K36" s="2316">
        <f>F36+H36+J36</f>
        <v>0</v>
      </c>
      <c r="L36" s="2719"/>
      <c r="M36" s="2720"/>
      <c r="N36" s="2711"/>
      <c r="O36" s="2720"/>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19"/>
      <c r="M37" s="2720"/>
      <c r="N37" s="2720"/>
      <c r="O37" s="2720"/>
      <c r="P37" s="3716" t="str">
        <f>A37</f>
        <v>估价对象XX用房的比较价值（楼面单价，元/平方米）</v>
      </c>
      <c r="Q37" s="3717"/>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1795</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2023-11</v>
      </c>
      <c r="D46" s="1184">
        <f>EDATE(C46,-1)</f>
        <v>45200</v>
      </c>
      <c r="E46" s="1184">
        <f t="shared" ref="E46:O46" si="13">EDATE(D46,-1)</f>
        <v>45170</v>
      </c>
      <c r="F46" s="1184">
        <f t="shared" si="13"/>
        <v>45139</v>
      </c>
      <c r="G46" s="1184">
        <f t="shared" si="13"/>
        <v>45108</v>
      </c>
      <c r="H46" s="1184">
        <f t="shared" si="13"/>
        <v>45078</v>
      </c>
      <c r="I46" s="1184">
        <f t="shared" si="13"/>
        <v>45047</v>
      </c>
      <c r="J46" s="1184">
        <f t="shared" si="13"/>
        <v>45017</v>
      </c>
      <c r="K46" s="1184">
        <f t="shared" si="13"/>
        <v>44986</v>
      </c>
      <c r="L46" s="1184">
        <f t="shared" si="13"/>
        <v>44958</v>
      </c>
      <c r="M46" s="1184">
        <f t="shared" si="13"/>
        <v>44927</v>
      </c>
      <c r="N46" s="1184">
        <f t="shared" si="13"/>
        <v>44896</v>
      </c>
      <c r="O46" s="1184">
        <f t="shared" si="13"/>
        <v>44866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1866</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1766</v>
      </c>
      <c r="B4" s="356"/>
      <c r="C4" s="3734" t="s">
        <v>1767</v>
      </c>
      <c r="D4" s="3735"/>
      <c r="E4" s="3736" t="s">
        <v>1768</v>
      </c>
      <c r="F4" s="3737"/>
      <c r="G4" s="3734" t="s">
        <v>1769</v>
      </c>
      <c r="H4" s="3735"/>
      <c r="I4" s="3734" t="s">
        <v>1770</v>
      </c>
      <c r="J4" s="3735"/>
      <c r="K4" s="559" t="s">
        <v>1771</v>
      </c>
      <c r="L4" s="2710"/>
      <c r="M4" s="2711"/>
      <c r="N4" s="2711"/>
      <c r="O4" s="2711"/>
      <c r="P4" s="3738" t="s">
        <v>1772</v>
      </c>
      <c r="Q4" s="3739"/>
      <c r="R4" s="3744" t="s">
        <v>1768</v>
      </c>
      <c r="S4" s="3745"/>
      <c r="T4" s="3744" t="s">
        <v>1769</v>
      </c>
      <c r="U4" s="3745"/>
      <c r="V4" s="3750" t="s">
        <v>1770</v>
      </c>
      <c r="W4" s="3750"/>
      <c r="X4" s="1354"/>
      <c r="Y4" s="3744" t="s">
        <v>1772</v>
      </c>
      <c r="Z4" s="3745"/>
      <c r="AA4" s="3731" t="s">
        <v>1768</v>
      </c>
      <c r="AB4" s="3732" t="s">
        <v>1769</v>
      </c>
      <c r="AC4" s="3731" t="s">
        <v>1770</v>
      </c>
    </row>
    <row r="5" spans="1:30" ht="15">
      <c r="A5" s="358"/>
      <c r="B5" s="359"/>
      <c r="C5" s="3753" t="s">
        <v>1673</v>
      </c>
      <c r="D5" s="3754"/>
      <c r="E5" s="3763" t="s">
        <v>1674</v>
      </c>
      <c r="F5" s="3762"/>
      <c r="G5" s="3753" t="s">
        <v>1675</v>
      </c>
      <c r="H5" s="3754"/>
      <c r="I5" s="3753" t="s">
        <v>1676</v>
      </c>
      <c r="J5" s="3754"/>
      <c r="K5" s="559"/>
      <c r="L5" s="2710"/>
      <c r="M5" s="2711"/>
      <c r="N5" s="2711"/>
      <c r="O5" s="2711"/>
      <c r="P5" s="3740"/>
      <c r="Q5" s="3741"/>
      <c r="R5" s="3746"/>
      <c r="S5" s="3747"/>
      <c r="T5" s="3746"/>
      <c r="U5" s="3747"/>
      <c r="V5" s="3750"/>
      <c r="W5" s="3750"/>
      <c r="X5" s="1354"/>
      <c r="Y5" s="3746"/>
      <c r="Z5" s="3747"/>
      <c r="AA5" s="3732"/>
      <c r="AB5" s="3732"/>
      <c r="AC5" s="3732"/>
    </row>
    <row r="6" spans="1:30" ht="15.75" thickBot="1">
      <c r="A6" s="360"/>
      <c r="B6" s="361"/>
      <c r="C6" s="3751" t="s">
        <v>1677</v>
      </c>
      <c r="D6" s="3752"/>
      <c r="E6" s="3759" t="s">
        <v>1677</v>
      </c>
      <c r="F6" s="3760"/>
      <c r="G6" s="3751" t="s">
        <v>1677</v>
      </c>
      <c r="H6" s="3752"/>
      <c r="I6" s="3751" t="s">
        <v>1677</v>
      </c>
      <c r="J6" s="3752"/>
      <c r="K6" s="559" t="s">
        <v>1678</v>
      </c>
      <c r="L6" s="2710"/>
      <c r="M6" s="2711"/>
      <c r="N6" s="2711"/>
      <c r="O6" s="2711"/>
      <c r="P6" s="3742"/>
      <c r="Q6" s="3743"/>
      <c r="R6" s="3746"/>
      <c r="S6" s="3747"/>
      <c r="T6" s="3748"/>
      <c r="U6" s="3749"/>
      <c r="V6" s="3750"/>
      <c r="W6" s="3750"/>
      <c r="X6" s="1354"/>
      <c r="Y6" s="3748"/>
      <c r="Z6" s="3749"/>
      <c r="AA6" s="3733"/>
      <c r="AB6" s="3733"/>
      <c r="AC6" s="3733"/>
    </row>
    <row r="7" spans="1:30" s="108" customFormat="1" ht="15.75" thickBot="1">
      <c r="A7" s="362" t="s">
        <v>1679</v>
      </c>
      <c r="B7" s="363"/>
      <c r="C7" s="364">
        <f>'数据-取费表'!B2</f>
        <v>45250</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55" t="s">
        <v>1683</v>
      </c>
      <c r="Q8" s="3756"/>
      <c r="R8" s="701" t="s">
        <v>14</v>
      </c>
      <c r="S8" s="702">
        <f t="shared" si="0"/>
        <v>0</v>
      </c>
      <c r="T8" s="701" t="s">
        <v>14</v>
      </c>
      <c r="U8" s="702">
        <f t="shared" si="1"/>
        <v>0</v>
      </c>
      <c r="V8" s="701" t="s">
        <v>14</v>
      </c>
      <c r="W8" s="702">
        <f t="shared" si="2"/>
        <v>0</v>
      </c>
      <c r="X8" s="703"/>
      <c r="Y8" s="3755" t="s">
        <v>1683</v>
      </c>
      <c r="Z8" s="3756"/>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19"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4"/>
      <c r="M10" s="2715"/>
      <c r="N10" s="2715"/>
      <c r="O10" s="2768"/>
      <c r="P10" s="3719"/>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9"/>
      <c r="Q11" s="1342"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30" s="108" customFormat="1" ht="15">
      <c r="A12" s="382"/>
      <c r="B12" s="1891"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9"/>
      <c r="Q12" s="1342" t="str">
        <f t="shared" si="6"/>
        <v>配建</v>
      </c>
      <c r="R12" s="701" t="s">
        <v>14</v>
      </c>
      <c r="S12" s="702">
        <f t="shared" si="0"/>
        <v>100</v>
      </c>
      <c r="T12" s="701" t="s">
        <v>14</v>
      </c>
      <c r="U12" s="702">
        <f t="shared" si="1"/>
        <v>100</v>
      </c>
      <c r="V12" s="701" t="s">
        <v>14</v>
      </c>
      <c r="W12" s="702">
        <f t="shared" si="2"/>
        <v>100</v>
      </c>
      <c r="X12" s="703"/>
      <c r="Y12" s="359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9"/>
      <c r="Q13" s="1342">
        <f t="shared" si="6"/>
        <v>111</v>
      </c>
      <c r="R13" s="701" t="s">
        <v>14</v>
      </c>
      <c r="S13" s="702">
        <f t="shared" si="0"/>
        <v>100</v>
      </c>
      <c r="T13" s="701" t="s">
        <v>14</v>
      </c>
      <c r="U13" s="702">
        <f t="shared" si="1"/>
        <v>100</v>
      </c>
      <c r="V13" s="701" t="s">
        <v>14</v>
      </c>
      <c r="W13" s="702">
        <f t="shared" si="2"/>
        <v>100</v>
      </c>
      <c r="X13" s="703"/>
      <c r="Y13" s="359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9"/>
      <c r="Q14" s="1342">
        <f t="shared" si="6"/>
        <v>111</v>
      </c>
      <c r="R14" s="701" t="s">
        <v>14</v>
      </c>
      <c r="S14" s="702">
        <f t="shared" si="0"/>
        <v>100</v>
      </c>
      <c r="T14" s="701" t="s">
        <v>14</v>
      </c>
      <c r="U14" s="702">
        <f t="shared" si="1"/>
        <v>100</v>
      </c>
      <c r="V14" s="701" t="s">
        <v>14</v>
      </c>
      <c r="W14" s="702">
        <f t="shared" si="2"/>
        <v>100</v>
      </c>
      <c r="X14" s="703"/>
      <c r="Y14" s="3594"/>
      <c r="Z14" s="52">
        <f t="shared" si="7"/>
        <v>111</v>
      </c>
      <c r="AA14" s="704">
        <f>D14/F14</f>
        <v>1</v>
      </c>
      <c r="AB14" s="704">
        <f>D14/H14</f>
        <v>1</v>
      </c>
      <c r="AC14" s="704">
        <f>D14/J14</f>
        <v>1</v>
      </c>
    </row>
    <row r="15" spans="1:30" ht="99.75">
      <c r="A15" s="391" t="s">
        <v>1690</v>
      </c>
      <c r="B15" s="61" t="s">
        <v>1257</v>
      </c>
      <c r="C15" s="1894" t="str">
        <f>估价对象房地状况!C15</f>
        <v>周边有三里河一区5号院、月坛西街乙2号院、月坛北小街小区等住宅小区，居住社区成熟度较好。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22"/>
      <c r="Q16" s="1351"/>
      <c r="R16" s="705"/>
      <c r="S16" s="706"/>
      <c r="T16" s="705"/>
      <c r="U16" s="706"/>
      <c r="V16" s="705"/>
      <c r="W16" s="706"/>
      <c r="X16" s="1354"/>
      <c r="Y16" s="3722"/>
      <c r="Z16" s="1355"/>
      <c r="AA16" s="1352">
        <v>1</v>
      </c>
      <c r="AB16" s="1352">
        <v>1</v>
      </c>
      <c r="AC16" s="1352">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22"/>
      <c r="Q18" s="1351"/>
      <c r="R18" s="705"/>
      <c r="S18" s="706"/>
      <c r="T18" s="705"/>
      <c r="U18" s="706"/>
      <c r="V18" s="705"/>
      <c r="W18" s="706"/>
      <c r="X18" s="1354"/>
      <c r="Y18" s="3722"/>
      <c r="Z18" s="1355"/>
      <c r="AA18" s="1352">
        <v>1</v>
      </c>
      <c r="AB18" s="1352">
        <v>1</v>
      </c>
      <c r="AC18" s="1352">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2"/>
      <c r="Q19" s="1351" t="str">
        <f>B19</f>
        <v>办公集聚程度</v>
      </c>
      <c r="R19" s="705" t="s">
        <v>14</v>
      </c>
      <c r="S19" s="706">
        <f>F19</f>
        <v>100</v>
      </c>
      <c r="T19" s="705" t="s">
        <v>14</v>
      </c>
      <c r="U19" s="706">
        <f>H19</f>
        <v>100</v>
      </c>
      <c r="V19" s="705" t="s">
        <v>14</v>
      </c>
      <c r="W19" s="706">
        <f>J19</f>
        <v>100</v>
      </c>
      <c r="X19" s="1354"/>
      <c r="Y19" s="3722"/>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22"/>
      <c r="Q20" s="1351"/>
      <c r="R20" s="705"/>
      <c r="S20" s="706"/>
      <c r="T20" s="705"/>
      <c r="U20" s="706"/>
      <c r="V20" s="705"/>
      <c r="W20" s="706"/>
      <c r="X20" s="1354"/>
      <c r="Y20" s="3722"/>
      <c r="Z20" s="1355"/>
      <c r="AA20" s="1352">
        <v>1</v>
      </c>
      <c r="AB20" s="1352">
        <v>1</v>
      </c>
      <c r="AC20" s="1352">
        <v>1</v>
      </c>
    </row>
    <row r="21" spans="1:29" ht="99.75">
      <c r="A21" s="379"/>
      <c r="B21" s="402" t="s">
        <v>1830</v>
      </c>
      <c r="C21" s="1898" t="str">
        <f>估价对象房地状况!C18</f>
        <v>周边有10路、13路、21路、26路、68路等多条公交线路及地铁1号线南礼士路站，综合评价交通便捷度较好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22"/>
      <c r="Q21" s="1351" t="str">
        <f>B21</f>
        <v>交通便捷度</v>
      </c>
      <c r="R21" s="705" t="s">
        <v>14</v>
      </c>
      <c r="S21" s="706">
        <f>F21</f>
        <v>100</v>
      </c>
      <c r="T21" s="705" t="s">
        <v>14</v>
      </c>
      <c r="U21" s="706">
        <f>H21</f>
        <v>100</v>
      </c>
      <c r="V21" s="705" t="s">
        <v>14</v>
      </c>
      <c r="W21" s="706">
        <f>J21</f>
        <v>100</v>
      </c>
      <c r="X21" s="1354"/>
      <c r="Y21" s="3722"/>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22"/>
      <c r="Q22" s="1351"/>
      <c r="R22" s="705"/>
      <c r="S22" s="706"/>
      <c r="T22" s="705"/>
      <c r="U22" s="706"/>
      <c r="V22" s="705"/>
      <c r="W22" s="706"/>
      <c r="X22" s="1354"/>
      <c r="Y22" s="3722"/>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22"/>
      <c r="Q24" s="1351"/>
      <c r="R24" s="705"/>
      <c r="S24" s="706"/>
      <c r="T24" s="705"/>
      <c r="U24" s="706"/>
      <c r="V24" s="705"/>
      <c r="W24" s="706"/>
      <c r="X24" s="1354"/>
      <c r="Y24" s="3722"/>
      <c r="Z24" s="1355"/>
      <c r="AA24" s="1352"/>
      <c r="AB24" s="1352"/>
      <c r="AC24" s="1352"/>
    </row>
    <row r="25" spans="1:29" ht="114">
      <c r="A25" s="358"/>
      <c r="B25" s="1131" t="s">
        <v>1869</v>
      </c>
      <c r="C25" s="1951" t="str">
        <f>估价对象房地状况!C20</f>
        <v>自然环境：月坛公园等自然水系景观；
人文环境：二七剧场等人文场所；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22"/>
      <c r="Q26" s="1351"/>
      <c r="R26" s="705"/>
      <c r="S26" s="706"/>
      <c r="T26" s="705"/>
      <c r="U26" s="706"/>
      <c r="V26" s="705"/>
      <c r="W26" s="706"/>
      <c r="X26" s="1354"/>
      <c r="Y26" s="3722"/>
      <c r="Z26" s="1355"/>
      <c r="AA26" s="1352">
        <v>1</v>
      </c>
      <c r="AB26" s="1352">
        <v>1</v>
      </c>
      <c r="AC26" s="1352">
        <v>1</v>
      </c>
    </row>
    <row r="27" spans="1:29" s="108" customFormat="1" ht="299.25">
      <c r="A27" s="597"/>
      <c r="B27" s="1131" t="s">
        <v>1775</v>
      </c>
      <c r="C27" s="1898"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22"/>
      <c r="Q28" s="1342"/>
      <c r="R28" s="701"/>
      <c r="S28" s="702"/>
      <c r="T28" s="701"/>
      <c r="U28" s="702"/>
      <c r="V28" s="701"/>
      <c r="W28" s="702"/>
      <c r="X28" s="703"/>
      <c r="Y28" s="3722"/>
      <c r="Z28" s="52"/>
      <c r="AA28" s="1352">
        <v>1</v>
      </c>
      <c r="AB28" s="1352">
        <v>1</v>
      </c>
      <c r="AC28" s="1352">
        <v>1</v>
      </c>
    </row>
    <row r="29" spans="1:29" s="108" customFormat="1" ht="28.5">
      <c r="A29" s="597"/>
      <c r="B29" s="1131" t="s">
        <v>1776</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22"/>
      <c r="Q29" s="1342" t="str">
        <f>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22"/>
      <c r="Q30" s="1342"/>
      <c r="R30" s="701"/>
      <c r="S30" s="702"/>
      <c r="T30" s="701"/>
      <c r="U30" s="702"/>
      <c r="V30" s="701"/>
      <c r="W30" s="702"/>
      <c r="X30" s="703"/>
      <c r="Y30" s="3722"/>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2"/>
      <c r="Q31" s="1351" t="str">
        <f t="shared" si="8"/>
        <v>临街状况</v>
      </c>
      <c r="R31" s="705" t="s">
        <v>14</v>
      </c>
      <c r="S31" s="706">
        <f t="shared" ref="S31:S45" si="9">F31</f>
        <v>100</v>
      </c>
      <c r="T31" s="705" t="s">
        <v>14</v>
      </c>
      <c r="U31" s="706">
        <f t="shared" ref="U31:U45" si="10">H31</f>
        <v>100</v>
      </c>
      <c r="V31" s="705" t="s">
        <v>14</v>
      </c>
      <c r="W31" s="706">
        <f t="shared" ref="W31:W45" si="11">J31</f>
        <v>100</v>
      </c>
      <c r="X31" s="1354"/>
      <c r="Y31" s="3722"/>
      <c r="Z31" s="1355" t="str">
        <f t="shared" ref="Z31:Z45" si="12">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2"/>
      <c r="Q32" s="1351" t="str">
        <f t="shared" si="8"/>
        <v>毗邻道路的类型与等级</v>
      </c>
      <c r="R32" s="705" t="s">
        <v>14</v>
      </c>
      <c r="S32" s="706">
        <f t="shared" si="9"/>
        <v>100</v>
      </c>
      <c r="T32" s="705" t="s">
        <v>14</v>
      </c>
      <c r="U32" s="706">
        <f t="shared" si="10"/>
        <v>100</v>
      </c>
      <c r="V32" s="705" t="s">
        <v>14</v>
      </c>
      <c r="W32" s="706">
        <f t="shared" si="11"/>
        <v>100</v>
      </c>
      <c r="X32" s="1354"/>
      <c r="Y32" s="3722"/>
      <c r="Z32" s="1355" t="str">
        <f t="shared" si="12"/>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22"/>
      <c r="Q33" s="1351"/>
      <c r="R33" s="705"/>
      <c r="S33" s="706"/>
      <c r="T33" s="705"/>
      <c r="U33" s="706"/>
      <c r="V33" s="705"/>
      <c r="W33" s="706"/>
      <c r="X33" s="1354"/>
      <c r="Y33" s="3722"/>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22"/>
      <c r="Q34" s="1351" t="str">
        <f t="shared" si="8"/>
        <v>土地级别</v>
      </c>
      <c r="R34" s="705" t="s">
        <v>14</v>
      </c>
      <c r="S34" s="706">
        <f t="shared" si="9"/>
        <v>100</v>
      </c>
      <c r="T34" s="705" t="s">
        <v>14</v>
      </c>
      <c r="U34" s="706">
        <f t="shared" si="10"/>
        <v>100</v>
      </c>
      <c r="V34" s="705" t="s">
        <v>14</v>
      </c>
      <c r="W34" s="706">
        <f t="shared" si="11"/>
        <v>100</v>
      </c>
      <c r="X34" s="1354"/>
      <c r="Y34" s="3722"/>
      <c r="Z34" s="1355" t="str">
        <f t="shared" si="12"/>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2"/>
      <c r="Q35" s="1351">
        <f t="shared" si="8"/>
        <v>111</v>
      </c>
      <c r="R35" s="705" t="s">
        <v>14</v>
      </c>
      <c r="S35" s="706">
        <f t="shared" si="9"/>
        <v>100</v>
      </c>
      <c r="T35" s="705" t="s">
        <v>14</v>
      </c>
      <c r="U35" s="706">
        <f t="shared" si="10"/>
        <v>100</v>
      </c>
      <c r="V35" s="705" t="s">
        <v>14</v>
      </c>
      <c r="W35" s="706">
        <f t="shared" si="11"/>
        <v>100</v>
      </c>
      <c r="X35" s="1354"/>
      <c r="Y35" s="3722"/>
      <c r="Z35" s="1355">
        <f t="shared" si="12"/>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9" t="s">
        <v>1696</v>
      </c>
      <c r="Q36" s="1351">
        <f t="shared" si="8"/>
        <v>111</v>
      </c>
      <c r="R36" s="705" t="s">
        <v>14</v>
      </c>
      <c r="S36" s="706">
        <f t="shared" si="9"/>
        <v>100</v>
      </c>
      <c r="T36" s="705" t="s">
        <v>14</v>
      </c>
      <c r="U36" s="706">
        <f t="shared" si="10"/>
        <v>100</v>
      </c>
      <c r="V36" s="705" t="s">
        <v>14</v>
      </c>
      <c r="W36" s="706">
        <f t="shared" si="11"/>
        <v>100</v>
      </c>
      <c r="X36" s="1354"/>
      <c r="Y36" s="3726" t="s">
        <v>1696</v>
      </c>
      <c r="Z36" s="1355">
        <f t="shared" si="12"/>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6"/>
      <c r="Q37" s="1351">
        <f t="shared" si="8"/>
        <v>111</v>
      </c>
      <c r="R37" s="708" t="s">
        <v>14</v>
      </c>
      <c r="S37" s="709">
        <f t="shared" si="9"/>
        <v>100</v>
      </c>
      <c r="T37" s="708" t="s">
        <v>14</v>
      </c>
      <c r="U37" s="709">
        <f t="shared" si="10"/>
        <v>100</v>
      </c>
      <c r="V37" s="708" t="s">
        <v>14</v>
      </c>
      <c r="W37" s="709">
        <f t="shared" si="11"/>
        <v>100</v>
      </c>
      <c r="X37" s="710"/>
      <c r="Y37" s="3726"/>
      <c r="Z37" s="711">
        <f t="shared" si="12"/>
        <v>111</v>
      </c>
      <c r="AA37" s="1352">
        <f t="shared" si="3"/>
        <v>1</v>
      </c>
      <c r="AB37" s="1352">
        <f t="shared" si="4"/>
        <v>1</v>
      </c>
      <c r="AC37" s="1352">
        <f t="shared" si="5"/>
        <v>1</v>
      </c>
    </row>
    <row r="38" spans="1:29" ht="15">
      <c r="A38" s="423" t="s">
        <v>1694</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26"/>
      <c r="Q38" s="1351" t="str">
        <f>B38</f>
        <v>宗地面积</v>
      </c>
      <c r="R38" s="705" t="s">
        <v>14</v>
      </c>
      <c r="S38" s="706" t="e">
        <f t="shared" si="9"/>
        <v>#N/A</v>
      </c>
      <c r="T38" s="705" t="s">
        <v>14</v>
      </c>
      <c r="U38" s="706" t="e">
        <f t="shared" si="10"/>
        <v>#N/A</v>
      </c>
      <c r="V38" s="705" t="s">
        <v>14</v>
      </c>
      <c r="W38" s="706" t="e">
        <f t="shared" si="11"/>
        <v>#N/A</v>
      </c>
      <c r="X38" s="1354"/>
      <c r="Y38" s="3726"/>
      <c r="Z38" s="1355" t="str">
        <f t="shared" si="12"/>
        <v>宗地面积</v>
      </c>
      <c r="AA38" s="1352" t="e">
        <f t="shared" si="3"/>
        <v>#N/A</v>
      </c>
      <c r="AB38" s="1352" t="e">
        <f t="shared" si="4"/>
        <v>#N/A</v>
      </c>
      <c r="AC38" s="1352" t="e">
        <f t="shared" si="5"/>
        <v>#N/A</v>
      </c>
    </row>
    <row r="39" spans="1:29" ht="15">
      <c r="A39" s="423"/>
      <c r="B39" s="375" t="s">
        <v>1872</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26"/>
      <c r="Q39" s="1351" t="str">
        <f t="shared" ref="Q39:Q45" si="13">B39</f>
        <v>宗地形状</v>
      </c>
      <c r="R39" s="705" t="s">
        <v>14</v>
      </c>
      <c r="S39" s="706">
        <f t="shared" si="9"/>
        <v>100</v>
      </c>
      <c r="T39" s="705" t="s">
        <v>14</v>
      </c>
      <c r="U39" s="706">
        <f t="shared" si="10"/>
        <v>100</v>
      </c>
      <c r="V39" s="705" t="s">
        <v>14</v>
      </c>
      <c r="W39" s="706">
        <f t="shared" si="11"/>
        <v>100</v>
      </c>
      <c r="X39" s="1354"/>
      <c r="Y39" s="3726"/>
      <c r="Z39" s="1355" t="str">
        <f t="shared" si="12"/>
        <v>宗地形状</v>
      </c>
      <c r="AA39" s="1352">
        <f t="shared" si="3"/>
        <v>1</v>
      </c>
      <c r="AB39" s="1352">
        <f t="shared" si="4"/>
        <v>1</v>
      </c>
      <c r="AC39" s="1352">
        <f t="shared" si="5"/>
        <v>1</v>
      </c>
    </row>
    <row r="40" spans="1:29" ht="15">
      <c r="A40" s="423"/>
      <c r="B40" s="375" t="s">
        <v>1873</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26"/>
      <c r="Q40" s="1351" t="str">
        <f t="shared" si="13"/>
        <v>临街宽度及深度</v>
      </c>
      <c r="R40" s="705" t="s">
        <v>14</v>
      </c>
      <c r="S40" s="706">
        <f t="shared" si="9"/>
        <v>100</v>
      </c>
      <c r="T40" s="705" t="s">
        <v>14</v>
      </c>
      <c r="U40" s="706">
        <f t="shared" si="10"/>
        <v>100</v>
      </c>
      <c r="V40" s="705" t="s">
        <v>14</v>
      </c>
      <c r="W40" s="706">
        <f t="shared" si="11"/>
        <v>100</v>
      </c>
      <c r="X40" s="1354"/>
      <c r="Y40" s="3726"/>
      <c r="Z40" s="1355" t="str">
        <f t="shared" si="12"/>
        <v>临街宽度及深度</v>
      </c>
      <c r="AA40" s="1352">
        <f t="shared" si="3"/>
        <v>1</v>
      </c>
      <c r="AB40" s="1352">
        <f t="shared" si="4"/>
        <v>1</v>
      </c>
      <c r="AC40" s="1352">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26"/>
      <c r="Q41" s="1351" t="str">
        <f t="shared" si="13"/>
        <v>宗地开发程度</v>
      </c>
      <c r="R41" s="701" t="s">
        <v>14</v>
      </c>
      <c r="S41" s="702">
        <f t="shared" si="9"/>
        <v>100</v>
      </c>
      <c r="T41" s="701" t="s">
        <v>14</v>
      </c>
      <c r="U41" s="702">
        <f t="shared" si="10"/>
        <v>100</v>
      </c>
      <c r="V41" s="701" t="s">
        <v>14</v>
      </c>
      <c r="W41" s="702">
        <f t="shared" si="11"/>
        <v>100</v>
      </c>
      <c r="X41" s="703"/>
      <c r="Y41" s="3726"/>
      <c r="Z41" s="52" t="str">
        <f t="shared" si="12"/>
        <v>宗地开发程度</v>
      </c>
      <c r="AA41" s="704">
        <f t="shared" si="3"/>
        <v>1</v>
      </c>
      <c r="AB41" s="704">
        <f t="shared" si="4"/>
        <v>1</v>
      </c>
      <c r="AC41" s="704">
        <f t="shared" si="5"/>
        <v>1</v>
      </c>
    </row>
    <row r="42" spans="1:29" ht="15">
      <c r="A42" s="423"/>
      <c r="B42" s="375" t="s">
        <v>1875</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26" t="s">
        <v>1696</v>
      </c>
      <c r="Q42" s="1351" t="str">
        <f t="shared" si="13"/>
        <v>工程地质条件</v>
      </c>
      <c r="R42" s="705" t="s">
        <v>14</v>
      </c>
      <c r="S42" s="706">
        <f t="shared" si="9"/>
        <v>100</v>
      </c>
      <c r="T42" s="705" t="s">
        <v>14</v>
      </c>
      <c r="U42" s="706">
        <f t="shared" si="10"/>
        <v>100</v>
      </c>
      <c r="V42" s="705" t="s">
        <v>14</v>
      </c>
      <c r="W42" s="706">
        <f t="shared" si="11"/>
        <v>100</v>
      </c>
      <c r="X42" s="1354"/>
      <c r="Y42" s="3726" t="s">
        <v>1696</v>
      </c>
      <c r="Z42" s="1355" t="str">
        <f t="shared" si="12"/>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6"/>
      <c r="Q43" s="1351">
        <f t="shared" si="13"/>
        <v>111</v>
      </c>
      <c r="R43" s="705" t="s">
        <v>14</v>
      </c>
      <c r="S43" s="706">
        <f t="shared" si="9"/>
        <v>100</v>
      </c>
      <c r="T43" s="705" t="s">
        <v>14</v>
      </c>
      <c r="U43" s="706">
        <f t="shared" si="10"/>
        <v>100</v>
      </c>
      <c r="V43" s="705" t="s">
        <v>14</v>
      </c>
      <c r="W43" s="706">
        <f t="shared" si="11"/>
        <v>100</v>
      </c>
      <c r="X43" s="1354"/>
      <c r="Y43" s="3726"/>
      <c r="Z43" s="1355">
        <f t="shared" si="12"/>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6"/>
      <c r="Q44" s="1351">
        <f t="shared" si="13"/>
        <v>111</v>
      </c>
      <c r="R44" s="705" t="s">
        <v>14</v>
      </c>
      <c r="S44" s="706">
        <f t="shared" si="9"/>
        <v>100</v>
      </c>
      <c r="T44" s="705" t="s">
        <v>14</v>
      </c>
      <c r="U44" s="706">
        <f t="shared" si="10"/>
        <v>100</v>
      </c>
      <c r="V44" s="705" t="s">
        <v>14</v>
      </c>
      <c r="W44" s="706">
        <f t="shared" si="11"/>
        <v>100</v>
      </c>
      <c r="X44" s="1354"/>
      <c r="Y44" s="3726"/>
      <c r="Z44" s="1355">
        <f t="shared" si="12"/>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6"/>
      <c r="Q45" s="1351">
        <f t="shared" si="13"/>
        <v>111</v>
      </c>
      <c r="R45" s="708" t="s">
        <v>14</v>
      </c>
      <c r="S45" s="709">
        <f t="shared" si="9"/>
        <v>100</v>
      </c>
      <c r="T45" s="708" t="s">
        <v>14</v>
      </c>
      <c r="U45" s="709">
        <f t="shared" si="10"/>
        <v>100</v>
      </c>
      <c r="V45" s="708" t="s">
        <v>14</v>
      </c>
      <c r="W45" s="709">
        <f t="shared" si="11"/>
        <v>100</v>
      </c>
      <c r="X45" s="710"/>
      <c r="Y45" s="3726"/>
      <c r="Z45" s="711">
        <f t="shared" si="12"/>
        <v>111</v>
      </c>
      <c r="AA45" s="1352">
        <f t="shared" si="3"/>
        <v>1</v>
      </c>
      <c r="AB45" s="1352">
        <f t="shared" si="4"/>
        <v>1</v>
      </c>
      <c r="AC45" s="1352">
        <f t="shared" si="5"/>
        <v>1</v>
      </c>
    </row>
    <row r="46" spans="1:29" ht="15">
      <c r="A46" s="430" t="s">
        <v>1841</v>
      </c>
      <c r="B46" s="1978" t="s">
        <v>1876</v>
      </c>
      <c r="C46" s="630" t="s">
        <v>0</v>
      </c>
      <c r="D46" s="432"/>
      <c r="E46" s="433"/>
      <c r="F46" s="434"/>
      <c r="G46" s="435"/>
      <c r="H46" s="436"/>
      <c r="I46" s="433"/>
      <c r="J46" s="436"/>
      <c r="K46" s="714"/>
      <c r="L46" s="2719"/>
      <c r="M46" s="2720"/>
      <c r="N46" s="2711"/>
      <c r="O46" s="2720"/>
      <c r="P46" s="3719" t="str">
        <f>A46</f>
        <v>成交单价</v>
      </c>
      <c r="Q46" s="3719"/>
      <c r="R46" s="3750">
        <f>E46</f>
        <v>0</v>
      </c>
      <c r="S46" s="3750"/>
      <c r="T46" s="3750">
        <f>G46</f>
        <v>0</v>
      </c>
      <c r="U46" s="3750"/>
      <c r="V46" s="3750">
        <f>I46</f>
        <v>0</v>
      </c>
      <c r="W46" s="3750"/>
      <c r="X46" s="690"/>
      <c r="Y46" s="712"/>
      <c r="Z46" s="690"/>
      <c r="AA46" s="690"/>
      <c r="AB46" s="690"/>
      <c r="AC46" s="690"/>
    </row>
    <row r="47" spans="1:29" ht="15.75" thickBot="1">
      <c r="A47" s="437" t="s">
        <v>1790</v>
      </c>
      <c r="B47" s="631"/>
      <c r="C47" s="440" t="e">
        <f>R48</f>
        <v>#DIV/0!</v>
      </c>
      <c r="D47" s="2313" t="s">
        <v>2135</v>
      </c>
      <c r="E47" s="440" t="e">
        <f>R47</f>
        <v>#DIV/0!</v>
      </c>
      <c r="F47" s="2314"/>
      <c r="G47" s="439" t="e">
        <f>T47</f>
        <v>#DIV/0!</v>
      </c>
      <c r="H47" s="2314"/>
      <c r="I47" s="440" t="e">
        <f>V47</f>
        <v>#DIV/0!</v>
      </c>
      <c r="J47" s="2314"/>
      <c r="K47" s="2316">
        <f>F47+H47+J47</f>
        <v>0</v>
      </c>
      <c r="L47" s="2719"/>
      <c r="M47" s="2720"/>
      <c r="N47" s="2720"/>
      <c r="O47" s="2720"/>
      <c r="P47" s="3719" t="str">
        <f>A47</f>
        <v>比较价值（元/平方米）</v>
      </c>
      <c r="Q47" s="3719"/>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19"/>
      <c r="M48" s="2720"/>
      <c r="N48" s="2720"/>
      <c r="O48" s="2720"/>
      <c r="P48" s="3716" t="str">
        <f>A48</f>
        <v>估价对象XX用房的比较价值（楼面单价，元/平方米）</v>
      </c>
      <c r="Q48" s="3717"/>
      <c r="R48" s="3782" t="e">
        <f>ROUND(IF(D47="简单平均",AVERAGE(R47:W47),R47*F47+T47*H47+V47*J47),0)</f>
        <v>#DIV/0!</v>
      </c>
      <c r="S48" s="3782"/>
      <c r="T48" s="3782"/>
      <c r="U48" s="3782"/>
      <c r="V48" s="3782"/>
      <c r="W48" s="378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9" t="s">
        <v>1880</v>
      </c>
      <c r="D55" s="1980" t="s">
        <v>1881</v>
      </c>
      <c r="E55" s="634" t="s">
        <v>1882</v>
      </c>
      <c r="F55" s="890" t="s">
        <v>1883</v>
      </c>
      <c r="G55" s="3734" t="s">
        <v>1884</v>
      </c>
      <c r="H55" s="3783"/>
      <c r="I55" s="135" t="s">
        <v>1885</v>
      </c>
      <c r="J55" s="1981">
        <f>项目基本情况!F35</f>
        <v>0</v>
      </c>
      <c r="K55" s="1982"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t="e">
        <f>C48</f>
        <v>#DIV/0!</v>
      </c>
      <c r="C56" s="638">
        <v>1</v>
      </c>
      <c r="D56" s="944">
        <v>1</v>
      </c>
      <c r="E56" s="638">
        <f>'数据-汇总表'!E8+'数据-汇总表'!E9</f>
        <v>69.099999999999994</v>
      </c>
      <c r="F56" s="886" t="e">
        <f t="shared" ref="F56:F64" si="14">ROUND(B56*E56/10000,0)</f>
        <v>#DIV/0!</v>
      </c>
      <c r="G56" s="3730"/>
      <c r="H56" s="371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t="e">
        <f>ROUND($C$48*C57*D57,0)</f>
        <v>#DIV/0!</v>
      </c>
      <c r="C57" s="171">
        <f t="shared" ref="C57:C64" si="15">IF($C$55="北京市系数",I57,J57)</f>
        <v>0</v>
      </c>
      <c r="D57" s="945">
        <v>0.25</v>
      </c>
      <c r="E57" s="642"/>
      <c r="F57" s="886" t="e">
        <f t="shared" si="14"/>
        <v>#DIV/0!</v>
      </c>
      <c r="G57" s="3001" t="s">
        <v>1889</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t="e">
        <f t="shared" ref="B58:B64" si="16">ROUND($C$48*C58*D58,0)</f>
        <v>#DIV/0!</v>
      </c>
      <c r="C58" s="171">
        <f t="shared" si="15"/>
        <v>0</v>
      </c>
      <c r="D58" s="945">
        <v>0.25</v>
      </c>
      <c r="E58" s="642"/>
      <c r="F58" s="886" t="e">
        <f t="shared" si="14"/>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t="e">
        <f t="shared" si="16"/>
        <v>#DIV/0!</v>
      </c>
      <c r="C59" s="171">
        <f t="shared" si="15"/>
        <v>0</v>
      </c>
      <c r="D59" s="945">
        <v>0.25</v>
      </c>
      <c r="E59" s="642"/>
      <c r="F59" s="886" t="e">
        <f t="shared" si="14"/>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t="e">
        <f t="shared" si="16"/>
        <v>#DIV/0!</v>
      </c>
      <c r="C60" s="171">
        <f t="shared" si="15"/>
        <v>0</v>
      </c>
      <c r="D60" s="945">
        <v>0.25</v>
      </c>
      <c r="E60" s="217">
        <f>'数据-汇总表'!E11</f>
        <v>0</v>
      </c>
      <c r="F60" s="886" t="e">
        <f t="shared" si="14"/>
        <v>#DIV/0!</v>
      </c>
      <c r="G60" s="1983" t="s">
        <v>1893</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t="e">
        <f t="shared" si="16"/>
        <v>#DIV/0!</v>
      </c>
      <c r="C61" s="171">
        <f t="shared" si="15"/>
        <v>0</v>
      </c>
      <c r="D61" s="945">
        <v>0.25</v>
      </c>
      <c r="E61" s="217">
        <f>'数据-汇总表'!E12</f>
        <v>0</v>
      </c>
      <c r="F61" s="886" t="e">
        <f t="shared" si="14"/>
        <v>#DIV/0!</v>
      </c>
      <c r="G61" s="892" t="s">
        <v>1895</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t="e">
        <f t="shared" si="16"/>
        <v>#DIV/0!</v>
      </c>
      <c r="C62" s="171">
        <f t="shared" si="15"/>
        <v>0.2</v>
      </c>
      <c r="D62" s="945">
        <v>0.25</v>
      </c>
      <c r="E62" s="217">
        <f>'数据-汇总表'!E13</f>
        <v>0</v>
      </c>
      <c r="F62" s="886" t="e">
        <f t="shared" si="14"/>
        <v>#DIV/0!</v>
      </c>
      <c r="G62" s="892" t="s">
        <v>1897</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t="e">
        <f t="shared" si="16"/>
        <v>#DIV/0!</v>
      </c>
      <c r="C63" s="171">
        <f t="shared" si="15"/>
        <v>0</v>
      </c>
      <c r="D63" s="945">
        <v>0.25</v>
      </c>
      <c r="E63" s="217">
        <f>'数据-汇总表'!E14</f>
        <v>0</v>
      </c>
      <c r="F63" s="886" t="e">
        <f t="shared" si="14"/>
        <v>#DIV/0!</v>
      </c>
      <c r="G63" s="1983" t="s">
        <v>1889</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t="e">
        <f t="shared" si="16"/>
        <v>#DIV/0!</v>
      </c>
      <c r="C64" s="171">
        <f t="shared" si="15"/>
        <v>0</v>
      </c>
      <c r="D64" s="945">
        <v>0.25</v>
      </c>
      <c r="E64" s="217">
        <f>'数据-汇总表'!E15</f>
        <v>0</v>
      </c>
      <c r="F64" s="886" t="e">
        <f t="shared" si="14"/>
        <v>#DIV/0!</v>
      </c>
      <c r="G64" s="1984" t="s">
        <v>1893</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69.099999999999994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2023-11-1</v>
      </c>
      <c r="D67" s="692">
        <f>EDATE(C67,-3)</f>
        <v>45139</v>
      </c>
      <c r="E67" s="692">
        <f>EDATE(D67,-3)</f>
        <v>45047</v>
      </c>
      <c r="F67" s="692">
        <f t="shared" ref="F67:O67" si="17">EDATE(E67,-3)</f>
        <v>44958</v>
      </c>
      <c r="G67" s="692">
        <f t="shared" si="17"/>
        <v>44866</v>
      </c>
      <c r="H67" s="692">
        <f t="shared" si="17"/>
        <v>44774</v>
      </c>
      <c r="I67" s="692">
        <f t="shared" si="17"/>
        <v>44682</v>
      </c>
      <c r="J67" s="692">
        <f t="shared" si="17"/>
        <v>44593</v>
      </c>
      <c r="K67" s="692">
        <f t="shared" si="17"/>
        <v>44501</v>
      </c>
      <c r="L67" s="692">
        <f t="shared" si="17"/>
        <v>44409</v>
      </c>
      <c r="M67" s="692">
        <f t="shared" si="17"/>
        <v>44317</v>
      </c>
      <c r="N67" s="692">
        <f t="shared" si="17"/>
        <v>44228</v>
      </c>
      <c r="O67" s="692">
        <f t="shared" si="17"/>
        <v>44136</v>
      </c>
      <c r="P67" s="2720"/>
      <c r="Q67" s="2720"/>
      <c r="R67" s="2720"/>
      <c r="S67" s="2720"/>
      <c r="T67" s="2720"/>
      <c r="U67" s="2720"/>
      <c r="V67" s="2720"/>
      <c r="W67" s="2720"/>
      <c r="X67" s="2720"/>
      <c r="Y67" s="2720"/>
      <c r="Z67" s="2720"/>
      <c r="AA67" s="2720"/>
      <c r="AB67" s="2720"/>
      <c r="AC67" s="2720"/>
    </row>
    <row r="68" spans="1:29" ht="21.75" thickBot="1">
      <c r="A68" s="694" t="s">
        <v>1795</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1901</v>
      </c>
      <c r="B69" s="1109"/>
      <c r="C69" s="1181" t="str">
        <f>YEAR(C67)&amp;"-"&amp;ROUNDUP(MONTH(C67)/3,0)</f>
        <v>2023-4</v>
      </c>
      <c r="D69" s="1181" t="str">
        <f>YEAR(D67)&amp;"-"&amp;ROUNDUP(MONTH(D67)/3,0)</f>
        <v>2023-3</v>
      </c>
      <c r="E69" s="1181" t="str">
        <f t="shared" ref="E69:O69" si="18">YEAR(E67)&amp;"-"&amp;ROUNDUP(MONTH(E67)/3,0)</f>
        <v>2023-2</v>
      </c>
      <c r="F69" s="1181" t="str">
        <f t="shared" si="18"/>
        <v>2023-1</v>
      </c>
      <c r="G69" s="1181" t="str">
        <f t="shared" si="18"/>
        <v>2022-4</v>
      </c>
      <c r="H69" s="1181" t="str">
        <f t="shared" si="18"/>
        <v>2022-3</v>
      </c>
      <c r="I69" s="1181" t="str">
        <f t="shared" si="18"/>
        <v>2022-2</v>
      </c>
      <c r="J69" s="1181" t="str">
        <f t="shared" si="18"/>
        <v>2022-1</v>
      </c>
      <c r="K69" s="1181" t="str">
        <f t="shared" si="18"/>
        <v>2021-4</v>
      </c>
      <c r="L69" s="1181" t="str">
        <f t="shared" si="18"/>
        <v>2021-3</v>
      </c>
      <c r="M69" s="1181" t="str">
        <f t="shared" si="18"/>
        <v>2021-2</v>
      </c>
      <c r="N69" s="1181" t="str">
        <f t="shared" si="18"/>
        <v>2021-1</v>
      </c>
      <c r="O69" s="1181" t="str">
        <f t="shared" si="18"/>
        <v>2020-4</v>
      </c>
      <c r="P69" s="2771"/>
      <c r="Q69" s="2736"/>
      <c r="R69" s="2736"/>
      <c r="S69" s="2736"/>
      <c r="T69" s="2736"/>
      <c r="U69" s="2736"/>
      <c r="V69" s="2736"/>
      <c r="W69" s="2736"/>
      <c r="X69" s="2736"/>
      <c r="Y69" s="2736"/>
      <c r="Z69" s="2736"/>
      <c r="AA69" s="2736"/>
      <c r="AB69" s="2736"/>
      <c r="AC69" s="2736"/>
    </row>
    <row r="70" spans="1:29" s="108" customFormat="1" ht="30" customHeight="1">
      <c r="A70" s="1986"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1910</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1866</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1766</v>
      </c>
      <c r="B4" s="356"/>
      <c r="C4" s="3734" t="s">
        <v>1767</v>
      </c>
      <c r="D4" s="3735"/>
      <c r="E4" s="3736" t="s">
        <v>1768</v>
      </c>
      <c r="F4" s="3737"/>
      <c r="G4" s="3734" t="s">
        <v>1769</v>
      </c>
      <c r="H4" s="3735"/>
      <c r="I4" s="3734" t="s">
        <v>1770</v>
      </c>
      <c r="J4" s="3735"/>
      <c r="K4" s="559" t="s">
        <v>1771</v>
      </c>
      <c r="L4" s="2710"/>
      <c r="M4" s="2711"/>
      <c r="N4" s="2711"/>
      <c r="O4" s="2711"/>
      <c r="P4" s="3738" t="s">
        <v>1772</v>
      </c>
      <c r="Q4" s="3739"/>
      <c r="R4" s="3744" t="s">
        <v>1768</v>
      </c>
      <c r="S4" s="3745"/>
      <c r="T4" s="3744" t="s">
        <v>1769</v>
      </c>
      <c r="U4" s="3745"/>
      <c r="V4" s="3750" t="s">
        <v>1770</v>
      </c>
      <c r="W4" s="3750"/>
      <c r="X4" s="1354"/>
      <c r="Y4" s="3744" t="s">
        <v>1772</v>
      </c>
      <c r="Z4" s="3745"/>
      <c r="AA4" s="3731" t="s">
        <v>1768</v>
      </c>
      <c r="AB4" s="3732" t="s">
        <v>1769</v>
      </c>
      <c r="AC4" s="3731" t="s">
        <v>1770</v>
      </c>
    </row>
    <row r="5" spans="1:29" ht="15">
      <c r="A5" s="358"/>
      <c r="B5" s="359"/>
      <c r="C5" s="3753" t="s">
        <v>1673</v>
      </c>
      <c r="D5" s="3754"/>
      <c r="E5" s="3763" t="s">
        <v>1674</v>
      </c>
      <c r="F5" s="3762"/>
      <c r="G5" s="3753" t="s">
        <v>1675</v>
      </c>
      <c r="H5" s="3754"/>
      <c r="I5" s="3753" t="s">
        <v>1676</v>
      </c>
      <c r="J5" s="3754"/>
      <c r="K5" s="559"/>
      <c r="L5" s="2710"/>
      <c r="M5" s="2711"/>
      <c r="N5" s="2711"/>
      <c r="O5" s="2711"/>
      <c r="P5" s="3740"/>
      <c r="Q5" s="3741"/>
      <c r="R5" s="3746"/>
      <c r="S5" s="3747"/>
      <c r="T5" s="3746"/>
      <c r="U5" s="3747"/>
      <c r="V5" s="3750"/>
      <c r="W5" s="3750"/>
      <c r="X5" s="1354"/>
      <c r="Y5" s="3746"/>
      <c r="Z5" s="3747"/>
      <c r="AA5" s="3732"/>
      <c r="AB5" s="3732"/>
      <c r="AC5" s="3732"/>
    </row>
    <row r="6" spans="1:29" ht="15.75" thickBot="1">
      <c r="A6" s="360"/>
      <c r="B6" s="361"/>
      <c r="C6" s="3784" t="s">
        <v>1916</v>
      </c>
      <c r="D6" s="3785"/>
      <c r="E6" s="3786" t="s">
        <v>1916</v>
      </c>
      <c r="F6" s="3787"/>
      <c r="G6" s="3784" t="s">
        <v>1916</v>
      </c>
      <c r="H6" s="3785"/>
      <c r="I6" s="3784" t="s">
        <v>1916</v>
      </c>
      <c r="J6" s="3785"/>
      <c r="K6" s="559" t="s">
        <v>1678</v>
      </c>
      <c r="L6" s="2710"/>
      <c r="M6" s="2711"/>
      <c r="N6" s="2711"/>
      <c r="O6" s="2711"/>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45250</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55" t="s">
        <v>1683</v>
      </c>
      <c r="Q8" s="3756"/>
      <c r="R8" s="701" t="s">
        <v>14</v>
      </c>
      <c r="S8" s="702">
        <f t="shared" si="0"/>
        <v>0</v>
      </c>
      <c r="T8" s="701" t="s">
        <v>14</v>
      </c>
      <c r="U8" s="702">
        <f t="shared" si="1"/>
        <v>0</v>
      </c>
      <c r="V8" s="701" t="s">
        <v>14</v>
      </c>
      <c r="W8" s="702">
        <f t="shared" si="2"/>
        <v>0</v>
      </c>
      <c r="X8" s="703"/>
      <c r="Y8" s="3755" t="s">
        <v>1683</v>
      </c>
      <c r="Z8" s="375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19" t="s">
        <v>1686</v>
      </c>
      <c r="Q9" s="1342"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4"/>
      <c r="M10" s="2715"/>
      <c r="N10" s="2715"/>
      <c r="O10" s="2768"/>
      <c r="P10" s="3719"/>
      <c r="Q10" s="1342"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9"/>
      <c r="Q11" s="1342"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9"/>
      <c r="Q12" s="1342">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9"/>
      <c r="Q13" s="1342">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9"/>
      <c r="Q14" s="1342">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57">
      <c r="A15" s="391" t="s">
        <v>1690</v>
      </c>
      <c r="B15" s="577"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22"/>
      <c r="Q16" s="1351"/>
      <c r="R16" s="705"/>
      <c r="S16" s="706"/>
      <c r="T16" s="705"/>
      <c r="U16" s="706"/>
      <c r="V16" s="705"/>
      <c r="W16" s="706"/>
      <c r="X16" s="1354"/>
      <c r="Y16" s="3722"/>
      <c r="Z16" s="1355"/>
      <c r="AA16" s="1352">
        <v>1</v>
      </c>
      <c r="AB16" s="1352">
        <v>1</v>
      </c>
      <c r="AC16" s="1352">
        <v>1</v>
      </c>
    </row>
    <row r="17" spans="1:29" ht="85.5">
      <c r="A17" s="379"/>
      <c r="B17" s="579" t="s">
        <v>1830</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22"/>
      <c r="Q18" s="1351"/>
      <c r="R18" s="705"/>
      <c r="S18" s="706"/>
      <c r="T18" s="705"/>
      <c r="U18" s="706"/>
      <c r="V18" s="705"/>
      <c r="W18" s="706"/>
      <c r="X18" s="1354"/>
      <c r="Y18" s="3722"/>
      <c r="Z18" s="1355"/>
      <c r="AA18" s="1352">
        <v>1</v>
      </c>
      <c r="AB18" s="1352">
        <v>1</v>
      </c>
      <c r="AC18" s="1352">
        <v>1</v>
      </c>
    </row>
    <row r="19" spans="1:29" ht="15">
      <c r="A19" s="379"/>
      <c r="B19" s="579" t="s">
        <v>1868</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22"/>
      <c r="Q20" s="1351"/>
      <c r="R20" s="705"/>
      <c r="S20" s="706"/>
      <c r="T20" s="705"/>
      <c r="U20" s="706"/>
      <c r="V20" s="705"/>
      <c r="W20" s="706"/>
      <c r="X20" s="1354"/>
      <c r="Y20" s="3722"/>
      <c r="Z20" s="1355"/>
      <c r="AA20" s="1352"/>
      <c r="AB20" s="1352"/>
      <c r="AC20" s="1352"/>
    </row>
    <row r="21" spans="1:29" ht="71.25">
      <c r="A21" s="358"/>
      <c r="B21" s="579" t="s">
        <v>1918</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22"/>
      <c r="Q22" s="1351"/>
      <c r="R22" s="705"/>
      <c r="S22" s="706"/>
      <c r="T22" s="705"/>
      <c r="U22" s="706"/>
      <c r="V22" s="705"/>
      <c r="W22" s="706"/>
      <c r="X22" s="1354"/>
      <c r="Y22" s="3722"/>
      <c r="Z22" s="1355"/>
      <c r="AA22" s="1352">
        <v>1</v>
      </c>
      <c r="AB22" s="1352">
        <v>1</v>
      </c>
      <c r="AC22" s="1352">
        <v>1</v>
      </c>
    </row>
    <row r="23" spans="1:29" s="108" customFormat="1" ht="42.75">
      <c r="A23" s="597"/>
      <c r="B23" s="581" t="s">
        <v>1775</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22"/>
      <c r="Q24" s="1342"/>
      <c r="R24" s="701"/>
      <c r="S24" s="702"/>
      <c r="T24" s="701"/>
      <c r="U24" s="702"/>
      <c r="V24" s="701"/>
      <c r="W24" s="702"/>
      <c r="X24" s="703"/>
      <c r="Y24" s="3722"/>
      <c r="Z24" s="52"/>
      <c r="AA24" s="704">
        <v>1</v>
      </c>
      <c r="AB24" s="704">
        <v>1</v>
      </c>
      <c r="AC24" s="704">
        <v>1</v>
      </c>
    </row>
    <row r="25" spans="1:29" s="108" customFormat="1" ht="28.5">
      <c r="A25" s="597"/>
      <c r="B25" s="581" t="s">
        <v>1776</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2"/>
      <c r="Q25" s="1342" t="str">
        <f>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22"/>
      <c r="Q26" s="1342"/>
      <c r="R26" s="701"/>
      <c r="S26" s="702"/>
      <c r="T26" s="701"/>
      <c r="U26" s="702"/>
      <c r="V26" s="701"/>
      <c r="W26" s="702"/>
      <c r="X26" s="703"/>
      <c r="Y26" s="3722"/>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2"/>
      <c r="Q27" s="1351" t="str">
        <f t="shared" si="8"/>
        <v>临街状况</v>
      </c>
      <c r="R27" s="705" t="s">
        <v>14</v>
      </c>
      <c r="S27" s="706">
        <f t="shared" ref="S27:S40" si="9">F27</f>
        <v>100</v>
      </c>
      <c r="T27" s="705" t="s">
        <v>14</v>
      </c>
      <c r="U27" s="706">
        <f t="shared" ref="U27:U40" si="10">H27</f>
        <v>100</v>
      </c>
      <c r="V27" s="705" t="s">
        <v>14</v>
      </c>
      <c r="W27" s="706">
        <f t="shared" ref="W27:W40" si="11">J27</f>
        <v>100</v>
      </c>
      <c r="X27" s="1354"/>
      <c r="Y27" s="3722"/>
      <c r="Z27" s="1355" t="str">
        <f t="shared" ref="Z27:Z40" si="12">Q27</f>
        <v>临街状况</v>
      </c>
      <c r="AA27" s="1352">
        <f t="shared" si="3"/>
        <v>1</v>
      </c>
      <c r="AB27" s="1352">
        <f t="shared" si="4"/>
        <v>1</v>
      </c>
      <c r="AC27" s="1352">
        <f t="shared" si="5"/>
        <v>1</v>
      </c>
    </row>
    <row r="28" spans="1:29" ht="27">
      <c r="A28" s="379"/>
      <c r="B28" s="581"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2"/>
      <c r="Q28" s="1351" t="str">
        <f t="shared" si="8"/>
        <v>毗邻道路的类型与等级</v>
      </c>
      <c r="R28" s="705" t="s">
        <v>14</v>
      </c>
      <c r="S28" s="706">
        <f t="shared" si="9"/>
        <v>100</v>
      </c>
      <c r="T28" s="705" t="s">
        <v>14</v>
      </c>
      <c r="U28" s="706">
        <f t="shared" si="10"/>
        <v>100</v>
      </c>
      <c r="V28" s="705" t="s">
        <v>14</v>
      </c>
      <c r="W28" s="706">
        <f t="shared" si="11"/>
        <v>100</v>
      </c>
      <c r="X28" s="1354"/>
      <c r="Y28" s="3722"/>
      <c r="Z28" s="1355" t="str">
        <f t="shared" si="12"/>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22"/>
      <c r="Q29" s="1351"/>
      <c r="R29" s="705"/>
      <c r="S29" s="706"/>
      <c r="T29" s="705"/>
      <c r="U29" s="706"/>
      <c r="V29" s="705"/>
      <c r="W29" s="706"/>
      <c r="X29" s="1354"/>
      <c r="Y29" s="3722"/>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2"/>
      <c r="Q30" s="1351" t="str">
        <f t="shared" si="8"/>
        <v>土地级别</v>
      </c>
      <c r="R30" s="705" t="s">
        <v>14</v>
      </c>
      <c r="S30" s="706">
        <f t="shared" si="9"/>
        <v>100</v>
      </c>
      <c r="T30" s="705" t="s">
        <v>14</v>
      </c>
      <c r="U30" s="706">
        <f t="shared" si="10"/>
        <v>100</v>
      </c>
      <c r="V30" s="705" t="s">
        <v>14</v>
      </c>
      <c r="W30" s="706">
        <f t="shared" si="11"/>
        <v>100</v>
      </c>
      <c r="X30" s="1354"/>
      <c r="Y30" s="3722"/>
      <c r="Z30" s="1355" t="str">
        <f t="shared" si="12"/>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2"/>
      <c r="Q31" s="1351">
        <f t="shared" si="8"/>
        <v>111</v>
      </c>
      <c r="R31" s="705" t="s">
        <v>14</v>
      </c>
      <c r="S31" s="706">
        <f t="shared" si="9"/>
        <v>100</v>
      </c>
      <c r="T31" s="705" t="s">
        <v>14</v>
      </c>
      <c r="U31" s="706">
        <f t="shared" si="10"/>
        <v>100</v>
      </c>
      <c r="V31" s="705" t="s">
        <v>14</v>
      </c>
      <c r="W31" s="706">
        <f t="shared" si="11"/>
        <v>100</v>
      </c>
      <c r="X31" s="1354"/>
      <c r="Y31" s="3722"/>
      <c r="Z31" s="1355">
        <f t="shared" si="12"/>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9" t="s">
        <v>1696</v>
      </c>
      <c r="Q32" s="1351">
        <f t="shared" si="8"/>
        <v>111</v>
      </c>
      <c r="R32" s="705" t="s">
        <v>14</v>
      </c>
      <c r="S32" s="706">
        <f t="shared" si="9"/>
        <v>100</v>
      </c>
      <c r="T32" s="705" t="s">
        <v>14</v>
      </c>
      <c r="U32" s="706">
        <f t="shared" si="10"/>
        <v>100</v>
      </c>
      <c r="V32" s="705" t="s">
        <v>14</v>
      </c>
      <c r="W32" s="706">
        <f t="shared" si="11"/>
        <v>100</v>
      </c>
      <c r="X32" s="1354"/>
      <c r="Y32" s="3726" t="s">
        <v>1696</v>
      </c>
      <c r="Z32" s="1355">
        <f t="shared" si="12"/>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6"/>
      <c r="Q33" s="1351">
        <f t="shared" si="8"/>
        <v>111</v>
      </c>
      <c r="R33" s="708" t="s">
        <v>14</v>
      </c>
      <c r="S33" s="709">
        <f t="shared" si="9"/>
        <v>100</v>
      </c>
      <c r="T33" s="708" t="s">
        <v>14</v>
      </c>
      <c r="U33" s="709">
        <f t="shared" si="10"/>
        <v>100</v>
      </c>
      <c r="V33" s="708" t="s">
        <v>14</v>
      </c>
      <c r="W33" s="709">
        <f t="shared" si="11"/>
        <v>100</v>
      </c>
      <c r="X33" s="710"/>
      <c r="Y33" s="3726"/>
      <c r="Z33" s="711">
        <f t="shared" si="12"/>
        <v>111</v>
      </c>
      <c r="AA33" s="1352">
        <f t="shared" si="3"/>
        <v>1</v>
      </c>
      <c r="AB33" s="1352">
        <f t="shared" si="4"/>
        <v>1</v>
      </c>
      <c r="AC33" s="1352">
        <f t="shared" si="5"/>
        <v>1</v>
      </c>
    </row>
    <row r="34" spans="1:31" ht="15">
      <c r="A34" s="391" t="s">
        <v>1694</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6"/>
      <c r="Q34" s="1351" t="str">
        <f>B34</f>
        <v>宗地面积</v>
      </c>
      <c r="R34" s="705" t="s">
        <v>14</v>
      </c>
      <c r="S34" s="706" t="e">
        <f t="shared" si="9"/>
        <v>#N/A</v>
      </c>
      <c r="T34" s="705" t="s">
        <v>14</v>
      </c>
      <c r="U34" s="706" t="e">
        <f t="shared" si="10"/>
        <v>#N/A</v>
      </c>
      <c r="V34" s="705" t="s">
        <v>14</v>
      </c>
      <c r="W34" s="706" t="e">
        <f t="shared" si="11"/>
        <v>#N/A</v>
      </c>
      <c r="X34" s="1354"/>
      <c r="Y34" s="3726"/>
      <c r="Z34" s="1355" t="str">
        <f t="shared" si="12"/>
        <v>宗地面积</v>
      </c>
      <c r="AA34" s="1352" t="e">
        <f t="shared" si="3"/>
        <v>#N/A</v>
      </c>
      <c r="AB34" s="1352" t="e">
        <f t="shared" si="4"/>
        <v>#N/A</v>
      </c>
      <c r="AC34" s="1352" t="e">
        <f t="shared" si="5"/>
        <v>#N/A</v>
      </c>
    </row>
    <row r="35" spans="1:31" ht="15">
      <c r="A35" s="423"/>
      <c r="B35" s="375" t="s">
        <v>1872</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26"/>
      <c r="Q35" s="1351" t="str">
        <f t="shared" ref="Q35:Q40" si="13">B35</f>
        <v>宗地形状</v>
      </c>
      <c r="R35" s="705" t="s">
        <v>14</v>
      </c>
      <c r="S35" s="706">
        <f t="shared" si="9"/>
        <v>100</v>
      </c>
      <c r="T35" s="705" t="s">
        <v>14</v>
      </c>
      <c r="U35" s="706">
        <f t="shared" si="10"/>
        <v>100</v>
      </c>
      <c r="V35" s="705" t="s">
        <v>14</v>
      </c>
      <c r="W35" s="706">
        <f t="shared" si="11"/>
        <v>100</v>
      </c>
      <c r="X35" s="1354"/>
      <c r="Y35" s="3726"/>
      <c r="Z35" s="1355" t="str">
        <f t="shared" si="12"/>
        <v>宗地形状</v>
      </c>
      <c r="AA35" s="1352">
        <f t="shared" si="3"/>
        <v>1</v>
      </c>
      <c r="AB35" s="1352">
        <f t="shared" si="4"/>
        <v>1</v>
      </c>
      <c r="AC35" s="1352">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26"/>
      <c r="Q36" s="1351" t="str">
        <f t="shared" si="13"/>
        <v>宗地开发程度</v>
      </c>
      <c r="R36" s="701" t="s">
        <v>14</v>
      </c>
      <c r="S36" s="702">
        <f t="shared" si="9"/>
        <v>100</v>
      </c>
      <c r="T36" s="701" t="s">
        <v>14</v>
      </c>
      <c r="U36" s="702">
        <f t="shared" si="10"/>
        <v>100</v>
      </c>
      <c r="V36" s="701" t="s">
        <v>14</v>
      </c>
      <c r="W36" s="702">
        <f t="shared" si="11"/>
        <v>100</v>
      </c>
      <c r="X36" s="703"/>
      <c r="Y36" s="3726"/>
      <c r="Z36" s="52" t="str">
        <f t="shared" si="12"/>
        <v>宗地开发程度</v>
      </c>
      <c r="AA36" s="704">
        <f t="shared" si="3"/>
        <v>1</v>
      </c>
      <c r="AB36" s="704">
        <f t="shared" si="4"/>
        <v>1</v>
      </c>
      <c r="AC36" s="704">
        <f t="shared" si="5"/>
        <v>1</v>
      </c>
    </row>
    <row r="37" spans="1:31" ht="15">
      <c r="A37" s="423"/>
      <c r="B37" s="375" t="s">
        <v>1875</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26" t="s">
        <v>1696</v>
      </c>
      <c r="Q37" s="1351" t="str">
        <f t="shared" si="13"/>
        <v>工程地质条件</v>
      </c>
      <c r="R37" s="705" t="s">
        <v>14</v>
      </c>
      <c r="S37" s="706">
        <f t="shared" si="9"/>
        <v>100</v>
      </c>
      <c r="T37" s="705" t="s">
        <v>14</v>
      </c>
      <c r="U37" s="706">
        <f t="shared" si="10"/>
        <v>100</v>
      </c>
      <c r="V37" s="705" t="s">
        <v>14</v>
      </c>
      <c r="W37" s="706">
        <f t="shared" si="11"/>
        <v>100</v>
      </c>
      <c r="X37" s="1354"/>
      <c r="Y37" s="3726" t="s">
        <v>1696</v>
      </c>
      <c r="Z37" s="1355" t="str">
        <f t="shared" si="12"/>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6"/>
      <c r="Q38" s="1351">
        <f t="shared" si="13"/>
        <v>111</v>
      </c>
      <c r="R38" s="705" t="s">
        <v>14</v>
      </c>
      <c r="S38" s="706">
        <f t="shared" si="9"/>
        <v>100</v>
      </c>
      <c r="T38" s="705" t="s">
        <v>14</v>
      </c>
      <c r="U38" s="706">
        <f t="shared" si="10"/>
        <v>100</v>
      </c>
      <c r="V38" s="705" t="s">
        <v>14</v>
      </c>
      <c r="W38" s="706">
        <f t="shared" si="11"/>
        <v>100</v>
      </c>
      <c r="X38" s="1354"/>
      <c r="Y38" s="3726"/>
      <c r="Z38" s="1355">
        <f t="shared" si="12"/>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6"/>
      <c r="Q39" s="1351">
        <f t="shared" si="13"/>
        <v>111</v>
      </c>
      <c r="R39" s="705" t="s">
        <v>14</v>
      </c>
      <c r="S39" s="706">
        <f t="shared" si="9"/>
        <v>100</v>
      </c>
      <c r="T39" s="705" t="s">
        <v>14</v>
      </c>
      <c r="U39" s="706">
        <f t="shared" si="10"/>
        <v>100</v>
      </c>
      <c r="V39" s="705" t="s">
        <v>14</v>
      </c>
      <c r="W39" s="706">
        <f t="shared" si="11"/>
        <v>100</v>
      </c>
      <c r="X39" s="1354"/>
      <c r="Y39" s="3726"/>
      <c r="Z39" s="1355">
        <f t="shared" si="12"/>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6"/>
      <c r="Q40" s="1351">
        <f t="shared" si="13"/>
        <v>111</v>
      </c>
      <c r="R40" s="708" t="s">
        <v>14</v>
      </c>
      <c r="S40" s="709">
        <f t="shared" si="9"/>
        <v>100</v>
      </c>
      <c r="T40" s="708" t="s">
        <v>14</v>
      </c>
      <c r="U40" s="709">
        <f t="shared" si="10"/>
        <v>100</v>
      </c>
      <c r="V40" s="708" t="s">
        <v>14</v>
      </c>
      <c r="W40" s="709">
        <f t="shared" si="11"/>
        <v>100</v>
      </c>
      <c r="X40" s="710"/>
      <c r="Y40" s="3726"/>
      <c r="Z40" s="711">
        <f t="shared" si="12"/>
        <v>111</v>
      </c>
      <c r="AA40" s="1352">
        <f t="shared" si="3"/>
        <v>1</v>
      </c>
      <c r="AB40" s="1352">
        <f t="shared" si="4"/>
        <v>1</v>
      </c>
      <c r="AC40" s="1352">
        <f t="shared" si="5"/>
        <v>1</v>
      </c>
    </row>
    <row r="41" spans="1:31" ht="15">
      <c r="A41" s="430" t="s">
        <v>1841</v>
      </c>
      <c r="B41" s="1978" t="s">
        <v>1919</v>
      </c>
      <c r="C41" s="630" t="s">
        <v>0</v>
      </c>
      <c r="D41" s="432"/>
      <c r="E41" s="433"/>
      <c r="F41" s="434"/>
      <c r="G41" s="435"/>
      <c r="H41" s="436"/>
      <c r="I41" s="433"/>
      <c r="J41" s="436"/>
      <c r="K41" s="714"/>
      <c r="L41" s="2719"/>
      <c r="M41" s="2711"/>
      <c r="N41" s="2711"/>
      <c r="O41" s="2720"/>
      <c r="P41" s="3719" t="str">
        <f>A41</f>
        <v>成交单价</v>
      </c>
      <c r="Q41" s="3719"/>
      <c r="R41" s="3750">
        <f>E41</f>
        <v>0</v>
      </c>
      <c r="S41" s="3750"/>
      <c r="T41" s="3750">
        <f>G41</f>
        <v>0</v>
      </c>
      <c r="U41" s="3750"/>
      <c r="V41" s="3750">
        <f>I41</f>
        <v>0</v>
      </c>
      <c r="W41" s="3750"/>
      <c r="X41" s="690"/>
      <c r="Y41" s="712"/>
      <c r="Z41" s="690"/>
      <c r="AA41" s="690"/>
      <c r="AB41" s="690"/>
      <c r="AC41" s="690"/>
    </row>
    <row r="42" spans="1:31" ht="15.75" thickBot="1">
      <c r="A42" s="437" t="s">
        <v>1790</v>
      </c>
      <c r="B42" s="631"/>
      <c r="C42" s="440" t="e">
        <f>R43</f>
        <v>#DIV/0!</v>
      </c>
      <c r="D42" s="2313" t="s">
        <v>2135</v>
      </c>
      <c r="E42" s="440" t="e">
        <f>R42</f>
        <v>#DIV/0!</v>
      </c>
      <c r="F42" s="2314"/>
      <c r="G42" s="439" t="e">
        <f>T42</f>
        <v>#DIV/0!</v>
      </c>
      <c r="H42" s="2314"/>
      <c r="I42" s="440" t="e">
        <f>V42</f>
        <v>#DIV/0!</v>
      </c>
      <c r="J42" s="2314"/>
      <c r="K42" s="2316">
        <f>F42+H42+J42</f>
        <v>0</v>
      </c>
      <c r="L42" s="2719"/>
      <c r="M42" s="2711"/>
      <c r="N42" s="2711"/>
      <c r="O42" s="2720"/>
      <c r="P42" s="3719" t="str">
        <f>A42</f>
        <v>比较价值（元/平方米）</v>
      </c>
      <c r="Q42" s="3719"/>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19"/>
      <c r="M43" s="2711"/>
      <c r="N43" s="2711"/>
      <c r="O43" s="2720"/>
      <c r="P43" s="3716" t="str">
        <f>A43</f>
        <v>估价对象XX用房的比较价值（楼面单价，元/平方米）</v>
      </c>
      <c r="Q43" s="3717"/>
      <c r="R43" s="3782" t="e">
        <f>ROUND(IF(D42="简单平均",AVERAGE(R42:W42),R42*F42+T42*H42+V42*J42),0)</f>
        <v>#DIV/0!</v>
      </c>
      <c r="S43" s="3782"/>
      <c r="T43" s="3782"/>
      <c r="U43" s="3782"/>
      <c r="V43" s="3782"/>
      <c r="W43" s="378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9" t="s">
        <v>1880</v>
      </c>
      <c r="D50" s="1980" t="s">
        <v>1881</v>
      </c>
      <c r="E50" s="634" t="s">
        <v>1882</v>
      </c>
      <c r="F50" s="635" t="s">
        <v>1883</v>
      </c>
      <c r="G50" s="3734" t="s">
        <v>1884</v>
      </c>
      <c r="H50" s="3783"/>
      <c r="I50" s="1355" t="s">
        <v>1920</v>
      </c>
      <c r="J50" s="1355">
        <f>项目基本情况!F35</f>
        <v>0</v>
      </c>
      <c r="K50" s="1982"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4">
        <v>1</v>
      </c>
      <c r="E51" s="638">
        <f>'数据-汇总表'!E8+'数据-汇总表'!E9</f>
        <v>69.099999999999994</v>
      </c>
      <c r="F51" s="639" t="e">
        <f t="shared" ref="F51:F60" si="14">ROUND(B51*E51/10000,0)</f>
        <v>#DIV/0!</v>
      </c>
      <c r="G51" s="3730"/>
      <c r="H51" s="371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5">IF($C$50="北京市系数",I52,J52)</f>
        <v>0</v>
      </c>
      <c r="D52" s="945">
        <v>0.25</v>
      </c>
      <c r="E52" s="642"/>
      <c r="F52" s="639" t="e">
        <f t="shared" si="14"/>
        <v>#DIV/0!</v>
      </c>
      <c r="G52" s="3001" t="s">
        <v>1889</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6">ROUND($C$43*C53*D53,0)</f>
        <v>#DIV/0!</v>
      </c>
      <c r="C53" s="171">
        <f t="shared" si="15"/>
        <v>0</v>
      </c>
      <c r="D53" s="945">
        <v>0.25</v>
      </c>
      <c r="E53" s="642"/>
      <c r="F53" s="639" t="e">
        <f t="shared" si="14"/>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6"/>
        <v>#DIV/0!</v>
      </c>
      <c r="C54" s="171">
        <f t="shared" si="15"/>
        <v>0</v>
      </c>
      <c r="D54" s="945">
        <v>0.25</v>
      </c>
      <c r="E54" s="642"/>
      <c r="F54" s="639" t="e">
        <f t="shared" si="14"/>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6"/>
        <v>#DIV/0!</v>
      </c>
      <c r="C56" s="171">
        <f t="shared" si="15"/>
        <v>0</v>
      </c>
      <c r="D56" s="945">
        <v>0.25</v>
      </c>
      <c r="E56" s="217">
        <f>'数据-汇总表'!E11</f>
        <v>0</v>
      </c>
      <c r="F56" s="639" t="e">
        <f t="shared" si="14"/>
        <v>#DIV/0!</v>
      </c>
      <c r="G56" s="1983" t="s">
        <v>1893</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6"/>
        <v>#DIV/0!</v>
      </c>
      <c r="C57" s="171">
        <f t="shared" si="15"/>
        <v>0</v>
      </c>
      <c r="D57" s="945">
        <v>0.25</v>
      </c>
      <c r="E57" s="217">
        <f>'数据-汇总表'!E12</f>
        <v>0</v>
      </c>
      <c r="F57" s="639" t="e">
        <f t="shared" si="14"/>
        <v>#DIV/0!</v>
      </c>
      <c r="G57" s="892" t="s">
        <v>1895</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6"/>
        <v>#DIV/0!</v>
      </c>
      <c r="C58" s="171">
        <f t="shared" si="15"/>
        <v>0.2</v>
      </c>
      <c r="D58" s="945">
        <v>0.25</v>
      </c>
      <c r="E58" s="217">
        <f>'数据-汇总表'!E13</f>
        <v>0</v>
      </c>
      <c r="F58" s="639" t="e">
        <f t="shared" si="14"/>
        <v>#DIV/0!</v>
      </c>
      <c r="G58" s="892" t="s">
        <v>1897</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6"/>
        <v>#DIV/0!</v>
      </c>
      <c r="C59" s="171">
        <f t="shared" si="15"/>
        <v>0</v>
      </c>
      <c r="D59" s="945">
        <v>0.25</v>
      </c>
      <c r="E59" s="217">
        <f>'数据-汇总表'!E14</f>
        <v>0</v>
      </c>
      <c r="F59" s="639" t="e">
        <f t="shared" si="14"/>
        <v>#DIV/0!</v>
      </c>
      <c r="G59" s="1983" t="s">
        <v>1889</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6"/>
        <v>#DIV/0!</v>
      </c>
      <c r="C60" s="171">
        <f t="shared" si="15"/>
        <v>0</v>
      </c>
      <c r="D60" s="945">
        <v>0.25</v>
      </c>
      <c r="E60" s="217">
        <f>'数据-汇总表'!E15</f>
        <v>0</v>
      </c>
      <c r="F60" s="639" t="e">
        <f t="shared" si="14"/>
        <v>#DIV/0!</v>
      </c>
      <c r="G60" s="1984" t="s">
        <v>1893</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2023-11-1</v>
      </c>
      <c r="D63" s="692">
        <f>EDATE(C63,-3)</f>
        <v>45139</v>
      </c>
      <c r="E63" s="692">
        <f>EDATE(D63,-3)</f>
        <v>45047</v>
      </c>
      <c r="F63" s="692">
        <f t="shared" ref="F63:O63" si="17">EDATE(E63,-3)</f>
        <v>44958</v>
      </c>
      <c r="G63" s="692">
        <f t="shared" si="17"/>
        <v>44866</v>
      </c>
      <c r="H63" s="692">
        <f t="shared" si="17"/>
        <v>44774</v>
      </c>
      <c r="I63" s="692">
        <f t="shared" si="17"/>
        <v>44682</v>
      </c>
      <c r="J63" s="692">
        <f t="shared" si="17"/>
        <v>44593</v>
      </c>
      <c r="K63" s="692">
        <f t="shared" si="17"/>
        <v>44501</v>
      </c>
      <c r="L63" s="692">
        <f t="shared" si="17"/>
        <v>44409</v>
      </c>
      <c r="M63" s="692">
        <f t="shared" si="17"/>
        <v>44317</v>
      </c>
      <c r="N63" s="692">
        <f t="shared" si="17"/>
        <v>44228</v>
      </c>
      <c r="O63" s="692">
        <f t="shared" si="17"/>
        <v>44136</v>
      </c>
      <c r="P63" s="2720"/>
      <c r="Q63" s="2720"/>
      <c r="R63" s="2720"/>
      <c r="S63" s="2720"/>
      <c r="T63" s="2720"/>
      <c r="U63" s="2720"/>
      <c r="V63" s="2720"/>
      <c r="W63" s="2720"/>
      <c r="X63" s="2720"/>
      <c r="Y63" s="2720"/>
      <c r="Z63" s="2720"/>
      <c r="AA63" s="2720"/>
      <c r="AB63" s="2720"/>
      <c r="AC63" s="2720"/>
      <c r="AD63" s="2720"/>
      <c r="AE63" s="2720"/>
    </row>
    <row r="64" spans="1:31" ht="21.75" thickBot="1">
      <c r="A64" s="694" t="s">
        <v>1795</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1901</v>
      </c>
      <c r="B65" s="1109"/>
      <c r="C65" s="1181" t="str">
        <f>YEAR(C63)&amp;"-"&amp;ROUNDUP(MONTH(C63)/3,0)</f>
        <v>2023-4</v>
      </c>
      <c r="D65" s="1181" t="str">
        <f t="shared" ref="D65:O65" si="18">YEAR(D63)&amp;"-"&amp;ROUNDUP(MONTH(D63)/3,0)</f>
        <v>2023-3</v>
      </c>
      <c r="E65" s="1181" t="str">
        <f t="shared" si="18"/>
        <v>2023-2</v>
      </c>
      <c r="F65" s="1181" t="str">
        <f t="shared" si="18"/>
        <v>2023-1</v>
      </c>
      <c r="G65" s="1181" t="str">
        <f t="shared" si="18"/>
        <v>2022-4</v>
      </c>
      <c r="H65" s="1181" t="str">
        <f t="shared" si="18"/>
        <v>2022-3</v>
      </c>
      <c r="I65" s="1181" t="str">
        <f t="shared" si="18"/>
        <v>2022-2</v>
      </c>
      <c r="J65" s="1181" t="str">
        <f t="shared" si="18"/>
        <v>2022-1</v>
      </c>
      <c r="K65" s="1181" t="str">
        <f t="shared" si="18"/>
        <v>2021-4</v>
      </c>
      <c r="L65" s="1181" t="str">
        <f t="shared" si="18"/>
        <v>2021-3</v>
      </c>
      <c r="M65" s="1181" t="str">
        <f t="shared" si="18"/>
        <v>2021-2</v>
      </c>
      <c r="N65" s="1181" t="str">
        <f t="shared" si="18"/>
        <v>2021-1</v>
      </c>
      <c r="O65" s="1181" t="str">
        <f t="shared" si="18"/>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1826</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1910</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32" t="str">
        <f t="shared" si="24"/>
        <v>(含)-</v>
      </c>
      <c r="L107" s="1332" t="str">
        <f t="shared" si="24"/>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91" t="s">
        <v>2081</v>
      </c>
      <c r="D1" s="3792"/>
      <c r="E1" s="3792"/>
      <c r="F1" s="3792"/>
      <c r="G1" s="3792"/>
      <c r="H1" s="3792"/>
      <c r="I1" s="3792"/>
      <c r="J1" s="3792"/>
      <c r="K1" s="3792"/>
      <c r="L1" s="3792"/>
      <c r="M1" s="3792"/>
      <c r="N1" s="3792"/>
      <c r="O1" s="3792"/>
      <c r="P1" s="3792"/>
      <c r="Q1" s="3792"/>
      <c r="R1" s="3792"/>
      <c r="S1" s="3793"/>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2">D6-$T5</f>
        <v>100</v>
      </c>
      <c r="F6" s="1315">
        <f t="shared" si="2"/>
        <v>100</v>
      </c>
      <c r="G6" s="1315">
        <f t="shared" si="2"/>
        <v>100</v>
      </c>
      <c r="H6" s="1315">
        <f t="shared" si="2"/>
        <v>100</v>
      </c>
      <c r="I6" s="1315">
        <f t="shared" si="2"/>
        <v>100</v>
      </c>
      <c r="J6" s="1315">
        <f t="shared" si="2"/>
        <v>100</v>
      </c>
      <c r="K6" s="1315">
        <f t="shared" si="2"/>
        <v>100</v>
      </c>
      <c r="L6" s="1315">
        <f t="shared" si="2"/>
        <v>100</v>
      </c>
      <c r="M6" s="1315">
        <f t="shared" si="2"/>
        <v>100</v>
      </c>
      <c r="N6" s="1315">
        <f t="shared" si="2"/>
        <v>100</v>
      </c>
      <c r="O6" s="1315">
        <f t="shared" si="2"/>
        <v>100</v>
      </c>
      <c r="P6" s="1315">
        <f t="shared" si="2"/>
        <v>100</v>
      </c>
      <c r="Q6" s="1315">
        <f t="shared" si="2"/>
        <v>100</v>
      </c>
      <c r="R6" s="1315">
        <f t="shared" si="2"/>
        <v>100</v>
      </c>
      <c r="S6" s="1315">
        <f t="shared" si="2"/>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2085</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3">D8-$T7</f>
        <v>100</v>
      </c>
      <c r="F8" s="1315">
        <f t="shared" si="3"/>
        <v>100</v>
      </c>
      <c r="G8" s="1315">
        <f t="shared" si="3"/>
        <v>100</v>
      </c>
      <c r="H8" s="1315">
        <f t="shared" si="3"/>
        <v>100</v>
      </c>
      <c r="I8" s="1315">
        <f t="shared" si="3"/>
        <v>100</v>
      </c>
      <c r="J8" s="1315">
        <f t="shared" si="3"/>
        <v>100</v>
      </c>
      <c r="K8" s="1315">
        <f t="shared" si="3"/>
        <v>100</v>
      </c>
      <c r="L8" s="1315">
        <f t="shared" si="3"/>
        <v>100</v>
      </c>
      <c r="M8" s="1315">
        <f t="shared" si="3"/>
        <v>100</v>
      </c>
      <c r="N8" s="1315">
        <f t="shared" si="3"/>
        <v>100</v>
      </c>
      <c r="O8" s="1315">
        <f t="shared" si="3"/>
        <v>100</v>
      </c>
      <c r="P8" s="1315">
        <f t="shared" si="3"/>
        <v>100</v>
      </c>
      <c r="Q8" s="1315">
        <f t="shared" si="3"/>
        <v>100</v>
      </c>
      <c r="R8" s="1315">
        <f t="shared" si="3"/>
        <v>100</v>
      </c>
      <c r="S8" s="1315">
        <f t="shared" si="3"/>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2086</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4">D10-$T9</f>
        <v>100</v>
      </c>
      <c r="F10" s="1325">
        <f t="shared" si="4"/>
        <v>100</v>
      </c>
      <c r="G10" s="1325">
        <f t="shared" si="4"/>
        <v>100</v>
      </c>
      <c r="H10" s="1325">
        <f t="shared" si="4"/>
        <v>100</v>
      </c>
      <c r="I10" s="1325">
        <f t="shared" si="4"/>
        <v>100</v>
      </c>
      <c r="J10" s="1325">
        <f t="shared" si="4"/>
        <v>100</v>
      </c>
      <c r="K10" s="1325">
        <f t="shared" si="4"/>
        <v>100</v>
      </c>
      <c r="L10" s="1325">
        <f t="shared" si="4"/>
        <v>100</v>
      </c>
      <c r="M10" s="1325">
        <f t="shared" si="4"/>
        <v>100</v>
      </c>
      <c r="N10" s="1325">
        <f t="shared" si="4"/>
        <v>100</v>
      </c>
      <c r="O10" s="1325">
        <f t="shared" si="4"/>
        <v>100</v>
      </c>
      <c r="P10" s="1325">
        <f t="shared" si="4"/>
        <v>100</v>
      </c>
      <c r="Q10" s="1325">
        <f t="shared" si="4"/>
        <v>100</v>
      </c>
      <c r="R10" s="1325">
        <f t="shared" si="4"/>
        <v>100</v>
      </c>
      <c r="S10" s="1325">
        <f t="shared" si="4"/>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5">D12-$T11</f>
        <v>100</v>
      </c>
      <c r="F12" s="902">
        <f t="shared" si="5"/>
        <v>100</v>
      </c>
      <c r="G12" s="902">
        <f t="shared" si="5"/>
        <v>100</v>
      </c>
      <c r="H12" s="902">
        <f t="shared" si="5"/>
        <v>100</v>
      </c>
      <c r="I12" s="902">
        <f t="shared" si="5"/>
        <v>100</v>
      </c>
      <c r="J12" s="902">
        <f t="shared" si="5"/>
        <v>100</v>
      </c>
      <c r="K12" s="902">
        <f t="shared" si="5"/>
        <v>100</v>
      </c>
      <c r="L12" s="902">
        <f t="shared" si="5"/>
        <v>100</v>
      </c>
      <c r="M12" s="902">
        <f t="shared" si="5"/>
        <v>100</v>
      </c>
      <c r="N12" s="902">
        <f t="shared" si="5"/>
        <v>100</v>
      </c>
      <c r="O12" s="902">
        <f t="shared" si="5"/>
        <v>100</v>
      </c>
      <c r="P12" s="902">
        <f t="shared" si="5"/>
        <v>100</v>
      </c>
      <c r="Q12" s="902">
        <f t="shared" si="5"/>
        <v>100</v>
      </c>
      <c r="R12" s="902">
        <f>Q12-$T11</f>
        <v>100</v>
      </c>
      <c r="S12" s="902">
        <f t="shared" si="5"/>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2090</v>
      </c>
      <c r="B17" s="2145"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2092</v>
      </c>
      <c r="E19" s="1339"/>
      <c r="F19" s="1339"/>
      <c r="G19" s="1339"/>
      <c r="H19" s="1059"/>
      <c r="I19" s="159"/>
      <c r="J19" s="159"/>
      <c r="K19" s="159"/>
      <c r="L19" s="159"/>
      <c r="M19" s="159"/>
      <c r="N19" s="159"/>
      <c r="O19" s="159"/>
      <c r="P19" s="159"/>
      <c r="Q19" s="159"/>
      <c r="R19" s="718"/>
      <c r="S19" s="129"/>
    </row>
    <row r="20" spans="1:45" ht="16.5" thickBot="1">
      <c r="A20" s="662" t="s">
        <v>2093</v>
      </c>
      <c r="B20" s="294" t="e">
        <f ca="1">IF(D20="——",S22,S22-F20)</f>
        <v>#REF!</v>
      </c>
      <c r="C20" s="159"/>
      <c r="D20" s="2147"/>
      <c r="E20" s="1340"/>
      <c r="F20" s="983" t="e">
        <f ca="1">SUMIF(INDIRECT("'"&amp;H20&amp;"'"&amp;"!A:A"),"承租人权益价值",INDIRECT("'"&amp;H20&amp;"'"&amp;"!c:c"))</f>
        <v>#REF!</v>
      </c>
      <c r="G20" s="983" t="s">
        <v>2094</v>
      </c>
      <c r="H20" s="2148"/>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6">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6"/>
        <v>0</v>
      </c>
    </row>
    <row r="26" spans="1:45">
      <c r="A26" s="150"/>
      <c r="B26" s="54"/>
      <c r="C26" s="21">
        <f t="shared" ref="C26:C89" si="7">IF(B26="",1,(LOOKUP(B26,$3:$3,$4:$4)-LOOKUP($B$24,$3:$3,$4:$4)+100)/100)</f>
        <v>1</v>
      </c>
      <c r="D26" s="667"/>
      <c r="E26" s="21">
        <f t="shared" ref="E26:E89" si="8">(SUMIF($5:$5,D26,$6:$6)-SUMIF($5:$5,$D$24,$6:$6)+100)/100</f>
        <v>1</v>
      </c>
      <c r="F26" s="667"/>
      <c r="G26" s="21">
        <f t="shared" ref="G26:G89" si="9">(SUMIF($7:$7,F26,$8:$8)-SUMIF($7:$7,$F$24,$8:$8)+100)/100</f>
        <v>1</v>
      </c>
      <c r="H26" s="667"/>
      <c r="I26" s="21">
        <f t="shared" ref="I26:I89" si="10">(SUMIF($9:$9,H26,$10:$10)-SUMIF($9:$9,$H$24,$10:$10)+100)/100</f>
        <v>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c r="Q26" s="21">
        <f t="shared" ref="Q26:Q89" si="14">(SUMIF($17:$17,P26,$18:$18)-SUMIF($17:$17,$P$24,$18:$18)+100)/100</f>
        <v>1</v>
      </c>
      <c r="R26" s="663">
        <f t="shared" ref="R26:R89" si="15">IF(B26="",0,ROUND($R$24*C26*E26*G26*I26*K26*M26*O26*Q26,0))</f>
        <v>0</v>
      </c>
      <c r="S26" s="316">
        <f t="shared" si="6"/>
        <v>0</v>
      </c>
    </row>
    <row r="27" spans="1:45">
      <c r="A27" s="150"/>
      <c r="B27" s="54"/>
      <c r="C27" s="21">
        <f t="shared" si="7"/>
        <v>1</v>
      </c>
      <c r="D27" s="667"/>
      <c r="E27" s="21">
        <f t="shared" si="8"/>
        <v>1</v>
      </c>
      <c r="F27" s="667"/>
      <c r="G27" s="21">
        <f t="shared" si="9"/>
        <v>1</v>
      </c>
      <c r="H27" s="667"/>
      <c r="I27" s="21">
        <f t="shared" si="10"/>
        <v>1</v>
      </c>
      <c r="J27" s="667"/>
      <c r="K27" s="21">
        <f t="shared" si="11"/>
        <v>1</v>
      </c>
      <c r="L27" s="667"/>
      <c r="M27" s="21">
        <f t="shared" si="12"/>
        <v>1</v>
      </c>
      <c r="N27" s="667"/>
      <c r="O27" s="21">
        <f t="shared" si="13"/>
        <v>1</v>
      </c>
      <c r="P27" s="667"/>
      <c r="Q27" s="21">
        <f t="shared" si="14"/>
        <v>1</v>
      </c>
      <c r="R27" s="663">
        <f t="shared" si="15"/>
        <v>0</v>
      </c>
      <c r="S27" s="316">
        <f t="shared" si="6"/>
        <v>0</v>
      </c>
    </row>
    <row r="28" spans="1:45">
      <c r="A28" s="150"/>
      <c r="B28" s="54"/>
      <c r="C28" s="21">
        <f t="shared" si="7"/>
        <v>1</v>
      </c>
      <c r="D28" s="667"/>
      <c r="E28" s="21">
        <f t="shared" si="8"/>
        <v>1</v>
      </c>
      <c r="F28" s="667"/>
      <c r="G28" s="21">
        <f t="shared" si="9"/>
        <v>1</v>
      </c>
      <c r="H28" s="667"/>
      <c r="I28" s="21">
        <f t="shared" si="10"/>
        <v>1</v>
      </c>
      <c r="J28" s="667"/>
      <c r="K28" s="21">
        <f t="shared" si="11"/>
        <v>1</v>
      </c>
      <c r="L28" s="667"/>
      <c r="M28" s="21">
        <f t="shared" si="12"/>
        <v>1</v>
      </c>
      <c r="N28" s="667"/>
      <c r="O28" s="21">
        <f t="shared" si="13"/>
        <v>1</v>
      </c>
      <c r="P28" s="667"/>
      <c r="Q28" s="21">
        <f t="shared" si="14"/>
        <v>1</v>
      </c>
      <c r="R28" s="663">
        <f t="shared" si="15"/>
        <v>0</v>
      </c>
      <c r="S28" s="316">
        <f t="shared" si="6"/>
        <v>0</v>
      </c>
    </row>
    <row r="29" spans="1:45">
      <c r="A29" s="150"/>
      <c r="B29" s="54"/>
      <c r="C29" s="21">
        <f t="shared" si="7"/>
        <v>1</v>
      </c>
      <c r="D29" s="667"/>
      <c r="E29" s="21">
        <f t="shared" si="8"/>
        <v>1</v>
      </c>
      <c r="F29" s="667"/>
      <c r="G29" s="21">
        <f t="shared" si="9"/>
        <v>1</v>
      </c>
      <c r="H29" s="667"/>
      <c r="I29" s="21">
        <f t="shared" si="10"/>
        <v>1</v>
      </c>
      <c r="J29" s="667"/>
      <c r="K29" s="21">
        <f t="shared" si="11"/>
        <v>1</v>
      </c>
      <c r="L29" s="667"/>
      <c r="M29" s="21">
        <f t="shared" si="12"/>
        <v>1</v>
      </c>
      <c r="N29" s="667"/>
      <c r="O29" s="21">
        <f t="shared" si="13"/>
        <v>1</v>
      </c>
      <c r="P29" s="667"/>
      <c r="Q29" s="21">
        <f t="shared" si="14"/>
        <v>1</v>
      </c>
      <c r="R29" s="663">
        <f t="shared" si="15"/>
        <v>0</v>
      </c>
      <c r="S29" s="316">
        <f t="shared" si="6"/>
        <v>0</v>
      </c>
    </row>
    <row r="30" spans="1:45">
      <c r="A30" s="150"/>
      <c r="B30" s="54"/>
      <c r="C30" s="21">
        <f t="shared" si="7"/>
        <v>1</v>
      </c>
      <c r="D30" s="667"/>
      <c r="E30" s="21">
        <f t="shared" si="8"/>
        <v>1</v>
      </c>
      <c r="F30" s="667"/>
      <c r="G30" s="21">
        <f t="shared" si="9"/>
        <v>1</v>
      </c>
      <c r="H30" s="667"/>
      <c r="I30" s="21">
        <f t="shared" si="10"/>
        <v>1</v>
      </c>
      <c r="J30" s="667"/>
      <c r="K30" s="21">
        <f t="shared" si="11"/>
        <v>1</v>
      </c>
      <c r="L30" s="667"/>
      <c r="M30" s="21">
        <f t="shared" si="12"/>
        <v>1</v>
      </c>
      <c r="N30" s="667"/>
      <c r="O30" s="21">
        <f t="shared" si="13"/>
        <v>1</v>
      </c>
      <c r="P30" s="667"/>
      <c r="Q30" s="21">
        <f t="shared" si="14"/>
        <v>1</v>
      </c>
      <c r="R30" s="663">
        <f t="shared" si="15"/>
        <v>0</v>
      </c>
      <c r="S30" s="316">
        <f t="shared" si="6"/>
        <v>0</v>
      </c>
    </row>
    <row r="31" spans="1:45">
      <c r="A31" s="150"/>
      <c r="B31" s="54"/>
      <c r="C31" s="21">
        <f t="shared" si="7"/>
        <v>1</v>
      </c>
      <c r="D31" s="667"/>
      <c r="E31" s="21">
        <f t="shared" si="8"/>
        <v>1</v>
      </c>
      <c r="F31" s="667"/>
      <c r="G31" s="21">
        <f t="shared" si="9"/>
        <v>1</v>
      </c>
      <c r="H31" s="667"/>
      <c r="I31" s="21">
        <f t="shared" si="10"/>
        <v>1</v>
      </c>
      <c r="J31" s="667"/>
      <c r="K31" s="21">
        <f t="shared" si="11"/>
        <v>1</v>
      </c>
      <c r="L31" s="667"/>
      <c r="M31" s="21">
        <f t="shared" si="12"/>
        <v>1</v>
      </c>
      <c r="N31" s="667"/>
      <c r="O31" s="21">
        <f t="shared" si="13"/>
        <v>1</v>
      </c>
      <c r="P31" s="667"/>
      <c r="Q31" s="21">
        <f t="shared" si="14"/>
        <v>1</v>
      </c>
      <c r="R31" s="663">
        <f t="shared" si="15"/>
        <v>0</v>
      </c>
      <c r="S31" s="316">
        <f t="shared" si="6"/>
        <v>0</v>
      </c>
    </row>
    <row r="32" spans="1:45">
      <c r="A32" s="150"/>
      <c r="B32" s="54"/>
      <c r="C32" s="21">
        <f t="shared" si="7"/>
        <v>1</v>
      </c>
      <c r="D32" s="667"/>
      <c r="E32" s="21">
        <f t="shared" si="8"/>
        <v>1</v>
      </c>
      <c r="F32" s="667"/>
      <c r="G32" s="21">
        <f t="shared" si="9"/>
        <v>1</v>
      </c>
      <c r="H32" s="667"/>
      <c r="I32" s="21">
        <f t="shared" si="10"/>
        <v>1</v>
      </c>
      <c r="J32" s="667"/>
      <c r="K32" s="21">
        <f t="shared" si="11"/>
        <v>1</v>
      </c>
      <c r="L32" s="667"/>
      <c r="M32" s="21">
        <f t="shared" si="12"/>
        <v>1</v>
      </c>
      <c r="N32" s="667"/>
      <c r="O32" s="21">
        <f t="shared" si="13"/>
        <v>1</v>
      </c>
      <c r="P32" s="667"/>
      <c r="Q32" s="21">
        <f t="shared" si="14"/>
        <v>1</v>
      </c>
      <c r="R32" s="663">
        <f t="shared" si="15"/>
        <v>0</v>
      </c>
      <c r="S32" s="316">
        <f t="shared" si="6"/>
        <v>0</v>
      </c>
    </row>
    <row r="33" spans="1:19">
      <c r="A33" s="150"/>
      <c r="B33" s="54"/>
      <c r="C33" s="21">
        <f t="shared" si="7"/>
        <v>1</v>
      </c>
      <c r="D33" s="667"/>
      <c r="E33" s="21">
        <f t="shared" si="8"/>
        <v>1</v>
      </c>
      <c r="F33" s="667"/>
      <c r="G33" s="21">
        <f t="shared" si="9"/>
        <v>1</v>
      </c>
      <c r="H33" s="667"/>
      <c r="I33" s="21">
        <f t="shared" si="10"/>
        <v>1</v>
      </c>
      <c r="J33" s="667"/>
      <c r="K33" s="21">
        <f t="shared" si="11"/>
        <v>1</v>
      </c>
      <c r="L33" s="667"/>
      <c r="M33" s="21">
        <f t="shared" si="12"/>
        <v>1</v>
      </c>
      <c r="N33" s="667"/>
      <c r="O33" s="21">
        <f t="shared" si="13"/>
        <v>1</v>
      </c>
      <c r="P33" s="667"/>
      <c r="Q33" s="21">
        <f t="shared" si="14"/>
        <v>1</v>
      </c>
      <c r="R33" s="663">
        <f t="shared" si="15"/>
        <v>0</v>
      </c>
      <c r="S33" s="316">
        <f t="shared" si="6"/>
        <v>0</v>
      </c>
    </row>
    <row r="34" spans="1:19">
      <c r="A34" s="150"/>
      <c r="B34" s="54"/>
      <c r="C34" s="21">
        <f t="shared" si="7"/>
        <v>1</v>
      </c>
      <c r="D34" s="667"/>
      <c r="E34" s="21">
        <f t="shared" si="8"/>
        <v>1</v>
      </c>
      <c r="F34" s="667"/>
      <c r="G34" s="21">
        <f t="shared" si="9"/>
        <v>1</v>
      </c>
      <c r="H34" s="667"/>
      <c r="I34" s="21">
        <f t="shared" si="10"/>
        <v>1</v>
      </c>
      <c r="J34" s="667"/>
      <c r="K34" s="21">
        <f t="shared" si="11"/>
        <v>1</v>
      </c>
      <c r="L34" s="667"/>
      <c r="M34" s="21">
        <f t="shared" si="12"/>
        <v>1</v>
      </c>
      <c r="N34" s="667"/>
      <c r="O34" s="21">
        <f t="shared" si="13"/>
        <v>1</v>
      </c>
      <c r="P34" s="667"/>
      <c r="Q34" s="21">
        <f t="shared" si="14"/>
        <v>1</v>
      </c>
      <c r="R34" s="663">
        <f t="shared" si="15"/>
        <v>0</v>
      </c>
      <c r="S34" s="316">
        <f t="shared" si="6"/>
        <v>0</v>
      </c>
    </row>
    <row r="35" spans="1:19">
      <c r="A35" s="150"/>
      <c r="B35" s="54"/>
      <c r="C35" s="21">
        <f t="shared" si="7"/>
        <v>1</v>
      </c>
      <c r="D35" s="667"/>
      <c r="E35" s="21">
        <f t="shared" si="8"/>
        <v>1</v>
      </c>
      <c r="F35" s="667"/>
      <c r="G35" s="21">
        <f t="shared" si="9"/>
        <v>1</v>
      </c>
      <c r="H35" s="667"/>
      <c r="I35" s="21">
        <f t="shared" si="10"/>
        <v>1</v>
      </c>
      <c r="J35" s="667"/>
      <c r="K35" s="21">
        <f t="shared" si="11"/>
        <v>1</v>
      </c>
      <c r="L35" s="667"/>
      <c r="M35" s="21">
        <f t="shared" si="12"/>
        <v>1</v>
      </c>
      <c r="N35" s="667"/>
      <c r="O35" s="21">
        <f t="shared" si="13"/>
        <v>1</v>
      </c>
      <c r="P35" s="667"/>
      <c r="Q35" s="21">
        <f t="shared" si="14"/>
        <v>1</v>
      </c>
      <c r="R35" s="663">
        <f t="shared" si="15"/>
        <v>0</v>
      </c>
      <c r="S35" s="316">
        <f t="shared" si="6"/>
        <v>0</v>
      </c>
    </row>
    <row r="36" spans="1:19">
      <c r="A36" s="150"/>
      <c r="B36" s="54"/>
      <c r="C36" s="21">
        <f t="shared" si="7"/>
        <v>1</v>
      </c>
      <c r="D36" s="667"/>
      <c r="E36" s="21">
        <f t="shared" si="8"/>
        <v>1</v>
      </c>
      <c r="F36" s="667"/>
      <c r="G36" s="21">
        <f t="shared" si="9"/>
        <v>1</v>
      </c>
      <c r="H36" s="667"/>
      <c r="I36" s="21">
        <f t="shared" si="10"/>
        <v>1</v>
      </c>
      <c r="J36" s="667"/>
      <c r="K36" s="21">
        <f t="shared" si="11"/>
        <v>1</v>
      </c>
      <c r="L36" s="667"/>
      <c r="M36" s="21">
        <f t="shared" si="12"/>
        <v>1</v>
      </c>
      <c r="N36" s="667"/>
      <c r="O36" s="21">
        <f t="shared" si="13"/>
        <v>1</v>
      </c>
      <c r="P36" s="667"/>
      <c r="Q36" s="21">
        <f t="shared" si="14"/>
        <v>1</v>
      </c>
      <c r="R36" s="663">
        <f t="shared" si="15"/>
        <v>0</v>
      </c>
      <c r="S36" s="316">
        <f t="shared" si="6"/>
        <v>0</v>
      </c>
    </row>
    <row r="37" spans="1:19">
      <c r="A37" s="150"/>
      <c r="B37" s="54"/>
      <c r="C37" s="21">
        <f t="shared" si="7"/>
        <v>1</v>
      </c>
      <c r="D37" s="667"/>
      <c r="E37" s="21">
        <f t="shared" si="8"/>
        <v>1</v>
      </c>
      <c r="F37" s="667"/>
      <c r="G37" s="21">
        <f t="shared" si="9"/>
        <v>1</v>
      </c>
      <c r="H37" s="667"/>
      <c r="I37" s="21">
        <f t="shared" si="10"/>
        <v>1</v>
      </c>
      <c r="J37" s="667"/>
      <c r="K37" s="21">
        <f t="shared" si="11"/>
        <v>1</v>
      </c>
      <c r="L37" s="667"/>
      <c r="M37" s="21">
        <f t="shared" si="12"/>
        <v>1</v>
      </c>
      <c r="N37" s="667"/>
      <c r="O37" s="21">
        <f t="shared" si="13"/>
        <v>1</v>
      </c>
      <c r="P37" s="667"/>
      <c r="Q37" s="21">
        <f t="shared" si="14"/>
        <v>1</v>
      </c>
      <c r="R37" s="663">
        <f t="shared" si="15"/>
        <v>0</v>
      </c>
      <c r="S37" s="316">
        <f t="shared" si="6"/>
        <v>0</v>
      </c>
    </row>
    <row r="38" spans="1:19">
      <c r="A38" s="150"/>
      <c r="B38" s="54"/>
      <c r="C38" s="21">
        <f t="shared" si="7"/>
        <v>1</v>
      </c>
      <c r="D38" s="667"/>
      <c r="E38" s="21">
        <f t="shared" si="8"/>
        <v>1</v>
      </c>
      <c r="F38" s="667"/>
      <c r="G38" s="21">
        <f t="shared" si="9"/>
        <v>1</v>
      </c>
      <c r="H38" s="667"/>
      <c r="I38" s="21">
        <f t="shared" si="10"/>
        <v>1</v>
      </c>
      <c r="J38" s="667"/>
      <c r="K38" s="21">
        <f t="shared" si="11"/>
        <v>1</v>
      </c>
      <c r="L38" s="667"/>
      <c r="M38" s="21">
        <f t="shared" si="12"/>
        <v>1</v>
      </c>
      <c r="N38" s="667"/>
      <c r="O38" s="21">
        <f t="shared" si="13"/>
        <v>1</v>
      </c>
      <c r="P38" s="667"/>
      <c r="Q38" s="21">
        <f t="shared" si="14"/>
        <v>1</v>
      </c>
      <c r="R38" s="663">
        <f t="shared" si="15"/>
        <v>0</v>
      </c>
      <c r="S38" s="316">
        <f t="shared" si="6"/>
        <v>0</v>
      </c>
    </row>
    <row r="39" spans="1:19">
      <c r="A39" s="150"/>
      <c r="B39" s="54"/>
      <c r="C39" s="21">
        <f t="shared" si="7"/>
        <v>1</v>
      </c>
      <c r="D39" s="667"/>
      <c r="E39" s="21">
        <f t="shared" si="8"/>
        <v>1</v>
      </c>
      <c r="F39" s="667"/>
      <c r="G39" s="21">
        <f t="shared" si="9"/>
        <v>1</v>
      </c>
      <c r="H39" s="667"/>
      <c r="I39" s="21">
        <f t="shared" si="10"/>
        <v>1</v>
      </c>
      <c r="J39" s="667"/>
      <c r="K39" s="21">
        <f t="shared" si="11"/>
        <v>1</v>
      </c>
      <c r="L39" s="667"/>
      <c r="M39" s="21">
        <f t="shared" si="12"/>
        <v>1</v>
      </c>
      <c r="N39" s="667"/>
      <c r="O39" s="21">
        <f t="shared" si="13"/>
        <v>1</v>
      </c>
      <c r="P39" s="667"/>
      <c r="Q39" s="21">
        <f t="shared" si="14"/>
        <v>1</v>
      </c>
      <c r="R39" s="663">
        <f t="shared" si="15"/>
        <v>0</v>
      </c>
      <c r="S39" s="316">
        <f t="shared" si="6"/>
        <v>0</v>
      </c>
    </row>
    <row r="40" spans="1:19">
      <c r="A40" s="150"/>
      <c r="B40" s="54"/>
      <c r="C40" s="21">
        <f t="shared" si="7"/>
        <v>1</v>
      </c>
      <c r="D40" s="667"/>
      <c r="E40" s="21">
        <f t="shared" si="8"/>
        <v>1</v>
      </c>
      <c r="F40" s="667"/>
      <c r="G40" s="21">
        <f t="shared" si="9"/>
        <v>1</v>
      </c>
      <c r="H40" s="667"/>
      <c r="I40" s="21">
        <f t="shared" si="10"/>
        <v>1</v>
      </c>
      <c r="J40" s="667"/>
      <c r="K40" s="21">
        <f t="shared" si="11"/>
        <v>1</v>
      </c>
      <c r="L40" s="667"/>
      <c r="M40" s="21">
        <f t="shared" si="12"/>
        <v>1</v>
      </c>
      <c r="N40" s="667"/>
      <c r="O40" s="21">
        <f t="shared" si="13"/>
        <v>1</v>
      </c>
      <c r="P40" s="667"/>
      <c r="Q40" s="21">
        <f t="shared" si="14"/>
        <v>1</v>
      </c>
      <c r="R40" s="663">
        <f t="shared" si="15"/>
        <v>0</v>
      </c>
      <c r="S40" s="316">
        <f t="shared" si="6"/>
        <v>0</v>
      </c>
    </row>
    <row r="41" spans="1:19">
      <c r="A41" s="150"/>
      <c r="B41" s="54"/>
      <c r="C41" s="21">
        <f t="shared" si="7"/>
        <v>1</v>
      </c>
      <c r="D41" s="667"/>
      <c r="E41" s="21">
        <f t="shared" si="8"/>
        <v>1</v>
      </c>
      <c r="F41" s="667"/>
      <c r="G41" s="21">
        <f t="shared" si="9"/>
        <v>1</v>
      </c>
      <c r="H41" s="667"/>
      <c r="I41" s="21">
        <f t="shared" si="10"/>
        <v>1</v>
      </c>
      <c r="J41" s="667"/>
      <c r="K41" s="21">
        <f t="shared" si="11"/>
        <v>1</v>
      </c>
      <c r="L41" s="667"/>
      <c r="M41" s="21">
        <f t="shared" si="12"/>
        <v>1</v>
      </c>
      <c r="N41" s="667"/>
      <c r="O41" s="21">
        <f t="shared" si="13"/>
        <v>1</v>
      </c>
      <c r="P41" s="667"/>
      <c r="Q41" s="21">
        <f t="shared" si="14"/>
        <v>1</v>
      </c>
      <c r="R41" s="663">
        <f t="shared" si="15"/>
        <v>0</v>
      </c>
      <c r="S41" s="316">
        <f t="shared" si="6"/>
        <v>0</v>
      </c>
    </row>
    <row r="42" spans="1:19">
      <c r="A42" s="150"/>
      <c r="B42" s="54"/>
      <c r="C42" s="21">
        <f t="shared" si="7"/>
        <v>1</v>
      </c>
      <c r="D42" s="667"/>
      <c r="E42" s="21">
        <f t="shared" si="8"/>
        <v>1</v>
      </c>
      <c r="F42" s="667"/>
      <c r="G42" s="21">
        <f t="shared" si="9"/>
        <v>1</v>
      </c>
      <c r="H42" s="667"/>
      <c r="I42" s="21">
        <f t="shared" si="10"/>
        <v>1</v>
      </c>
      <c r="J42" s="667"/>
      <c r="K42" s="21">
        <f t="shared" si="11"/>
        <v>1</v>
      </c>
      <c r="L42" s="667"/>
      <c r="M42" s="21">
        <f t="shared" si="12"/>
        <v>1</v>
      </c>
      <c r="N42" s="667"/>
      <c r="O42" s="21">
        <f t="shared" si="13"/>
        <v>1</v>
      </c>
      <c r="P42" s="667"/>
      <c r="Q42" s="21">
        <f t="shared" si="14"/>
        <v>1</v>
      </c>
      <c r="R42" s="663">
        <f t="shared" si="15"/>
        <v>0</v>
      </c>
      <c r="S42" s="316">
        <f t="shared" si="6"/>
        <v>0</v>
      </c>
    </row>
    <row r="43" spans="1:19">
      <c r="A43" s="150"/>
      <c r="B43" s="54"/>
      <c r="C43" s="21">
        <f t="shared" si="7"/>
        <v>1</v>
      </c>
      <c r="D43" s="667"/>
      <c r="E43" s="21">
        <f t="shared" si="8"/>
        <v>1</v>
      </c>
      <c r="F43" s="667"/>
      <c r="G43" s="21">
        <f t="shared" si="9"/>
        <v>1</v>
      </c>
      <c r="H43" s="667"/>
      <c r="I43" s="21">
        <f t="shared" si="10"/>
        <v>1</v>
      </c>
      <c r="J43" s="667"/>
      <c r="K43" s="21">
        <f t="shared" si="11"/>
        <v>1</v>
      </c>
      <c r="L43" s="667"/>
      <c r="M43" s="21">
        <f t="shared" si="12"/>
        <v>1</v>
      </c>
      <c r="N43" s="667"/>
      <c r="O43" s="21">
        <f t="shared" si="13"/>
        <v>1</v>
      </c>
      <c r="P43" s="667"/>
      <c r="Q43" s="21">
        <f t="shared" si="14"/>
        <v>1</v>
      </c>
      <c r="R43" s="663">
        <f t="shared" si="15"/>
        <v>0</v>
      </c>
      <c r="S43" s="316">
        <f t="shared" si="6"/>
        <v>0</v>
      </c>
    </row>
    <row r="44" spans="1:19">
      <c r="A44" s="150"/>
      <c r="B44" s="54"/>
      <c r="C44" s="21">
        <f t="shared" si="7"/>
        <v>1</v>
      </c>
      <c r="D44" s="667"/>
      <c r="E44" s="21">
        <f t="shared" si="8"/>
        <v>1</v>
      </c>
      <c r="F44" s="667"/>
      <c r="G44" s="21">
        <f t="shared" si="9"/>
        <v>1</v>
      </c>
      <c r="H44" s="667"/>
      <c r="I44" s="21">
        <f t="shared" si="10"/>
        <v>1</v>
      </c>
      <c r="J44" s="667"/>
      <c r="K44" s="21">
        <f t="shared" si="11"/>
        <v>1</v>
      </c>
      <c r="L44" s="667"/>
      <c r="M44" s="21">
        <f t="shared" si="12"/>
        <v>1</v>
      </c>
      <c r="N44" s="667"/>
      <c r="O44" s="21">
        <f t="shared" si="13"/>
        <v>1</v>
      </c>
      <c r="P44" s="667"/>
      <c r="Q44" s="21">
        <f t="shared" si="14"/>
        <v>1</v>
      </c>
      <c r="R44" s="663">
        <f t="shared" si="15"/>
        <v>0</v>
      </c>
      <c r="S44" s="316">
        <f t="shared" si="6"/>
        <v>0</v>
      </c>
    </row>
    <row r="45" spans="1:19">
      <c r="A45" s="150"/>
      <c r="B45" s="54"/>
      <c r="C45" s="21">
        <f t="shared" si="7"/>
        <v>1</v>
      </c>
      <c r="D45" s="667"/>
      <c r="E45" s="21">
        <f t="shared" si="8"/>
        <v>1</v>
      </c>
      <c r="F45" s="667"/>
      <c r="G45" s="21">
        <f t="shared" si="9"/>
        <v>1</v>
      </c>
      <c r="H45" s="667"/>
      <c r="I45" s="21">
        <f t="shared" si="10"/>
        <v>1</v>
      </c>
      <c r="J45" s="667"/>
      <c r="K45" s="21">
        <f t="shared" si="11"/>
        <v>1</v>
      </c>
      <c r="L45" s="667"/>
      <c r="M45" s="21">
        <f t="shared" si="12"/>
        <v>1</v>
      </c>
      <c r="N45" s="667"/>
      <c r="O45" s="21">
        <f t="shared" si="13"/>
        <v>1</v>
      </c>
      <c r="P45" s="667"/>
      <c r="Q45" s="21">
        <f t="shared" si="14"/>
        <v>1</v>
      </c>
      <c r="R45" s="663">
        <f t="shared" si="15"/>
        <v>0</v>
      </c>
      <c r="S45" s="316">
        <f t="shared" si="6"/>
        <v>0</v>
      </c>
    </row>
    <row r="46" spans="1:19">
      <c r="A46" s="150"/>
      <c r="B46" s="54"/>
      <c r="C46" s="21">
        <f t="shared" si="7"/>
        <v>1</v>
      </c>
      <c r="D46" s="667"/>
      <c r="E46" s="21">
        <f t="shared" si="8"/>
        <v>1</v>
      </c>
      <c r="F46" s="667"/>
      <c r="G46" s="21">
        <f t="shared" si="9"/>
        <v>1</v>
      </c>
      <c r="H46" s="667"/>
      <c r="I46" s="21">
        <f t="shared" si="10"/>
        <v>1</v>
      </c>
      <c r="J46" s="667"/>
      <c r="K46" s="21">
        <f t="shared" si="11"/>
        <v>1</v>
      </c>
      <c r="L46" s="667"/>
      <c r="M46" s="21">
        <f t="shared" si="12"/>
        <v>1</v>
      </c>
      <c r="N46" s="667"/>
      <c r="O46" s="21">
        <f t="shared" si="13"/>
        <v>1</v>
      </c>
      <c r="P46" s="667"/>
      <c r="Q46" s="21">
        <f t="shared" si="14"/>
        <v>1</v>
      </c>
      <c r="R46" s="663">
        <f t="shared" si="15"/>
        <v>0</v>
      </c>
      <c r="S46" s="316">
        <f t="shared" si="6"/>
        <v>0</v>
      </c>
    </row>
    <row r="47" spans="1:19">
      <c r="A47" s="150"/>
      <c r="B47" s="54"/>
      <c r="C47" s="21">
        <f t="shared" si="7"/>
        <v>1</v>
      </c>
      <c r="D47" s="667"/>
      <c r="E47" s="21">
        <f t="shared" si="8"/>
        <v>1</v>
      </c>
      <c r="F47" s="667"/>
      <c r="G47" s="21">
        <f t="shared" si="9"/>
        <v>1</v>
      </c>
      <c r="H47" s="667"/>
      <c r="I47" s="21">
        <f t="shared" si="10"/>
        <v>1</v>
      </c>
      <c r="J47" s="667"/>
      <c r="K47" s="21">
        <f t="shared" si="11"/>
        <v>1</v>
      </c>
      <c r="L47" s="667"/>
      <c r="M47" s="21">
        <f t="shared" si="12"/>
        <v>1</v>
      </c>
      <c r="N47" s="667"/>
      <c r="O47" s="21">
        <f t="shared" si="13"/>
        <v>1</v>
      </c>
      <c r="P47" s="667"/>
      <c r="Q47" s="21">
        <f t="shared" si="14"/>
        <v>1</v>
      </c>
      <c r="R47" s="663">
        <f t="shared" si="15"/>
        <v>0</v>
      </c>
      <c r="S47" s="316">
        <f t="shared" si="6"/>
        <v>0</v>
      </c>
    </row>
    <row r="48" spans="1:19">
      <c r="A48" s="150"/>
      <c r="B48" s="54"/>
      <c r="C48" s="21">
        <f t="shared" si="7"/>
        <v>1</v>
      </c>
      <c r="D48" s="667"/>
      <c r="E48" s="21">
        <f t="shared" si="8"/>
        <v>1</v>
      </c>
      <c r="F48" s="667"/>
      <c r="G48" s="21">
        <f t="shared" si="9"/>
        <v>1</v>
      </c>
      <c r="H48" s="667"/>
      <c r="I48" s="21">
        <f t="shared" si="10"/>
        <v>1</v>
      </c>
      <c r="J48" s="667"/>
      <c r="K48" s="21">
        <f t="shared" si="11"/>
        <v>1</v>
      </c>
      <c r="L48" s="667"/>
      <c r="M48" s="21">
        <f t="shared" si="12"/>
        <v>1</v>
      </c>
      <c r="N48" s="667"/>
      <c r="O48" s="21">
        <f t="shared" si="13"/>
        <v>1</v>
      </c>
      <c r="P48" s="667"/>
      <c r="Q48" s="21">
        <f t="shared" si="14"/>
        <v>1</v>
      </c>
      <c r="R48" s="663">
        <f t="shared" si="15"/>
        <v>0</v>
      </c>
      <c r="S48" s="316">
        <f t="shared" si="6"/>
        <v>0</v>
      </c>
    </row>
    <row r="49" spans="1:19">
      <c r="A49" s="150"/>
      <c r="B49" s="54"/>
      <c r="C49" s="21">
        <f t="shared" si="7"/>
        <v>1</v>
      </c>
      <c r="D49" s="667"/>
      <c r="E49" s="21">
        <f t="shared" si="8"/>
        <v>1</v>
      </c>
      <c r="F49" s="667"/>
      <c r="G49" s="21">
        <f t="shared" si="9"/>
        <v>1</v>
      </c>
      <c r="H49" s="667"/>
      <c r="I49" s="21">
        <f t="shared" si="10"/>
        <v>1</v>
      </c>
      <c r="J49" s="667"/>
      <c r="K49" s="21">
        <f t="shared" si="11"/>
        <v>1</v>
      </c>
      <c r="L49" s="667"/>
      <c r="M49" s="21">
        <f t="shared" si="12"/>
        <v>1</v>
      </c>
      <c r="N49" s="667"/>
      <c r="O49" s="21">
        <f t="shared" si="13"/>
        <v>1</v>
      </c>
      <c r="P49" s="667"/>
      <c r="Q49" s="21">
        <f t="shared" si="14"/>
        <v>1</v>
      </c>
      <c r="R49" s="663">
        <f t="shared" si="15"/>
        <v>0</v>
      </c>
      <c r="S49" s="316">
        <f t="shared" si="6"/>
        <v>0</v>
      </c>
    </row>
    <row r="50" spans="1:19">
      <c r="A50" s="150"/>
      <c r="B50" s="54"/>
      <c r="C50" s="21">
        <f t="shared" si="7"/>
        <v>1</v>
      </c>
      <c r="D50" s="667"/>
      <c r="E50" s="21">
        <f t="shared" si="8"/>
        <v>1</v>
      </c>
      <c r="F50" s="667"/>
      <c r="G50" s="21">
        <f t="shared" si="9"/>
        <v>1</v>
      </c>
      <c r="H50" s="667"/>
      <c r="I50" s="21">
        <f t="shared" si="10"/>
        <v>1</v>
      </c>
      <c r="J50" s="667"/>
      <c r="K50" s="21">
        <f t="shared" si="11"/>
        <v>1</v>
      </c>
      <c r="L50" s="667"/>
      <c r="M50" s="21">
        <f t="shared" si="12"/>
        <v>1</v>
      </c>
      <c r="N50" s="667"/>
      <c r="O50" s="21">
        <f t="shared" si="13"/>
        <v>1</v>
      </c>
      <c r="P50" s="667"/>
      <c r="Q50" s="21">
        <f t="shared" si="14"/>
        <v>1</v>
      </c>
      <c r="R50" s="663">
        <f t="shared" si="15"/>
        <v>0</v>
      </c>
      <c r="S50" s="316">
        <f t="shared" si="6"/>
        <v>0</v>
      </c>
    </row>
    <row r="51" spans="1:19">
      <c r="A51" s="150"/>
      <c r="B51" s="54"/>
      <c r="C51" s="21">
        <f t="shared" si="7"/>
        <v>1</v>
      </c>
      <c r="D51" s="667"/>
      <c r="E51" s="21">
        <f t="shared" si="8"/>
        <v>1</v>
      </c>
      <c r="F51" s="667"/>
      <c r="G51" s="21">
        <f t="shared" si="9"/>
        <v>1</v>
      </c>
      <c r="H51" s="667"/>
      <c r="I51" s="21">
        <f t="shared" si="10"/>
        <v>1</v>
      </c>
      <c r="J51" s="667"/>
      <c r="K51" s="21">
        <f t="shared" si="11"/>
        <v>1</v>
      </c>
      <c r="L51" s="667"/>
      <c r="M51" s="21">
        <f t="shared" si="12"/>
        <v>1</v>
      </c>
      <c r="N51" s="667"/>
      <c r="O51" s="21">
        <f t="shared" si="13"/>
        <v>1</v>
      </c>
      <c r="P51" s="667"/>
      <c r="Q51" s="21">
        <f t="shared" si="14"/>
        <v>1</v>
      </c>
      <c r="R51" s="663">
        <f t="shared" si="15"/>
        <v>0</v>
      </c>
      <c r="S51" s="316">
        <f t="shared" si="6"/>
        <v>0</v>
      </c>
    </row>
    <row r="52" spans="1:19">
      <c r="A52" s="150"/>
      <c r="B52" s="54"/>
      <c r="C52" s="21">
        <f t="shared" si="7"/>
        <v>1</v>
      </c>
      <c r="D52" s="667"/>
      <c r="E52" s="21">
        <f t="shared" si="8"/>
        <v>1</v>
      </c>
      <c r="F52" s="667"/>
      <c r="G52" s="21">
        <f t="shared" si="9"/>
        <v>1</v>
      </c>
      <c r="H52" s="667"/>
      <c r="I52" s="21">
        <f t="shared" si="10"/>
        <v>1</v>
      </c>
      <c r="J52" s="667"/>
      <c r="K52" s="21">
        <f t="shared" si="11"/>
        <v>1</v>
      </c>
      <c r="L52" s="667"/>
      <c r="M52" s="21">
        <f t="shared" si="12"/>
        <v>1</v>
      </c>
      <c r="N52" s="667"/>
      <c r="O52" s="21">
        <f t="shared" si="13"/>
        <v>1</v>
      </c>
      <c r="P52" s="667"/>
      <c r="Q52" s="21">
        <f t="shared" si="14"/>
        <v>1</v>
      </c>
      <c r="R52" s="663">
        <f t="shared" si="15"/>
        <v>0</v>
      </c>
      <c r="S52" s="316">
        <f t="shared" si="6"/>
        <v>0</v>
      </c>
    </row>
    <row r="53" spans="1:19">
      <c r="A53" s="150"/>
      <c r="B53" s="54"/>
      <c r="C53" s="21">
        <f t="shared" si="7"/>
        <v>1</v>
      </c>
      <c r="D53" s="667"/>
      <c r="E53" s="21">
        <f t="shared" si="8"/>
        <v>1</v>
      </c>
      <c r="F53" s="667"/>
      <c r="G53" s="21">
        <f t="shared" si="9"/>
        <v>1</v>
      </c>
      <c r="H53" s="667"/>
      <c r="I53" s="21">
        <f t="shared" si="10"/>
        <v>1</v>
      </c>
      <c r="J53" s="667"/>
      <c r="K53" s="21">
        <f t="shared" si="11"/>
        <v>1</v>
      </c>
      <c r="L53" s="667"/>
      <c r="M53" s="21">
        <f t="shared" si="12"/>
        <v>1</v>
      </c>
      <c r="N53" s="667"/>
      <c r="O53" s="21">
        <f t="shared" si="13"/>
        <v>1</v>
      </c>
      <c r="P53" s="667"/>
      <c r="Q53" s="21">
        <f t="shared" si="14"/>
        <v>1</v>
      </c>
      <c r="R53" s="663">
        <f t="shared" si="15"/>
        <v>0</v>
      </c>
      <c r="S53" s="316">
        <f t="shared" si="6"/>
        <v>0</v>
      </c>
    </row>
    <row r="54" spans="1:19">
      <c r="A54" s="150"/>
      <c r="B54" s="54"/>
      <c r="C54" s="21">
        <f t="shared" si="7"/>
        <v>1</v>
      </c>
      <c r="D54" s="667"/>
      <c r="E54" s="21">
        <f t="shared" si="8"/>
        <v>1</v>
      </c>
      <c r="F54" s="667"/>
      <c r="G54" s="21">
        <f t="shared" si="9"/>
        <v>1</v>
      </c>
      <c r="H54" s="667"/>
      <c r="I54" s="21">
        <f t="shared" si="10"/>
        <v>1</v>
      </c>
      <c r="J54" s="667"/>
      <c r="K54" s="21">
        <f t="shared" si="11"/>
        <v>1</v>
      </c>
      <c r="L54" s="667"/>
      <c r="M54" s="21">
        <f t="shared" si="12"/>
        <v>1</v>
      </c>
      <c r="N54" s="667"/>
      <c r="O54" s="21">
        <f t="shared" si="13"/>
        <v>1</v>
      </c>
      <c r="P54" s="667"/>
      <c r="Q54" s="21">
        <f t="shared" si="14"/>
        <v>1</v>
      </c>
      <c r="R54" s="663">
        <f t="shared" si="15"/>
        <v>0</v>
      </c>
      <c r="S54" s="316">
        <f t="shared" si="6"/>
        <v>0</v>
      </c>
    </row>
    <row r="55" spans="1:19">
      <c r="A55" s="150"/>
      <c r="B55" s="54"/>
      <c r="C55" s="21">
        <f t="shared" si="7"/>
        <v>1</v>
      </c>
      <c r="D55" s="667"/>
      <c r="E55" s="21">
        <f t="shared" si="8"/>
        <v>1</v>
      </c>
      <c r="F55" s="667"/>
      <c r="G55" s="21">
        <f t="shared" si="9"/>
        <v>1</v>
      </c>
      <c r="H55" s="667"/>
      <c r="I55" s="21">
        <f t="shared" si="10"/>
        <v>1</v>
      </c>
      <c r="J55" s="667"/>
      <c r="K55" s="21">
        <f t="shared" si="11"/>
        <v>1</v>
      </c>
      <c r="L55" s="667"/>
      <c r="M55" s="21">
        <f t="shared" si="12"/>
        <v>1</v>
      </c>
      <c r="N55" s="667"/>
      <c r="O55" s="21">
        <f t="shared" si="13"/>
        <v>1</v>
      </c>
      <c r="P55" s="667"/>
      <c r="Q55" s="21">
        <f t="shared" si="14"/>
        <v>1</v>
      </c>
      <c r="R55" s="663">
        <f t="shared" si="15"/>
        <v>0</v>
      </c>
      <c r="S55" s="316">
        <f t="shared" ref="S55:S77" si="16">ROUND(R55*B55/10000,0)</f>
        <v>0</v>
      </c>
    </row>
    <row r="56" spans="1:19">
      <c r="A56" s="150"/>
      <c r="B56" s="54"/>
      <c r="C56" s="21">
        <f t="shared" si="7"/>
        <v>1</v>
      </c>
      <c r="D56" s="667"/>
      <c r="E56" s="21">
        <f t="shared" si="8"/>
        <v>1</v>
      </c>
      <c r="F56" s="667"/>
      <c r="G56" s="21">
        <f t="shared" si="9"/>
        <v>1</v>
      </c>
      <c r="H56" s="667"/>
      <c r="I56" s="21">
        <f t="shared" si="10"/>
        <v>1</v>
      </c>
      <c r="J56" s="667"/>
      <c r="K56" s="21">
        <f t="shared" si="11"/>
        <v>1</v>
      </c>
      <c r="L56" s="667"/>
      <c r="M56" s="21">
        <f t="shared" si="12"/>
        <v>1</v>
      </c>
      <c r="N56" s="667"/>
      <c r="O56" s="21">
        <f t="shared" si="13"/>
        <v>1</v>
      </c>
      <c r="P56" s="667"/>
      <c r="Q56" s="21">
        <f t="shared" si="14"/>
        <v>1</v>
      </c>
      <c r="R56" s="663">
        <f t="shared" si="15"/>
        <v>0</v>
      </c>
      <c r="S56" s="316">
        <f t="shared" si="16"/>
        <v>0</v>
      </c>
    </row>
    <row r="57" spans="1:19">
      <c r="A57" s="150"/>
      <c r="B57" s="54"/>
      <c r="C57" s="21">
        <f t="shared" si="7"/>
        <v>1</v>
      </c>
      <c r="D57" s="667"/>
      <c r="E57" s="21">
        <f t="shared" si="8"/>
        <v>1</v>
      </c>
      <c r="F57" s="667"/>
      <c r="G57" s="21">
        <f t="shared" si="9"/>
        <v>1</v>
      </c>
      <c r="H57" s="667"/>
      <c r="I57" s="21">
        <f t="shared" si="10"/>
        <v>1</v>
      </c>
      <c r="J57" s="667"/>
      <c r="K57" s="21">
        <f t="shared" si="11"/>
        <v>1</v>
      </c>
      <c r="L57" s="667"/>
      <c r="M57" s="21">
        <f t="shared" si="12"/>
        <v>1</v>
      </c>
      <c r="N57" s="667"/>
      <c r="O57" s="21">
        <f t="shared" si="13"/>
        <v>1</v>
      </c>
      <c r="P57" s="667"/>
      <c r="Q57" s="21">
        <f t="shared" si="14"/>
        <v>1</v>
      </c>
      <c r="R57" s="663">
        <f t="shared" si="15"/>
        <v>0</v>
      </c>
      <c r="S57" s="316">
        <f t="shared" si="16"/>
        <v>0</v>
      </c>
    </row>
    <row r="58" spans="1:19">
      <c r="A58" s="150"/>
      <c r="B58" s="54"/>
      <c r="C58" s="21">
        <f t="shared" si="7"/>
        <v>1</v>
      </c>
      <c r="D58" s="667"/>
      <c r="E58" s="21">
        <f t="shared" si="8"/>
        <v>1</v>
      </c>
      <c r="F58" s="667"/>
      <c r="G58" s="21">
        <f t="shared" si="9"/>
        <v>1</v>
      </c>
      <c r="H58" s="667"/>
      <c r="I58" s="21">
        <f t="shared" si="10"/>
        <v>1</v>
      </c>
      <c r="J58" s="667"/>
      <c r="K58" s="21">
        <f t="shared" si="11"/>
        <v>1</v>
      </c>
      <c r="L58" s="667"/>
      <c r="M58" s="21">
        <f t="shared" si="12"/>
        <v>1</v>
      </c>
      <c r="N58" s="667"/>
      <c r="O58" s="21">
        <f t="shared" si="13"/>
        <v>1</v>
      </c>
      <c r="P58" s="667"/>
      <c r="Q58" s="21">
        <f t="shared" si="14"/>
        <v>1</v>
      </c>
      <c r="R58" s="663">
        <f t="shared" si="15"/>
        <v>0</v>
      </c>
      <c r="S58" s="316">
        <f t="shared" si="16"/>
        <v>0</v>
      </c>
    </row>
    <row r="59" spans="1:19">
      <c r="A59" s="150"/>
      <c r="B59" s="54"/>
      <c r="C59" s="21">
        <f t="shared" si="7"/>
        <v>1</v>
      </c>
      <c r="D59" s="667"/>
      <c r="E59" s="21">
        <f t="shared" si="8"/>
        <v>1</v>
      </c>
      <c r="F59" s="667"/>
      <c r="G59" s="21">
        <f t="shared" si="9"/>
        <v>1</v>
      </c>
      <c r="H59" s="667"/>
      <c r="I59" s="21">
        <f t="shared" si="10"/>
        <v>1</v>
      </c>
      <c r="J59" s="667"/>
      <c r="K59" s="21">
        <f t="shared" si="11"/>
        <v>1</v>
      </c>
      <c r="L59" s="667"/>
      <c r="M59" s="21">
        <f t="shared" si="12"/>
        <v>1</v>
      </c>
      <c r="N59" s="667"/>
      <c r="O59" s="21">
        <f t="shared" si="13"/>
        <v>1</v>
      </c>
      <c r="P59" s="667"/>
      <c r="Q59" s="21">
        <f t="shared" si="14"/>
        <v>1</v>
      </c>
      <c r="R59" s="663">
        <f t="shared" si="15"/>
        <v>0</v>
      </c>
      <c r="S59" s="316">
        <f t="shared" si="16"/>
        <v>0</v>
      </c>
    </row>
    <row r="60" spans="1:19">
      <c r="A60" s="150"/>
      <c r="B60" s="54"/>
      <c r="C60" s="21">
        <f t="shared" si="7"/>
        <v>1</v>
      </c>
      <c r="D60" s="667"/>
      <c r="E60" s="21">
        <f t="shared" si="8"/>
        <v>1</v>
      </c>
      <c r="F60" s="667"/>
      <c r="G60" s="21">
        <f t="shared" si="9"/>
        <v>1</v>
      </c>
      <c r="H60" s="667"/>
      <c r="I60" s="21">
        <f t="shared" si="10"/>
        <v>1</v>
      </c>
      <c r="J60" s="667"/>
      <c r="K60" s="21">
        <f t="shared" si="11"/>
        <v>1</v>
      </c>
      <c r="L60" s="667"/>
      <c r="M60" s="21">
        <f t="shared" si="12"/>
        <v>1</v>
      </c>
      <c r="N60" s="667"/>
      <c r="O60" s="21">
        <f t="shared" si="13"/>
        <v>1</v>
      </c>
      <c r="P60" s="667"/>
      <c r="Q60" s="21">
        <f t="shared" si="14"/>
        <v>1</v>
      </c>
      <c r="R60" s="663">
        <f t="shared" si="15"/>
        <v>0</v>
      </c>
      <c r="S60" s="316">
        <f t="shared" si="16"/>
        <v>0</v>
      </c>
    </row>
    <row r="61" spans="1:19">
      <c r="A61" s="150"/>
      <c r="B61" s="54"/>
      <c r="C61" s="21">
        <f t="shared" si="7"/>
        <v>1</v>
      </c>
      <c r="D61" s="667"/>
      <c r="E61" s="21">
        <f t="shared" si="8"/>
        <v>1</v>
      </c>
      <c r="F61" s="667"/>
      <c r="G61" s="21">
        <f t="shared" si="9"/>
        <v>1</v>
      </c>
      <c r="H61" s="667"/>
      <c r="I61" s="21">
        <f t="shared" si="10"/>
        <v>1</v>
      </c>
      <c r="J61" s="667"/>
      <c r="K61" s="21">
        <f t="shared" si="11"/>
        <v>1</v>
      </c>
      <c r="L61" s="667"/>
      <c r="M61" s="21">
        <f t="shared" si="12"/>
        <v>1</v>
      </c>
      <c r="N61" s="667"/>
      <c r="O61" s="21">
        <f t="shared" si="13"/>
        <v>1</v>
      </c>
      <c r="P61" s="667"/>
      <c r="Q61" s="21">
        <f t="shared" si="14"/>
        <v>1</v>
      </c>
      <c r="R61" s="663">
        <f t="shared" si="15"/>
        <v>0</v>
      </c>
      <c r="S61" s="316">
        <f t="shared" si="16"/>
        <v>0</v>
      </c>
    </row>
    <row r="62" spans="1:19">
      <c r="A62" s="150"/>
      <c r="B62" s="54"/>
      <c r="C62" s="21">
        <f t="shared" si="7"/>
        <v>1</v>
      </c>
      <c r="D62" s="667"/>
      <c r="E62" s="21">
        <f t="shared" si="8"/>
        <v>1</v>
      </c>
      <c r="F62" s="667"/>
      <c r="G62" s="21">
        <f t="shared" si="9"/>
        <v>1</v>
      </c>
      <c r="H62" s="667"/>
      <c r="I62" s="21">
        <f t="shared" si="10"/>
        <v>1</v>
      </c>
      <c r="J62" s="667"/>
      <c r="K62" s="21">
        <f t="shared" si="11"/>
        <v>1</v>
      </c>
      <c r="L62" s="667"/>
      <c r="M62" s="21">
        <f t="shared" si="12"/>
        <v>1</v>
      </c>
      <c r="N62" s="667"/>
      <c r="O62" s="21">
        <f t="shared" si="13"/>
        <v>1</v>
      </c>
      <c r="P62" s="667"/>
      <c r="Q62" s="21">
        <f t="shared" si="14"/>
        <v>1</v>
      </c>
      <c r="R62" s="663">
        <f t="shared" si="15"/>
        <v>0</v>
      </c>
      <c r="S62" s="316">
        <f t="shared" si="16"/>
        <v>0</v>
      </c>
    </row>
    <row r="63" spans="1:19">
      <c r="A63" s="150"/>
      <c r="B63" s="54"/>
      <c r="C63" s="21">
        <f t="shared" si="7"/>
        <v>1</v>
      </c>
      <c r="D63" s="667"/>
      <c r="E63" s="21">
        <f t="shared" si="8"/>
        <v>1</v>
      </c>
      <c r="F63" s="667"/>
      <c r="G63" s="21">
        <f t="shared" si="9"/>
        <v>1</v>
      </c>
      <c r="H63" s="667"/>
      <c r="I63" s="21">
        <f t="shared" si="10"/>
        <v>1</v>
      </c>
      <c r="J63" s="667"/>
      <c r="K63" s="21">
        <f t="shared" si="11"/>
        <v>1</v>
      </c>
      <c r="L63" s="667"/>
      <c r="M63" s="21">
        <f t="shared" si="12"/>
        <v>1</v>
      </c>
      <c r="N63" s="667"/>
      <c r="O63" s="21">
        <f t="shared" si="13"/>
        <v>1</v>
      </c>
      <c r="P63" s="667"/>
      <c r="Q63" s="21">
        <f t="shared" si="14"/>
        <v>1</v>
      </c>
      <c r="R63" s="663">
        <f t="shared" si="15"/>
        <v>0</v>
      </c>
      <c r="S63" s="316">
        <f t="shared" si="16"/>
        <v>0</v>
      </c>
    </row>
    <row r="64" spans="1:19">
      <c r="A64" s="150"/>
      <c r="B64" s="54"/>
      <c r="C64" s="21">
        <f t="shared" si="7"/>
        <v>1</v>
      </c>
      <c r="D64" s="667"/>
      <c r="E64" s="21">
        <f t="shared" si="8"/>
        <v>1</v>
      </c>
      <c r="F64" s="667"/>
      <c r="G64" s="21">
        <f t="shared" si="9"/>
        <v>1</v>
      </c>
      <c r="H64" s="667"/>
      <c r="I64" s="21">
        <f t="shared" si="10"/>
        <v>1</v>
      </c>
      <c r="J64" s="667"/>
      <c r="K64" s="21">
        <f t="shared" si="11"/>
        <v>1</v>
      </c>
      <c r="L64" s="667"/>
      <c r="M64" s="21">
        <f t="shared" si="12"/>
        <v>1</v>
      </c>
      <c r="N64" s="667"/>
      <c r="O64" s="21">
        <f t="shared" si="13"/>
        <v>1</v>
      </c>
      <c r="P64" s="667"/>
      <c r="Q64" s="21">
        <f t="shared" si="14"/>
        <v>1</v>
      </c>
      <c r="R64" s="663">
        <f t="shared" si="15"/>
        <v>0</v>
      </c>
      <c r="S64" s="316">
        <f t="shared" si="16"/>
        <v>0</v>
      </c>
    </row>
    <row r="65" spans="1:19">
      <c r="A65" s="150"/>
      <c r="B65" s="54"/>
      <c r="C65" s="21">
        <f t="shared" si="7"/>
        <v>1</v>
      </c>
      <c r="D65" s="667"/>
      <c r="E65" s="21">
        <f t="shared" si="8"/>
        <v>1</v>
      </c>
      <c r="F65" s="667"/>
      <c r="G65" s="21">
        <f t="shared" si="9"/>
        <v>1</v>
      </c>
      <c r="H65" s="667"/>
      <c r="I65" s="21">
        <f t="shared" si="10"/>
        <v>1</v>
      </c>
      <c r="J65" s="667"/>
      <c r="K65" s="21">
        <f t="shared" si="11"/>
        <v>1</v>
      </c>
      <c r="L65" s="667"/>
      <c r="M65" s="21">
        <f t="shared" si="12"/>
        <v>1</v>
      </c>
      <c r="N65" s="667"/>
      <c r="O65" s="21">
        <f t="shared" si="13"/>
        <v>1</v>
      </c>
      <c r="P65" s="667"/>
      <c r="Q65" s="21">
        <f t="shared" si="14"/>
        <v>1</v>
      </c>
      <c r="R65" s="663">
        <f t="shared" si="15"/>
        <v>0</v>
      </c>
      <c r="S65" s="316">
        <f t="shared" si="16"/>
        <v>0</v>
      </c>
    </row>
    <row r="66" spans="1:19">
      <c r="A66" s="150"/>
      <c r="B66" s="54"/>
      <c r="C66" s="21">
        <f t="shared" si="7"/>
        <v>1</v>
      </c>
      <c r="D66" s="667"/>
      <c r="E66" s="21">
        <f t="shared" si="8"/>
        <v>1</v>
      </c>
      <c r="F66" s="667"/>
      <c r="G66" s="21">
        <f t="shared" si="9"/>
        <v>1</v>
      </c>
      <c r="H66" s="667"/>
      <c r="I66" s="21">
        <f t="shared" si="10"/>
        <v>1</v>
      </c>
      <c r="J66" s="667"/>
      <c r="K66" s="21">
        <f t="shared" si="11"/>
        <v>1</v>
      </c>
      <c r="L66" s="667"/>
      <c r="M66" s="21">
        <f t="shared" si="12"/>
        <v>1</v>
      </c>
      <c r="N66" s="667"/>
      <c r="O66" s="21">
        <f t="shared" si="13"/>
        <v>1</v>
      </c>
      <c r="P66" s="667"/>
      <c r="Q66" s="21">
        <f t="shared" si="14"/>
        <v>1</v>
      </c>
      <c r="R66" s="663">
        <f t="shared" si="15"/>
        <v>0</v>
      </c>
      <c r="S66" s="316">
        <f t="shared" si="16"/>
        <v>0</v>
      </c>
    </row>
    <row r="67" spans="1:19">
      <c r="A67" s="150"/>
      <c r="B67" s="54"/>
      <c r="C67" s="21">
        <f t="shared" si="7"/>
        <v>1</v>
      </c>
      <c r="D67" s="667"/>
      <c r="E67" s="21">
        <f t="shared" si="8"/>
        <v>1</v>
      </c>
      <c r="F67" s="667"/>
      <c r="G67" s="21">
        <f t="shared" si="9"/>
        <v>1</v>
      </c>
      <c r="H67" s="667"/>
      <c r="I67" s="21">
        <f t="shared" si="10"/>
        <v>1</v>
      </c>
      <c r="J67" s="667"/>
      <c r="K67" s="21">
        <f t="shared" si="11"/>
        <v>1</v>
      </c>
      <c r="L67" s="667"/>
      <c r="M67" s="21">
        <f t="shared" si="12"/>
        <v>1</v>
      </c>
      <c r="N67" s="667"/>
      <c r="O67" s="21">
        <f t="shared" si="13"/>
        <v>1</v>
      </c>
      <c r="P67" s="667"/>
      <c r="Q67" s="21">
        <f t="shared" si="14"/>
        <v>1</v>
      </c>
      <c r="R67" s="663">
        <f t="shared" si="15"/>
        <v>0</v>
      </c>
      <c r="S67" s="316">
        <f t="shared" si="16"/>
        <v>0</v>
      </c>
    </row>
    <row r="68" spans="1:19">
      <c r="A68" s="150"/>
      <c r="B68" s="54"/>
      <c r="C68" s="21">
        <f t="shared" si="7"/>
        <v>1</v>
      </c>
      <c r="D68" s="667"/>
      <c r="E68" s="21">
        <f t="shared" si="8"/>
        <v>1</v>
      </c>
      <c r="F68" s="667"/>
      <c r="G68" s="21">
        <f t="shared" si="9"/>
        <v>1</v>
      </c>
      <c r="H68" s="667"/>
      <c r="I68" s="21">
        <f t="shared" si="10"/>
        <v>1</v>
      </c>
      <c r="J68" s="667"/>
      <c r="K68" s="21">
        <f t="shared" si="11"/>
        <v>1</v>
      </c>
      <c r="L68" s="667"/>
      <c r="M68" s="21">
        <f t="shared" si="12"/>
        <v>1</v>
      </c>
      <c r="N68" s="667"/>
      <c r="O68" s="21">
        <f t="shared" si="13"/>
        <v>1</v>
      </c>
      <c r="P68" s="667"/>
      <c r="Q68" s="21">
        <f t="shared" si="14"/>
        <v>1</v>
      </c>
      <c r="R68" s="663">
        <f t="shared" si="15"/>
        <v>0</v>
      </c>
      <c r="S68" s="316">
        <f t="shared" si="16"/>
        <v>0</v>
      </c>
    </row>
    <row r="69" spans="1:19">
      <c r="A69" s="150"/>
      <c r="B69" s="54"/>
      <c r="C69" s="21">
        <f t="shared" si="7"/>
        <v>1</v>
      </c>
      <c r="D69" s="667"/>
      <c r="E69" s="21">
        <f t="shared" si="8"/>
        <v>1</v>
      </c>
      <c r="F69" s="667"/>
      <c r="G69" s="21">
        <f t="shared" si="9"/>
        <v>1</v>
      </c>
      <c r="H69" s="667"/>
      <c r="I69" s="21">
        <f t="shared" si="10"/>
        <v>1</v>
      </c>
      <c r="J69" s="667"/>
      <c r="K69" s="21">
        <f t="shared" si="11"/>
        <v>1</v>
      </c>
      <c r="L69" s="667"/>
      <c r="M69" s="21">
        <f t="shared" si="12"/>
        <v>1</v>
      </c>
      <c r="N69" s="667"/>
      <c r="O69" s="21">
        <f t="shared" si="13"/>
        <v>1</v>
      </c>
      <c r="P69" s="667"/>
      <c r="Q69" s="21">
        <f t="shared" si="14"/>
        <v>1</v>
      </c>
      <c r="R69" s="663">
        <f t="shared" si="15"/>
        <v>0</v>
      </c>
      <c r="S69" s="316">
        <f t="shared" si="16"/>
        <v>0</v>
      </c>
    </row>
    <row r="70" spans="1:19">
      <c r="A70" s="150"/>
      <c r="B70" s="54"/>
      <c r="C70" s="21">
        <f t="shared" si="7"/>
        <v>1</v>
      </c>
      <c r="D70" s="667"/>
      <c r="E70" s="21">
        <f t="shared" si="8"/>
        <v>1</v>
      </c>
      <c r="F70" s="667"/>
      <c r="G70" s="21">
        <f t="shared" si="9"/>
        <v>1</v>
      </c>
      <c r="H70" s="667"/>
      <c r="I70" s="21">
        <f t="shared" si="10"/>
        <v>1</v>
      </c>
      <c r="J70" s="667"/>
      <c r="K70" s="21">
        <f t="shared" si="11"/>
        <v>1</v>
      </c>
      <c r="L70" s="667"/>
      <c r="M70" s="21">
        <f t="shared" si="12"/>
        <v>1</v>
      </c>
      <c r="N70" s="667"/>
      <c r="O70" s="21">
        <f t="shared" si="13"/>
        <v>1</v>
      </c>
      <c r="P70" s="667"/>
      <c r="Q70" s="21">
        <f t="shared" si="14"/>
        <v>1</v>
      </c>
      <c r="R70" s="663">
        <f t="shared" si="15"/>
        <v>0</v>
      </c>
      <c r="S70" s="316">
        <f t="shared" si="16"/>
        <v>0</v>
      </c>
    </row>
    <row r="71" spans="1:19">
      <c r="A71" s="150"/>
      <c r="B71" s="54"/>
      <c r="C71" s="21">
        <f t="shared" si="7"/>
        <v>1</v>
      </c>
      <c r="D71" s="667"/>
      <c r="E71" s="21">
        <f t="shared" si="8"/>
        <v>1</v>
      </c>
      <c r="F71" s="667"/>
      <c r="G71" s="21">
        <f t="shared" si="9"/>
        <v>1</v>
      </c>
      <c r="H71" s="667"/>
      <c r="I71" s="21">
        <f t="shared" si="10"/>
        <v>1</v>
      </c>
      <c r="J71" s="667"/>
      <c r="K71" s="21">
        <f t="shared" si="11"/>
        <v>1</v>
      </c>
      <c r="L71" s="667"/>
      <c r="M71" s="21">
        <f t="shared" si="12"/>
        <v>1</v>
      </c>
      <c r="N71" s="667"/>
      <c r="O71" s="21">
        <f t="shared" si="13"/>
        <v>1</v>
      </c>
      <c r="P71" s="667"/>
      <c r="Q71" s="21">
        <f t="shared" si="14"/>
        <v>1</v>
      </c>
      <c r="R71" s="663">
        <f t="shared" si="15"/>
        <v>0</v>
      </c>
      <c r="S71" s="316">
        <f t="shared" si="16"/>
        <v>0</v>
      </c>
    </row>
    <row r="72" spans="1:19">
      <c r="A72" s="150"/>
      <c r="B72" s="54"/>
      <c r="C72" s="21">
        <f t="shared" si="7"/>
        <v>1</v>
      </c>
      <c r="D72" s="667"/>
      <c r="E72" s="21">
        <f t="shared" si="8"/>
        <v>1</v>
      </c>
      <c r="F72" s="667"/>
      <c r="G72" s="21">
        <f t="shared" si="9"/>
        <v>1</v>
      </c>
      <c r="H72" s="667"/>
      <c r="I72" s="21">
        <f t="shared" si="10"/>
        <v>1</v>
      </c>
      <c r="J72" s="667"/>
      <c r="K72" s="21">
        <f t="shared" si="11"/>
        <v>1</v>
      </c>
      <c r="L72" s="667"/>
      <c r="M72" s="21">
        <f t="shared" si="12"/>
        <v>1</v>
      </c>
      <c r="N72" s="667"/>
      <c r="O72" s="21">
        <f t="shared" si="13"/>
        <v>1</v>
      </c>
      <c r="P72" s="667"/>
      <c r="Q72" s="21">
        <f t="shared" si="14"/>
        <v>1</v>
      </c>
      <c r="R72" s="663">
        <f t="shared" si="15"/>
        <v>0</v>
      </c>
      <c r="S72" s="316">
        <f t="shared" si="16"/>
        <v>0</v>
      </c>
    </row>
    <row r="73" spans="1:19">
      <c r="A73" s="150"/>
      <c r="B73" s="54"/>
      <c r="C73" s="21">
        <f t="shared" si="7"/>
        <v>1</v>
      </c>
      <c r="D73" s="667"/>
      <c r="E73" s="21">
        <f t="shared" si="8"/>
        <v>1</v>
      </c>
      <c r="F73" s="667"/>
      <c r="G73" s="21">
        <f t="shared" si="9"/>
        <v>1</v>
      </c>
      <c r="H73" s="667"/>
      <c r="I73" s="21">
        <f t="shared" si="10"/>
        <v>1</v>
      </c>
      <c r="J73" s="667"/>
      <c r="K73" s="21">
        <f t="shared" si="11"/>
        <v>1</v>
      </c>
      <c r="L73" s="667"/>
      <c r="M73" s="21">
        <f t="shared" si="12"/>
        <v>1</v>
      </c>
      <c r="N73" s="667"/>
      <c r="O73" s="21">
        <f t="shared" si="13"/>
        <v>1</v>
      </c>
      <c r="P73" s="667"/>
      <c r="Q73" s="21">
        <f t="shared" si="14"/>
        <v>1</v>
      </c>
      <c r="R73" s="663">
        <f t="shared" si="15"/>
        <v>0</v>
      </c>
      <c r="S73" s="316">
        <f t="shared" si="16"/>
        <v>0</v>
      </c>
    </row>
    <row r="74" spans="1:19">
      <c r="A74" s="150"/>
      <c r="B74" s="54"/>
      <c r="C74" s="21">
        <f t="shared" si="7"/>
        <v>1</v>
      </c>
      <c r="D74" s="667"/>
      <c r="E74" s="21">
        <f t="shared" si="8"/>
        <v>1</v>
      </c>
      <c r="F74" s="667"/>
      <c r="G74" s="21">
        <f t="shared" si="9"/>
        <v>1</v>
      </c>
      <c r="H74" s="667"/>
      <c r="I74" s="21">
        <f t="shared" si="10"/>
        <v>1</v>
      </c>
      <c r="J74" s="667"/>
      <c r="K74" s="21">
        <f t="shared" si="11"/>
        <v>1</v>
      </c>
      <c r="L74" s="667"/>
      <c r="M74" s="21">
        <f t="shared" si="12"/>
        <v>1</v>
      </c>
      <c r="N74" s="667"/>
      <c r="O74" s="21">
        <f t="shared" si="13"/>
        <v>1</v>
      </c>
      <c r="P74" s="667"/>
      <c r="Q74" s="21">
        <f t="shared" si="14"/>
        <v>1</v>
      </c>
      <c r="R74" s="663">
        <f t="shared" si="15"/>
        <v>0</v>
      </c>
      <c r="S74" s="316">
        <f t="shared" si="16"/>
        <v>0</v>
      </c>
    </row>
    <row r="75" spans="1:19">
      <c r="A75" s="150"/>
      <c r="B75" s="54"/>
      <c r="C75" s="21">
        <f t="shared" si="7"/>
        <v>1</v>
      </c>
      <c r="D75" s="667"/>
      <c r="E75" s="21">
        <f t="shared" si="8"/>
        <v>1</v>
      </c>
      <c r="F75" s="667"/>
      <c r="G75" s="21">
        <f t="shared" si="9"/>
        <v>1</v>
      </c>
      <c r="H75" s="667"/>
      <c r="I75" s="21">
        <f t="shared" si="10"/>
        <v>1</v>
      </c>
      <c r="J75" s="667"/>
      <c r="K75" s="21">
        <f t="shared" si="11"/>
        <v>1</v>
      </c>
      <c r="L75" s="667"/>
      <c r="M75" s="21">
        <f t="shared" si="12"/>
        <v>1</v>
      </c>
      <c r="N75" s="667"/>
      <c r="O75" s="21">
        <f t="shared" si="13"/>
        <v>1</v>
      </c>
      <c r="P75" s="667"/>
      <c r="Q75" s="21">
        <f t="shared" si="14"/>
        <v>1</v>
      </c>
      <c r="R75" s="663">
        <f t="shared" si="15"/>
        <v>0</v>
      </c>
      <c r="S75" s="316">
        <f t="shared" si="16"/>
        <v>0</v>
      </c>
    </row>
    <row r="76" spans="1:19">
      <c r="A76" s="150"/>
      <c r="B76" s="54"/>
      <c r="C76" s="21">
        <f t="shared" si="7"/>
        <v>1</v>
      </c>
      <c r="D76" s="667"/>
      <c r="E76" s="21">
        <f t="shared" si="8"/>
        <v>1</v>
      </c>
      <c r="F76" s="667"/>
      <c r="G76" s="21">
        <f t="shared" si="9"/>
        <v>1</v>
      </c>
      <c r="H76" s="667"/>
      <c r="I76" s="21">
        <f t="shared" si="10"/>
        <v>1</v>
      </c>
      <c r="J76" s="667"/>
      <c r="K76" s="21">
        <f t="shared" si="11"/>
        <v>1</v>
      </c>
      <c r="L76" s="667"/>
      <c r="M76" s="21">
        <f t="shared" si="12"/>
        <v>1</v>
      </c>
      <c r="N76" s="667"/>
      <c r="O76" s="21">
        <f t="shared" si="13"/>
        <v>1</v>
      </c>
      <c r="P76" s="667"/>
      <c r="Q76" s="21">
        <f t="shared" si="14"/>
        <v>1</v>
      </c>
      <c r="R76" s="663">
        <f t="shared" si="15"/>
        <v>0</v>
      </c>
      <c r="S76" s="316">
        <f t="shared" si="16"/>
        <v>0</v>
      </c>
    </row>
    <row r="77" spans="1:19">
      <c r="A77" s="150"/>
      <c r="B77" s="54"/>
      <c r="C77" s="21">
        <f t="shared" si="7"/>
        <v>1</v>
      </c>
      <c r="D77" s="667"/>
      <c r="E77" s="21">
        <f t="shared" si="8"/>
        <v>1</v>
      </c>
      <c r="F77" s="667"/>
      <c r="G77" s="21">
        <f t="shared" si="9"/>
        <v>1</v>
      </c>
      <c r="H77" s="667"/>
      <c r="I77" s="21">
        <f t="shared" si="10"/>
        <v>1</v>
      </c>
      <c r="J77" s="667"/>
      <c r="K77" s="21">
        <f t="shared" si="11"/>
        <v>1</v>
      </c>
      <c r="L77" s="667"/>
      <c r="M77" s="21">
        <f t="shared" si="12"/>
        <v>1</v>
      </c>
      <c r="N77" s="667"/>
      <c r="O77" s="21">
        <f t="shared" si="13"/>
        <v>1</v>
      </c>
      <c r="P77" s="667"/>
      <c r="Q77" s="21">
        <f t="shared" si="14"/>
        <v>1</v>
      </c>
      <c r="R77" s="663">
        <f t="shared" si="15"/>
        <v>0</v>
      </c>
      <c r="S77" s="316">
        <f t="shared" si="16"/>
        <v>0</v>
      </c>
    </row>
    <row r="78" spans="1:19">
      <c r="A78" s="150"/>
      <c r="B78" s="54"/>
      <c r="C78" s="21">
        <f t="shared" si="7"/>
        <v>1</v>
      </c>
      <c r="D78" s="667"/>
      <c r="E78" s="21">
        <f t="shared" si="8"/>
        <v>1</v>
      </c>
      <c r="F78" s="667"/>
      <c r="G78" s="21">
        <f t="shared" si="9"/>
        <v>1</v>
      </c>
      <c r="H78" s="667"/>
      <c r="I78" s="21">
        <f t="shared" si="10"/>
        <v>1</v>
      </c>
      <c r="J78" s="667"/>
      <c r="K78" s="21">
        <f t="shared" si="11"/>
        <v>1</v>
      </c>
      <c r="L78" s="667"/>
      <c r="M78" s="21">
        <f t="shared" si="12"/>
        <v>1</v>
      </c>
      <c r="N78" s="667"/>
      <c r="O78" s="21">
        <f t="shared" si="13"/>
        <v>1</v>
      </c>
      <c r="P78" s="667"/>
      <c r="Q78" s="21">
        <f t="shared" si="14"/>
        <v>1</v>
      </c>
      <c r="R78" s="663">
        <f t="shared" si="15"/>
        <v>0</v>
      </c>
      <c r="S78" s="316">
        <f t="shared" ref="S78:S122" si="17">ROUND(R78*B78/10000,0)</f>
        <v>0</v>
      </c>
    </row>
    <row r="79" spans="1:19">
      <c r="A79" s="150"/>
      <c r="B79" s="54"/>
      <c r="C79" s="21">
        <f t="shared" si="7"/>
        <v>1</v>
      </c>
      <c r="D79" s="667"/>
      <c r="E79" s="21">
        <f t="shared" si="8"/>
        <v>1</v>
      </c>
      <c r="F79" s="667"/>
      <c r="G79" s="21">
        <f t="shared" si="9"/>
        <v>1</v>
      </c>
      <c r="H79" s="667"/>
      <c r="I79" s="21">
        <f t="shared" si="10"/>
        <v>1</v>
      </c>
      <c r="J79" s="667"/>
      <c r="K79" s="21">
        <f t="shared" si="11"/>
        <v>1</v>
      </c>
      <c r="L79" s="667"/>
      <c r="M79" s="21">
        <f t="shared" si="12"/>
        <v>1</v>
      </c>
      <c r="N79" s="667"/>
      <c r="O79" s="21">
        <f t="shared" si="13"/>
        <v>1</v>
      </c>
      <c r="P79" s="667"/>
      <c r="Q79" s="21">
        <f t="shared" si="14"/>
        <v>1</v>
      </c>
      <c r="R79" s="663">
        <f t="shared" si="15"/>
        <v>0</v>
      </c>
      <c r="S79" s="316">
        <f t="shared" si="17"/>
        <v>0</v>
      </c>
    </row>
    <row r="80" spans="1:19">
      <c r="A80" s="150"/>
      <c r="B80" s="54"/>
      <c r="C80" s="21">
        <f t="shared" si="7"/>
        <v>1</v>
      </c>
      <c r="D80" s="667"/>
      <c r="E80" s="21">
        <f t="shared" si="8"/>
        <v>1</v>
      </c>
      <c r="F80" s="667"/>
      <c r="G80" s="21">
        <f t="shared" si="9"/>
        <v>1</v>
      </c>
      <c r="H80" s="667"/>
      <c r="I80" s="21">
        <f t="shared" si="10"/>
        <v>1</v>
      </c>
      <c r="J80" s="667"/>
      <c r="K80" s="21">
        <f t="shared" si="11"/>
        <v>1</v>
      </c>
      <c r="L80" s="667"/>
      <c r="M80" s="21">
        <f t="shared" si="12"/>
        <v>1</v>
      </c>
      <c r="N80" s="667"/>
      <c r="O80" s="21">
        <f t="shared" si="13"/>
        <v>1</v>
      </c>
      <c r="P80" s="667"/>
      <c r="Q80" s="21">
        <f t="shared" si="14"/>
        <v>1</v>
      </c>
      <c r="R80" s="663">
        <f t="shared" si="15"/>
        <v>0</v>
      </c>
      <c r="S80" s="316">
        <f t="shared" si="17"/>
        <v>0</v>
      </c>
    </row>
    <row r="81" spans="1:19">
      <c r="A81" s="150"/>
      <c r="B81" s="54"/>
      <c r="C81" s="21">
        <f t="shared" si="7"/>
        <v>1</v>
      </c>
      <c r="D81" s="667"/>
      <c r="E81" s="21">
        <f t="shared" si="8"/>
        <v>1</v>
      </c>
      <c r="F81" s="667"/>
      <c r="G81" s="21">
        <f t="shared" si="9"/>
        <v>1</v>
      </c>
      <c r="H81" s="667"/>
      <c r="I81" s="21">
        <f t="shared" si="10"/>
        <v>1</v>
      </c>
      <c r="J81" s="667"/>
      <c r="K81" s="21">
        <f t="shared" si="11"/>
        <v>1</v>
      </c>
      <c r="L81" s="667"/>
      <c r="M81" s="21">
        <f t="shared" si="12"/>
        <v>1</v>
      </c>
      <c r="N81" s="667"/>
      <c r="O81" s="21">
        <f t="shared" si="13"/>
        <v>1</v>
      </c>
      <c r="P81" s="667"/>
      <c r="Q81" s="21">
        <f t="shared" si="14"/>
        <v>1</v>
      </c>
      <c r="R81" s="663">
        <f t="shared" si="15"/>
        <v>0</v>
      </c>
      <c r="S81" s="316">
        <f t="shared" si="17"/>
        <v>0</v>
      </c>
    </row>
    <row r="82" spans="1:19">
      <c r="A82" s="150"/>
      <c r="B82" s="54"/>
      <c r="C82" s="21">
        <f t="shared" si="7"/>
        <v>1</v>
      </c>
      <c r="D82" s="667"/>
      <c r="E82" s="21">
        <f t="shared" si="8"/>
        <v>1</v>
      </c>
      <c r="F82" s="667"/>
      <c r="G82" s="21">
        <f t="shared" si="9"/>
        <v>1</v>
      </c>
      <c r="H82" s="667"/>
      <c r="I82" s="21">
        <f t="shared" si="10"/>
        <v>1</v>
      </c>
      <c r="J82" s="667"/>
      <c r="K82" s="21">
        <f t="shared" si="11"/>
        <v>1</v>
      </c>
      <c r="L82" s="667"/>
      <c r="M82" s="21">
        <f t="shared" si="12"/>
        <v>1</v>
      </c>
      <c r="N82" s="667"/>
      <c r="O82" s="21">
        <f t="shared" si="13"/>
        <v>1</v>
      </c>
      <c r="P82" s="667"/>
      <c r="Q82" s="21">
        <f t="shared" si="14"/>
        <v>1</v>
      </c>
      <c r="R82" s="663">
        <f t="shared" si="15"/>
        <v>0</v>
      </c>
      <c r="S82" s="316">
        <f t="shared" si="17"/>
        <v>0</v>
      </c>
    </row>
    <row r="83" spans="1:19">
      <c r="A83" s="150"/>
      <c r="B83" s="54"/>
      <c r="C83" s="21">
        <f t="shared" si="7"/>
        <v>1</v>
      </c>
      <c r="D83" s="667"/>
      <c r="E83" s="21">
        <f t="shared" si="8"/>
        <v>1</v>
      </c>
      <c r="F83" s="667"/>
      <c r="G83" s="21">
        <f t="shared" si="9"/>
        <v>1</v>
      </c>
      <c r="H83" s="667"/>
      <c r="I83" s="21">
        <f t="shared" si="10"/>
        <v>1</v>
      </c>
      <c r="J83" s="667"/>
      <c r="K83" s="21">
        <f t="shared" si="11"/>
        <v>1</v>
      </c>
      <c r="L83" s="667"/>
      <c r="M83" s="21">
        <f t="shared" si="12"/>
        <v>1</v>
      </c>
      <c r="N83" s="667"/>
      <c r="O83" s="21">
        <f t="shared" si="13"/>
        <v>1</v>
      </c>
      <c r="P83" s="667"/>
      <c r="Q83" s="21">
        <f t="shared" si="14"/>
        <v>1</v>
      </c>
      <c r="R83" s="663">
        <f t="shared" si="15"/>
        <v>0</v>
      </c>
      <c r="S83" s="316">
        <f t="shared" si="17"/>
        <v>0</v>
      </c>
    </row>
    <row r="84" spans="1:19">
      <c r="A84" s="150"/>
      <c r="B84" s="54"/>
      <c r="C84" s="21">
        <f t="shared" si="7"/>
        <v>1</v>
      </c>
      <c r="D84" s="667"/>
      <c r="E84" s="21">
        <f t="shared" si="8"/>
        <v>1</v>
      </c>
      <c r="F84" s="667"/>
      <c r="G84" s="21">
        <f t="shared" si="9"/>
        <v>1</v>
      </c>
      <c r="H84" s="667"/>
      <c r="I84" s="21">
        <f t="shared" si="10"/>
        <v>1</v>
      </c>
      <c r="J84" s="667"/>
      <c r="K84" s="21">
        <f t="shared" si="11"/>
        <v>1</v>
      </c>
      <c r="L84" s="667"/>
      <c r="M84" s="21">
        <f t="shared" si="12"/>
        <v>1</v>
      </c>
      <c r="N84" s="667"/>
      <c r="O84" s="21">
        <f t="shared" si="13"/>
        <v>1</v>
      </c>
      <c r="P84" s="667"/>
      <c r="Q84" s="21">
        <f t="shared" si="14"/>
        <v>1</v>
      </c>
      <c r="R84" s="663">
        <f t="shared" si="15"/>
        <v>0</v>
      </c>
      <c r="S84" s="316">
        <f t="shared" si="17"/>
        <v>0</v>
      </c>
    </row>
    <row r="85" spans="1:19">
      <c r="A85" s="150"/>
      <c r="B85" s="54"/>
      <c r="C85" s="21">
        <f t="shared" si="7"/>
        <v>1</v>
      </c>
      <c r="D85" s="667"/>
      <c r="E85" s="21">
        <f t="shared" si="8"/>
        <v>1</v>
      </c>
      <c r="F85" s="667"/>
      <c r="G85" s="21">
        <f t="shared" si="9"/>
        <v>1</v>
      </c>
      <c r="H85" s="667"/>
      <c r="I85" s="21">
        <f t="shared" si="10"/>
        <v>1</v>
      </c>
      <c r="J85" s="667"/>
      <c r="K85" s="21">
        <f t="shared" si="11"/>
        <v>1</v>
      </c>
      <c r="L85" s="667"/>
      <c r="M85" s="21">
        <f t="shared" si="12"/>
        <v>1</v>
      </c>
      <c r="N85" s="667"/>
      <c r="O85" s="21">
        <f t="shared" si="13"/>
        <v>1</v>
      </c>
      <c r="P85" s="667"/>
      <c r="Q85" s="21">
        <f t="shared" si="14"/>
        <v>1</v>
      </c>
      <c r="R85" s="663">
        <f t="shared" si="15"/>
        <v>0</v>
      </c>
      <c r="S85" s="316">
        <f t="shared" si="17"/>
        <v>0</v>
      </c>
    </row>
    <row r="86" spans="1:19">
      <c r="A86" s="150"/>
      <c r="B86" s="54"/>
      <c r="C86" s="21">
        <f t="shared" si="7"/>
        <v>1</v>
      </c>
      <c r="D86" s="667"/>
      <c r="E86" s="21">
        <f t="shared" si="8"/>
        <v>1</v>
      </c>
      <c r="F86" s="667"/>
      <c r="G86" s="21">
        <f t="shared" si="9"/>
        <v>1</v>
      </c>
      <c r="H86" s="667"/>
      <c r="I86" s="21">
        <f t="shared" si="10"/>
        <v>1</v>
      </c>
      <c r="J86" s="667"/>
      <c r="K86" s="21">
        <f t="shared" si="11"/>
        <v>1</v>
      </c>
      <c r="L86" s="667"/>
      <c r="M86" s="21">
        <f t="shared" si="12"/>
        <v>1</v>
      </c>
      <c r="N86" s="667"/>
      <c r="O86" s="21">
        <f t="shared" si="13"/>
        <v>1</v>
      </c>
      <c r="P86" s="667"/>
      <c r="Q86" s="21">
        <f t="shared" si="14"/>
        <v>1</v>
      </c>
      <c r="R86" s="663">
        <f t="shared" si="15"/>
        <v>0</v>
      </c>
      <c r="S86" s="316">
        <f t="shared" si="17"/>
        <v>0</v>
      </c>
    </row>
    <row r="87" spans="1:19">
      <c r="A87" s="150"/>
      <c r="B87" s="54"/>
      <c r="C87" s="21">
        <f t="shared" si="7"/>
        <v>1</v>
      </c>
      <c r="D87" s="667"/>
      <c r="E87" s="21">
        <f t="shared" si="8"/>
        <v>1</v>
      </c>
      <c r="F87" s="667"/>
      <c r="G87" s="21">
        <f t="shared" si="9"/>
        <v>1</v>
      </c>
      <c r="H87" s="667"/>
      <c r="I87" s="21">
        <f t="shared" si="10"/>
        <v>1</v>
      </c>
      <c r="J87" s="667"/>
      <c r="K87" s="21">
        <f t="shared" si="11"/>
        <v>1</v>
      </c>
      <c r="L87" s="667"/>
      <c r="M87" s="21">
        <f t="shared" si="12"/>
        <v>1</v>
      </c>
      <c r="N87" s="667"/>
      <c r="O87" s="21">
        <f t="shared" si="13"/>
        <v>1</v>
      </c>
      <c r="P87" s="667"/>
      <c r="Q87" s="21">
        <f t="shared" si="14"/>
        <v>1</v>
      </c>
      <c r="R87" s="663">
        <f t="shared" si="15"/>
        <v>0</v>
      </c>
      <c r="S87" s="316">
        <f t="shared" si="17"/>
        <v>0</v>
      </c>
    </row>
    <row r="88" spans="1:19">
      <c r="A88" s="150"/>
      <c r="B88" s="54"/>
      <c r="C88" s="21">
        <f t="shared" si="7"/>
        <v>1</v>
      </c>
      <c r="D88" s="667"/>
      <c r="E88" s="21">
        <f t="shared" si="8"/>
        <v>1</v>
      </c>
      <c r="F88" s="667"/>
      <c r="G88" s="21">
        <f t="shared" si="9"/>
        <v>1</v>
      </c>
      <c r="H88" s="667"/>
      <c r="I88" s="21">
        <f t="shared" si="10"/>
        <v>1</v>
      </c>
      <c r="J88" s="667"/>
      <c r="K88" s="21">
        <f t="shared" si="11"/>
        <v>1</v>
      </c>
      <c r="L88" s="667"/>
      <c r="M88" s="21">
        <f t="shared" si="12"/>
        <v>1</v>
      </c>
      <c r="N88" s="667"/>
      <c r="O88" s="21">
        <f t="shared" si="13"/>
        <v>1</v>
      </c>
      <c r="P88" s="667"/>
      <c r="Q88" s="21">
        <f t="shared" si="14"/>
        <v>1</v>
      </c>
      <c r="R88" s="663">
        <f t="shared" si="15"/>
        <v>0</v>
      </c>
      <c r="S88" s="316">
        <f t="shared" si="17"/>
        <v>0</v>
      </c>
    </row>
    <row r="89" spans="1:19">
      <c r="A89" s="150"/>
      <c r="B89" s="54"/>
      <c r="C89" s="21">
        <f t="shared" si="7"/>
        <v>1</v>
      </c>
      <c r="D89" s="667"/>
      <c r="E89" s="21">
        <f t="shared" si="8"/>
        <v>1</v>
      </c>
      <c r="F89" s="667"/>
      <c r="G89" s="21">
        <f t="shared" si="9"/>
        <v>1</v>
      </c>
      <c r="H89" s="667"/>
      <c r="I89" s="21">
        <f t="shared" si="10"/>
        <v>1</v>
      </c>
      <c r="J89" s="667"/>
      <c r="K89" s="21">
        <f t="shared" si="11"/>
        <v>1</v>
      </c>
      <c r="L89" s="667"/>
      <c r="M89" s="21">
        <f t="shared" si="12"/>
        <v>1</v>
      </c>
      <c r="N89" s="667"/>
      <c r="O89" s="21">
        <f t="shared" si="13"/>
        <v>1</v>
      </c>
      <c r="P89" s="667"/>
      <c r="Q89" s="21">
        <f t="shared" si="14"/>
        <v>1</v>
      </c>
      <c r="R89" s="663">
        <f t="shared" si="15"/>
        <v>0</v>
      </c>
      <c r="S89" s="316">
        <f t="shared" si="17"/>
        <v>0</v>
      </c>
    </row>
    <row r="90" spans="1:19">
      <c r="A90" s="150"/>
      <c r="B90" s="54"/>
      <c r="C90" s="21">
        <f t="shared" ref="C90:C153" si="18">IF(B90="",1,(LOOKUP(B90,$3:$3,$4:$4)-LOOKUP($B$24,$3:$3,$4:$4)+100)/100)</f>
        <v>1</v>
      </c>
      <c r="D90" s="667"/>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ref="R90:R153" si="26">IF(B90="",0,ROUND($R$24*C90*E90*G90*I90*K90*M90*O90*Q90,0))</f>
        <v>0</v>
      </c>
      <c r="S90" s="316">
        <f t="shared" si="17"/>
        <v>0</v>
      </c>
    </row>
    <row r="91" spans="1:19">
      <c r="A91" s="150"/>
      <c r="B91" s="54"/>
      <c r="C91" s="21">
        <f t="shared" si="18"/>
        <v>1</v>
      </c>
      <c r="D91" s="667"/>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si="26"/>
        <v>0</v>
      </c>
      <c r="S91" s="316">
        <f t="shared" si="17"/>
        <v>0</v>
      </c>
    </row>
    <row r="92" spans="1:19">
      <c r="A92" s="150"/>
      <c r="B92" s="54"/>
      <c r="C92" s="21">
        <f t="shared" si="18"/>
        <v>1</v>
      </c>
      <c r="D92" s="667"/>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si="26"/>
        <v>0</v>
      </c>
      <c r="S92" s="316">
        <f t="shared" si="17"/>
        <v>0</v>
      </c>
    </row>
    <row r="93" spans="1:19">
      <c r="A93" s="150"/>
      <c r="B93" s="54"/>
      <c r="C93" s="21">
        <f t="shared" si="18"/>
        <v>1</v>
      </c>
      <c r="D93" s="667"/>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si="26"/>
        <v>0</v>
      </c>
      <c r="S93" s="316">
        <f t="shared" si="17"/>
        <v>0</v>
      </c>
    </row>
    <row r="94" spans="1:19">
      <c r="A94" s="150"/>
      <c r="B94" s="54"/>
      <c r="C94" s="21">
        <f t="shared" si="18"/>
        <v>1</v>
      </c>
      <c r="D94" s="667"/>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si="26"/>
        <v>0</v>
      </c>
      <c r="S94" s="316">
        <f t="shared" si="17"/>
        <v>0</v>
      </c>
    </row>
    <row r="95" spans="1:19">
      <c r="A95" s="150"/>
      <c r="B95" s="54"/>
      <c r="C95" s="21">
        <f t="shared" si="18"/>
        <v>1</v>
      </c>
      <c r="D95" s="667"/>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si="26"/>
        <v>0</v>
      </c>
      <c r="S95" s="316">
        <f t="shared" si="17"/>
        <v>0</v>
      </c>
    </row>
    <row r="96" spans="1:19">
      <c r="A96" s="150"/>
      <c r="B96" s="54"/>
      <c r="C96" s="21">
        <f t="shared" si="18"/>
        <v>1</v>
      </c>
      <c r="D96" s="667"/>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si="26"/>
        <v>0</v>
      </c>
      <c r="S96" s="316">
        <f t="shared" si="17"/>
        <v>0</v>
      </c>
    </row>
    <row r="97" spans="1:19">
      <c r="A97" s="150"/>
      <c r="B97" s="54"/>
      <c r="C97" s="21">
        <f t="shared" si="18"/>
        <v>1</v>
      </c>
      <c r="D97" s="667"/>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si="26"/>
        <v>0</v>
      </c>
      <c r="S97" s="316">
        <f t="shared" si="17"/>
        <v>0</v>
      </c>
    </row>
    <row r="98" spans="1:19">
      <c r="A98" s="150"/>
      <c r="B98" s="54"/>
      <c r="C98" s="21">
        <f t="shared" si="18"/>
        <v>1</v>
      </c>
      <c r="D98" s="667"/>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si="26"/>
        <v>0</v>
      </c>
      <c r="S98" s="316">
        <f t="shared" si="17"/>
        <v>0</v>
      </c>
    </row>
    <row r="99" spans="1:19">
      <c r="A99" s="150"/>
      <c r="B99" s="54"/>
      <c r="C99" s="21">
        <f t="shared" si="18"/>
        <v>1</v>
      </c>
      <c r="D99" s="667"/>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si="26"/>
        <v>0</v>
      </c>
      <c r="S99" s="316">
        <f t="shared" si="17"/>
        <v>0</v>
      </c>
    </row>
    <row r="100" spans="1:19">
      <c r="A100" s="150"/>
      <c r="B100" s="54"/>
      <c r="C100" s="21">
        <f t="shared" si="18"/>
        <v>1</v>
      </c>
      <c r="D100" s="667"/>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si="26"/>
        <v>0</v>
      </c>
      <c r="S100" s="316">
        <f t="shared" si="17"/>
        <v>0</v>
      </c>
    </row>
    <row r="101" spans="1:19">
      <c r="A101" s="150"/>
      <c r="B101" s="54"/>
      <c r="C101" s="21">
        <f t="shared" si="18"/>
        <v>1</v>
      </c>
      <c r="D101" s="667"/>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si="26"/>
        <v>0</v>
      </c>
      <c r="S101" s="316">
        <f t="shared" si="17"/>
        <v>0</v>
      </c>
    </row>
    <row r="102" spans="1:19">
      <c r="A102" s="150"/>
      <c r="B102" s="54"/>
      <c r="C102" s="21">
        <f t="shared" si="18"/>
        <v>1</v>
      </c>
      <c r="D102" s="667"/>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si="26"/>
        <v>0</v>
      </c>
      <c r="S102" s="316">
        <f t="shared" si="17"/>
        <v>0</v>
      </c>
    </row>
    <row r="103" spans="1:19">
      <c r="A103" s="150"/>
      <c r="B103" s="54"/>
      <c r="C103" s="21">
        <f t="shared" si="18"/>
        <v>1</v>
      </c>
      <c r="D103" s="667"/>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si="26"/>
        <v>0</v>
      </c>
      <c r="S103" s="316">
        <f t="shared" si="17"/>
        <v>0</v>
      </c>
    </row>
    <row r="104" spans="1:19">
      <c r="A104" s="150"/>
      <c r="B104" s="54"/>
      <c r="C104" s="21">
        <f t="shared" si="18"/>
        <v>1</v>
      </c>
      <c r="D104" s="667"/>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si="26"/>
        <v>0</v>
      </c>
      <c r="S104" s="316">
        <f t="shared" si="17"/>
        <v>0</v>
      </c>
    </row>
    <row r="105" spans="1:19">
      <c r="A105" s="150"/>
      <c r="B105" s="54"/>
      <c r="C105" s="21">
        <f t="shared" si="18"/>
        <v>1</v>
      </c>
      <c r="D105" s="667"/>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si="26"/>
        <v>0</v>
      </c>
      <c r="S105" s="316">
        <f t="shared" si="17"/>
        <v>0</v>
      </c>
    </row>
    <row r="106" spans="1:19">
      <c r="A106" s="150"/>
      <c r="B106" s="54"/>
      <c r="C106" s="21">
        <f t="shared" si="18"/>
        <v>1</v>
      </c>
      <c r="D106" s="667"/>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si="26"/>
        <v>0</v>
      </c>
      <c r="S106" s="316">
        <f t="shared" si="17"/>
        <v>0</v>
      </c>
    </row>
    <row r="107" spans="1:19">
      <c r="A107" s="150"/>
      <c r="B107" s="54"/>
      <c r="C107" s="21">
        <f t="shared" si="18"/>
        <v>1</v>
      </c>
      <c r="D107" s="667"/>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si="26"/>
        <v>0</v>
      </c>
      <c r="S107" s="316">
        <f t="shared" si="17"/>
        <v>0</v>
      </c>
    </row>
    <row r="108" spans="1:19">
      <c r="A108" s="150"/>
      <c r="B108" s="54"/>
      <c r="C108" s="21">
        <f t="shared" si="18"/>
        <v>1</v>
      </c>
      <c r="D108" s="667"/>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si="26"/>
        <v>0</v>
      </c>
      <c r="S108" s="316">
        <f t="shared" si="17"/>
        <v>0</v>
      </c>
    </row>
    <row r="109" spans="1:19">
      <c r="A109" s="150"/>
      <c r="B109" s="54"/>
      <c r="C109" s="21">
        <f t="shared" si="18"/>
        <v>1</v>
      </c>
      <c r="D109" s="667"/>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si="26"/>
        <v>0</v>
      </c>
      <c r="S109" s="316">
        <f t="shared" si="17"/>
        <v>0</v>
      </c>
    </row>
    <row r="110" spans="1:19">
      <c r="A110" s="150"/>
      <c r="B110" s="54"/>
      <c r="C110" s="21">
        <f t="shared" si="18"/>
        <v>1</v>
      </c>
      <c r="D110" s="667"/>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si="26"/>
        <v>0</v>
      </c>
      <c r="S110" s="316">
        <f t="shared" si="17"/>
        <v>0</v>
      </c>
    </row>
    <row r="111" spans="1:19">
      <c r="A111" s="150"/>
      <c r="B111" s="54"/>
      <c r="C111" s="21">
        <f t="shared" si="18"/>
        <v>1</v>
      </c>
      <c r="D111" s="667"/>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si="26"/>
        <v>0</v>
      </c>
      <c r="S111" s="316">
        <f t="shared" si="17"/>
        <v>0</v>
      </c>
    </row>
    <row r="112" spans="1:19">
      <c r="A112" s="150"/>
      <c r="B112" s="54"/>
      <c r="C112" s="21">
        <f t="shared" si="18"/>
        <v>1</v>
      </c>
      <c r="D112" s="667"/>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si="26"/>
        <v>0</v>
      </c>
      <c r="S112" s="316">
        <f t="shared" si="17"/>
        <v>0</v>
      </c>
    </row>
    <row r="113" spans="1:19">
      <c r="A113" s="150"/>
      <c r="B113" s="54"/>
      <c r="C113" s="21">
        <f t="shared" si="18"/>
        <v>1</v>
      </c>
      <c r="D113" s="667"/>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si="26"/>
        <v>0</v>
      </c>
      <c r="S113" s="316">
        <f t="shared" si="17"/>
        <v>0</v>
      </c>
    </row>
    <row r="114" spans="1:19">
      <c r="A114" s="150"/>
      <c r="B114" s="54"/>
      <c r="C114" s="21">
        <f t="shared" si="18"/>
        <v>1</v>
      </c>
      <c r="D114" s="667"/>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si="26"/>
        <v>0</v>
      </c>
      <c r="S114" s="316">
        <f t="shared" si="17"/>
        <v>0</v>
      </c>
    </row>
    <row r="115" spans="1:19">
      <c r="A115" s="150"/>
      <c r="B115" s="54"/>
      <c r="C115" s="21">
        <f t="shared" si="18"/>
        <v>1</v>
      </c>
      <c r="D115" s="667"/>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si="26"/>
        <v>0</v>
      </c>
      <c r="S115" s="316">
        <f t="shared" si="17"/>
        <v>0</v>
      </c>
    </row>
    <row r="116" spans="1:19">
      <c r="A116" s="150"/>
      <c r="B116" s="54"/>
      <c r="C116" s="21">
        <f t="shared" si="18"/>
        <v>1</v>
      </c>
      <c r="D116" s="667"/>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si="26"/>
        <v>0</v>
      </c>
      <c r="S116" s="316">
        <f t="shared" si="17"/>
        <v>0</v>
      </c>
    </row>
    <row r="117" spans="1:19">
      <c r="A117" s="150"/>
      <c r="B117" s="54"/>
      <c r="C117" s="21">
        <f t="shared" si="18"/>
        <v>1</v>
      </c>
      <c r="D117" s="667"/>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si="26"/>
        <v>0</v>
      </c>
      <c r="S117" s="316">
        <f t="shared" si="17"/>
        <v>0</v>
      </c>
    </row>
    <row r="118" spans="1:19">
      <c r="A118" s="150"/>
      <c r="B118" s="54"/>
      <c r="C118" s="21">
        <f t="shared" si="18"/>
        <v>1</v>
      </c>
      <c r="D118" s="667"/>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si="26"/>
        <v>0</v>
      </c>
      <c r="S118" s="316">
        <f t="shared" si="17"/>
        <v>0</v>
      </c>
    </row>
    <row r="119" spans="1:19">
      <c r="A119" s="150"/>
      <c r="B119" s="54"/>
      <c r="C119" s="21">
        <f t="shared" si="18"/>
        <v>1</v>
      </c>
      <c r="D119" s="667"/>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si="26"/>
        <v>0</v>
      </c>
      <c r="S119" s="316">
        <f t="shared" si="17"/>
        <v>0</v>
      </c>
    </row>
    <row r="120" spans="1:19">
      <c r="A120" s="150"/>
      <c r="B120" s="54"/>
      <c r="C120" s="21">
        <f t="shared" si="18"/>
        <v>1</v>
      </c>
      <c r="D120" s="667"/>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si="26"/>
        <v>0</v>
      </c>
      <c r="S120" s="316">
        <f t="shared" si="17"/>
        <v>0</v>
      </c>
    </row>
    <row r="121" spans="1:19">
      <c r="A121" s="150"/>
      <c r="B121" s="54"/>
      <c r="C121" s="21">
        <f t="shared" si="18"/>
        <v>1</v>
      </c>
      <c r="D121" s="667"/>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si="26"/>
        <v>0</v>
      </c>
      <c r="S121" s="316">
        <f t="shared" si="17"/>
        <v>0</v>
      </c>
    </row>
    <row r="122" spans="1:19">
      <c r="A122" s="150"/>
      <c r="B122" s="54"/>
      <c r="C122" s="21">
        <f t="shared" si="18"/>
        <v>1</v>
      </c>
      <c r="D122" s="667"/>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si="26"/>
        <v>0</v>
      </c>
      <c r="S122" s="316">
        <f t="shared" si="17"/>
        <v>0</v>
      </c>
    </row>
    <row r="123" spans="1:19">
      <c r="A123" s="150"/>
      <c r="B123" s="54"/>
      <c r="C123" s="21">
        <f t="shared" si="18"/>
        <v>1</v>
      </c>
      <c r="D123" s="667"/>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si="26"/>
        <v>0</v>
      </c>
      <c r="S123" s="316">
        <f t="shared" ref="S123:S186" si="27">ROUND(R123*B123/10000,0)</f>
        <v>0</v>
      </c>
    </row>
    <row r="124" spans="1:19">
      <c r="A124" s="150"/>
      <c r="B124" s="54"/>
      <c r="C124" s="21">
        <f t="shared" si="18"/>
        <v>1</v>
      </c>
      <c r="D124" s="667"/>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si="26"/>
        <v>0</v>
      </c>
      <c r="S124" s="316">
        <f t="shared" si="27"/>
        <v>0</v>
      </c>
    </row>
    <row r="125" spans="1:19">
      <c r="A125" s="150"/>
      <c r="B125" s="54"/>
      <c r="C125" s="21">
        <f t="shared" si="18"/>
        <v>1</v>
      </c>
      <c r="D125" s="667"/>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si="26"/>
        <v>0</v>
      </c>
      <c r="S125" s="316">
        <f t="shared" si="27"/>
        <v>0</v>
      </c>
    </row>
    <row r="126" spans="1:19">
      <c r="A126" s="150"/>
      <c r="B126" s="54"/>
      <c r="C126" s="21">
        <f t="shared" si="18"/>
        <v>1</v>
      </c>
      <c r="D126" s="667"/>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si="26"/>
        <v>0</v>
      </c>
      <c r="S126" s="316">
        <f t="shared" si="27"/>
        <v>0</v>
      </c>
    </row>
    <row r="127" spans="1:19">
      <c r="A127" s="150"/>
      <c r="B127" s="54"/>
      <c r="C127" s="21">
        <f t="shared" si="18"/>
        <v>1</v>
      </c>
      <c r="D127" s="667"/>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si="26"/>
        <v>0</v>
      </c>
      <c r="S127" s="316">
        <f t="shared" si="27"/>
        <v>0</v>
      </c>
    </row>
    <row r="128" spans="1:19">
      <c r="A128" s="150"/>
      <c r="B128" s="54"/>
      <c r="C128" s="21">
        <f t="shared" si="18"/>
        <v>1</v>
      </c>
      <c r="D128" s="667"/>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si="26"/>
        <v>0</v>
      </c>
      <c r="S128" s="316">
        <f t="shared" si="27"/>
        <v>0</v>
      </c>
    </row>
    <row r="129" spans="1:19">
      <c r="A129" s="150"/>
      <c r="B129" s="54"/>
      <c r="C129" s="21">
        <f t="shared" si="18"/>
        <v>1</v>
      </c>
      <c r="D129" s="667"/>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si="26"/>
        <v>0</v>
      </c>
      <c r="S129" s="316">
        <f t="shared" si="27"/>
        <v>0</v>
      </c>
    </row>
    <row r="130" spans="1:19">
      <c r="A130" s="150"/>
      <c r="B130" s="54"/>
      <c r="C130" s="21">
        <f t="shared" si="18"/>
        <v>1</v>
      </c>
      <c r="D130" s="667"/>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si="26"/>
        <v>0</v>
      </c>
      <c r="S130" s="316">
        <f t="shared" si="27"/>
        <v>0</v>
      </c>
    </row>
    <row r="131" spans="1:19">
      <c r="A131" s="150"/>
      <c r="B131" s="54"/>
      <c r="C131" s="21">
        <f t="shared" si="18"/>
        <v>1</v>
      </c>
      <c r="D131" s="667"/>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si="26"/>
        <v>0</v>
      </c>
      <c r="S131" s="316">
        <f t="shared" si="27"/>
        <v>0</v>
      </c>
    </row>
    <row r="132" spans="1:19">
      <c r="A132" s="150"/>
      <c r="B132" s="54"/>
      <c r="C132" s="21">
        <f t="shared" si="18"/>
        <v>1</v>
      </c>
      <c r="D132" s="667"/>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si="26"/>
        <v>0</v>
      </c>
      <c r="S132" s="316">
        <f t="shared" si="27"/>
        <v>0</v>
      </c>
    </row>
    <row r="133" spans="1:19">
      <c r="A133" s="150"/>
      <c r="B133" s="54"/>
      <c r="C133" s="21">
        <f t="shared" si="18"/>
        <v>1</v>
      </c>
      <c r="D133" s="667"/>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si="26"/>
        <v>0</v>
      </c>
      <c r="S133" s="316">
        <f t="shared" si="27"/>
        <v>0</v>
      </c>
    </row>
    <row r="134" spans="1:19">
      <c r="A134" s="150"/>
      <c r="B134" s="54"/>
      <c r="C134" s="21">
        <f t="shared" si="18"/>
        <v>1</v>
      </c>
      <c r="D134" s="667"/>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si="26"/>
        <v>0</v>
      </c>
      <c r="S134" s="316">
        <f t="shared" si="27"/>
        <v>0</v>
      </c>
    </row>
    <row r="135" spans="1:19">
      <c r="A135" s="150"/>
      <c r="B135" s="54"/>
      <c r="C135" s="21">
        <f t="shared" si="18"/>
        <v>1</v>
      </c>
      <c r="D135" s="667"/>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si="26"/>
        <v>0</v>
      </c>
      <c r="S135" s="316">
        <f t="shared" si="27"/>
        <v>0</v>
      </c>
    </row>
    <row r="136" spans="1:19">
      <c r="A136" s="150"/>
      <c r="B136" s="54"/>
      <c r="C136" s="21">
        <f t="shared" si="18"/>
        <v>1</v>
      </c>
      <c r="D136" s="667"/>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si="26"/>
        <v>0</v>
      </c>
      <c r="S136" s="316">
        <f t="shared" si="27"/>
        <v>0</v>
      </c>
    </row>
    <row r="137" spans="1:19">
      <c r="A137" s="150"/>
      <c r="B137" s="54"/>
      <c r="C137" s="21">
        <f t="shared" si="18"/>
        <v>1</v>
      </c>
      <c r="D137" s="667"/>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si="26"/>
        <v>0</v>
      </c>
      <c r="S137" s="316">
        <f t="shared" si="27"/>
        <v>0</v>
      </c>
    </row>
    <row r="138" spans="1:19">
      <c r="A138" s="150"/>
      <c r="B138" s="54"/>
      <c r="C138" s="21">
        <f t="shared" si="18"/>
        <v>1</v>
      </c>
      <c r="D138" s="667"/>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si="26"/>
        <v>0</v>
      </c>
      <c r="S138" s="316">
        <f t="shared" si="27"/>
        <v>0</v>
      </c>
    </row>
    <row r="139" spans="1:19">
      <c r="A139" s="150"/>
      <c r="B139" s="54"/>
      <c r="C139" s="21">
        <f t="shared" si="18"/>
        <v>1</v>
      </c>
      <c r="D139" s="667"/>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si="26"/>
        <v>0</v>
      </c>
      <c r="S139" s="316">
        <f t="shared" si="27"/>
        <v>0</v>
      </c>
    </row>
    <row r="140" spans="1:19">
      <c r="A140" s="150"/>
      <c r="B140" s="54"/>
      <c r="C140" s="21">
        <f t="shared" si="18"/>
        <v>1</v>
      </c>
      <c r="D140" s="667"/>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si="26"/>
        <v>0</v>
      </c>
      <c r="S140" s="316">
        <f t="shared" si="27"/>
        <v>0</v>
      </c>
    </row>
    <row r="141" spans="1:19">
      <c r="A141" s="150"/>
      <c r="B141" s="54"/>
      <c r="C141" s="21">
        <f t="shared" si="18"/>
        <v>1</v>
      </c>
      <c r="D141" s="667"/>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si="26"/>
        <v>0</v>
      </c>
      <c r="S141" s="316">
        <f t="shared" si="27"/>
        <v>0</v>
      </c>
    </row>
    <row r="142" spans="1:19">
      <c r="A142" s="150"/>
      <c r="B142" s="54"/>
      <c r="C142" s="21">
        <f t="shared" si="18"/>
        <v>1</v>
      </c>
      <c r="D142" s="667"/>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si="26"/>
        <v>0</v>
      </c>
      <c r="S142" s="316">
        <f t="shared" si="27"/>
        <v>0</v>
      </c>
    </row>
    <row r="143" spans="1:19">
      <c r="A143" s="150"/>
      <c r="B143" s="54"/>
      <c r="C143" s="21">
        <f t="shared" si="18"/>
        <v>1</v>
      </c>
      <c r="D143" s="667"/>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si="26"/>
        <v>0</v>
      </c>
      <c r="S143" s="316">
        <f t="shared" si="27"/>
        <v>0</v>
      </c>
    </row>
    <row r="144" spans="1:19">
      <c r="A144" s="150"/>
      <c r="B144" s="54"/>
      <c r="C144" s="21">
        <f t="shared" si="18"/>
        <v>1</v>
      </c>
      <c r="D144" s="667"/>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si="26"/>
        <v>0</v>
      </c>
      <c r="S144" s="316">
        <f t="shared" si="27"/>
        <v>0</v>
      </c>
    </row>
    <row r="145" spans="1:19">
      <c r="A145" s="150"/>
      <c r="B145" s="54"/>
      <c r="C145" s="21">
        <f t="shared" si="18"/>
        <v>1</v>
      </c>
      <c r="D145" s="667"/>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si="26"/>
        <v>0</v>
      </c>
      <c r="S145" s="316">
        <f t="shared" si="27"/>
        <v>0</v>
      </c>
    </row>
    <row r="146" spans="1:19">
      <c r="A146" s="150"/>
      <c r="B146" s="54"/>
      <c r="C146" s="21">
        <f t="shared" si="18"/>
        <v>1</v>
      </c>
      <c r="D146" s="667"/>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si="26"/>
        <v>0</v>
      </c>
      <c r="S146" s="316">
        <f t="shared" si="27"/>
        <v>0</v>
      </c>
    </row>
    <row r="147" spans="1:19">
      <c r="A147" s="150"/>
      <c r="B147" s="54"/>
      <c r="C147" s="21">
        <f t="shared" si="18"/>
        <v>1</v>
      </c>
      <c r="D147" s="667"/>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si="26"/>
        <v>0</v>
      </c>
      <c r="S147" s="316">
        <f t="shared" si="27"/>
        <v>0</v>
      </c>
    </row>
    <row r="148" spans="1:19">
      <c r="A148" s="150"/>
      <c r="B148" s="54"/>
      <c r="C148" s="21">
        <f t="shared" si="18"/>
        <v>1</v>
      </c>
      <c r="D148" s="667"/>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si="26"/>
        <v>0</v>
      </c>
      <c r="S148" s="316">
        <f t="shared" si="27"/>
        <v>0</v>
      </c>
    </row>
    <row r="149" spans="1:19">
      <c r="A149" s="150"/>
      <c r="B149" s="54"/>
      <c r="C149" s="21">
        <f t="shared" si="18"/>
        <v>1</v>
      </c>
      <c r="D149" s="667"/>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si="26"/>
        <v>0</v>
      </c>
      <c r="S149" s="316">
        <f t="shared" si="27"/>
        <v>0</v>
      </c>
    </row>
    <row r="150" spans="1:19">
      <c r="A150" s="150"/>
      <c r="B150" s="54"/>
      <c r="C150" s="21">
        <f t="shared" si="18"/>
        <v>1</v>
      </c>
      <c r="D150" s="667"/>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si="26"/>
        <v>0</v>
      </c>
      <c r="S150" s="316">
        <f t="shared" si="27"/>
        <v>0</v>
      </c>
    </row>
    <row r="151" spans="1:19">
      <c r="A151" s="150"/>
      <c r="B151" s="54"/>
      <c r="C151" s="21">
        <f t="shared" si="18"/>
        <v>1</v>
      </c>
      <c r="D151" s="667"/>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si="26"/>
        <v>0</v>
      </c>
      <c r="S151" s="316">
        <f t="shared" si="27"/>
        <v>0</v>
      </c>
    </row>
    <row r="152" spans="1:19">
      <c r="A152" s="150"/>
      <c r="B152" s="54"/>
      <c r="C152" s="21">
        <f t="shared" si="18"/>
        <v>1</v>
      </c>
      <c r="D152" s="667"/>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si="26"/>
        <v>0</v>
      </c>
      <c r="S152" s="316">
        <f t="shared" si="27"/>
        <v>0</v>
      </c>
    </row>
    <row r="153" spans="1:19">
      <c r="A153" s="150"/>
      <c r="B153" s="54"/>
      <c r="C153" s="21">
        <f t="shared" si="18"/>
        <v>1</v>
      </c>
      <c r="D153" s="667"/>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si="26"/>
        <v>0</v>
      </c>
      <c r="S153" s="316">
        <f t="shared" si="27"/>
        <v>0</v>
      </c>
    </row>
    <row r="154" spans="1:19">
      <c r="A154" s="150"/>
      <c r="B154" s="54"/>
      <c r="C154" s="21">
        <f t="shared" ref="C154:C217" si="28">IF(B154="",1,(LOOKUP(B154,$3:$3,$4:$4)-LOOKUP($B$24,$3:$3,$4:$4)+100)/100)</f>
        <v>1</v>
      </c>
      <c r="D154" s="667"/>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ref="R154:R217" si="36">IF(B154="",0,ROUND($R$24*C154*E154*G154*I154*K154*M154*O154*Q154,0))</f>
        <v>0</v>
      </c>
      <c r="S154" s="316">
        <f t="shared" si="27"/>
        <v>0</v>
      </c>
    </row>
    <row r="155" spans="1:19">
      <c r="A155" s="150"/>
      <c r="B155" s="54"/>
      <c r="C155" s="21">
        <f t="shared" si="28"/>
        <v>1</v>
      </c>
      <c r="D155" s="667"/>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si="36"/>
        <v>0</v>
      </c>
      <c r="S155" s="316">
        <f t="shared" si="27"/>
        <v>0</v>
      </c>
    </row>
    <row r="156" spans="1:19">
      <c r="A156" s="150"/>
      <c r="B156" s="54"/>
      <c r="C156" s="21">
        <f t="shared" si="28"/>
        <v>1</v>
      </c>
      <c r="D156" s="667"/>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si="36"/>
        <v>0</v>
      </c>
      <c r="S156" s="316">
        <f t="shared" si="27"/>
        <v>0</v>
      </c>
    </row>
    <row r="157" spans="1:19">
      <c r="A157" s="150"/>
      <c r="B157" s="54"/>
      <c r="C157" s="21">
        <f t="shared" si="28"/>
        <v>1</v>
      </c>
      <c r="D157" s="667"/>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si="36"/>
        <v>0</v>
      </c>
      <c r="S157" s="316">
        <f t="shared" si="27"/>
        <v>0</v>
      </c>
    </row>
    <row r="158" spans="1:19">
      <c r="A158" s="150"/>
      <c r="B158" s="54"/>
      <c r="C158" s="21">
        <f t="shared" si="28"/>
        <v>1</v>
      </c>
      <c r="D158" s="667"/>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si="36"/>
        <v>0</v>
      </c>
      <c r="S158" s="316">
        <f t="shared" si="27"/>
        <v>0</v>
      </c>
    </row>
    <row r="159" spans="1:19">
      <c r="A159" s="150"/>
      <c r="B159" s="54"/>
      <c r="C159" s="21">
        <f t="shared" si="28"/>
        <v>1</v>
      </c>
      <c r="D159" s="667"/>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si="36"/>
        <v>0</v>
      </c>
      <c r="S159" s="316">
        <f t="shared" si="27"/>
        <v>0</v>
      </c>
    </row>
    <row r="160" spans="1:19">
      <c r="A160" s="150"/>
      <c r="B160" s="54"/>
      <c r="C160" s="21">
        <f t="shared" si="28"/>
        <v>1</v>
      </c>
      <c r="D160" s="667"/>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si="36"/>
        <v>0</v>
      </c>
      <c r="S160" s="316">
        <f t="shared" si="27"/>
        <v>0</v>
      </c>
    </row>
    <row r="161" spans="1:19">
      <c r="A161" s="150"/>
      <c r="B161" s="54"/>
      <c r="C161" s="21">
        <f t="shared" si="28"/>
        <v>1</v>
      </c>
      <c r="D161" s="667"/>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si="36"/>
        <v>0</v>
      </c>
      <c r="S161" s="316">
        <f t="shared" si="27"/>
        <v>0</v>
      </c>
    </row>
    <row r="162" spans="1:19">
      <c r="A162" s="150"/>
      <c r="B162" s="54"/>
      <c r="C162" s="21">
        <f t="shared" si="28"/>
        <v>1</v>
      </c>
      <c r="D162" s="667"/>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si="36"/>
        <v>0</v>
      </c>
      <c r="S162" s="316">
        <f t="shared" si="27"/>
        <v>0</v>
      </c>
    </row>
    <row r="163" spans="1:19">
      <c r="A163" s="150"/>
      <c r="B163" s="54"/>
      <c r="C163" s="21">
        <f t="shared" si="28"/>
        <v>1</v>
      </c>
      <c r="D163" s="667"/>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si="36"/>
        <v>0</v>
      </c>
      <c r="S163" s="316">
        <f t="shared" si="27"/>
        <v>0</v>
      </c>
    </row>
    <row r="164" spans="1:19">
      <c r="A164" s="150"/>
      <c r="B164" s="54"/>
      <c r="C164" s="21">
        <f t="shared" si="28"/>
        <v>1</v>
      </c>
      <c r="D164" s="667"/>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si="36"/>
        <v>0</v>
      </c>
      <c r="S164" s="316">
        <f t="shared" si="27"/>
        <v>0</v>
      </c>
    </row>
    <row r="165" spans="1:19">
      <c r="A165" s="150"/>
      <c r="B165" s="54"/>
      <c r="C165" s="21">
        <f t="shared" si="28"/>
        <v>1</v>
      </c>
      <c r="D165" s="667"/>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si="36"/>
        <v>0</v>
      </c>
      <c r="S165" s="316">
        <f t="shared" si="27"/>
        <v>0</v>
      </c>
    </row>
    <row r="166" spans="1:19">
      <c r="A166" s="150"/>
      <c r="B166" s="54"/>
      <c r="C166" s="21">
        <f t="shared" si="28"/>
        <v>1</v>
      </c>
      <c r="D166" s="667"/>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si="36"/>
        <v>0</v>
      </c>
      <c r="S166" s="316">
        <f t="shared" si="27"/>
        <v>0</v>
      </c>
    </row>
    <row r="167" spans="1:19">
      <c r="A167" s="150"/>
      <c r="B167" s="54"/>
      <c r="C167" s="21">
        <f t="shared" si="28"/>
        <v>1</v>
      </c>
      <c r="D167" s="667"/>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si="36"/>
        <v>0</v>
      </c>
      <c r="S167" s="316">
        <f t="shared" si="27"/>
        <v>0</v>
      </c>
    </row>
    <row r="168" spans="1:19">
      <c r="A168" s="150"/>
      <c r="B168" s="54"/>
      <c r="C168" s="21">
        <f t="shared" si="28"/>
        <v>1</v>
      </c>
      <c r="D168" s="667"/>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si="36"/>
        <v>0</v>
      </c>
      <c r="S168" s="316">
        <f t="shared" si="27"/>
        <v>0</v>
      </c>
    </row>
    <row r="169" spans="1:19">
      <c r="A169" s="150"/>
      <c r="B169" s="54"/>
      <c r="C169" s="21">
        <f t="shared" si="28"/>
        <v>1</v>
      </c>
      <c r="D169" s="667"/>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si="36"/>
        <v>0</v>
      </c>
      <c r="S169" s="316">
        <f t="shared" si="27"/>
        <v>0</v>
      </c>
    </row>
    <row r="170" spans="1:19">
      <c r="A170" s="150"/>
      <c r="B170" s="54"/>
      <c r="C170" s="21">
        <f t="shared" si="28"/>
        <v>1</v>
      </c>
      <c r="D170" s="667"/>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si="36"/>
        <v>0</v>
      </c>
      <c r="S170" s="316">
        <f t="shared" si="27"/>
        <v>0</v>
      </c>
    </row>
    <row r="171" spans="1:19">
      <c r="A171" s="150"/>
      <c r="B171" s="54"/>
      <c r="C171" s="21">
        <f t="shared" si="28"/>
        <v>1</v>
      </c>
      <c r="D171" s="667"/>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si="36"/>
        <v>0</v>
      </c>
      <c r="S171" s="316">
        <f t="shared" si="27"/>
        <v>0</v>
      </c>
    </row>
    <row r="172" spans="1:19">
      <c r="A172" s="150"/>
      <c r="B172" s="54"/>
      <c r="C172" s="21">
        <f t="shared" si="28"/>
        <v>1</v>
      </c>
      <c r="D172" s="667"/>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si="36"/>
        <v>0</v>
      </c>
      <c r="S172" s="316">
        <f t="shared" si="27"/>
        <v>0</v>
      </c>
    </row>
    <row r="173" spans="1:19">
      <c r="A173" s="150"/>
      <c r="B173" s="54"/>
      <c r="C173" s="21">
        <f t="shared" si="28"/>
        <v>1</v>
      </c>
      <c r="D173" s="667"/>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si="36"/>
        <v>0</v>
      </c>
      <c r="S173" s="316">
        <f t="shared" si="27"/>
        <v>0</v>
      </c>
    </row>
    <row r="174" spans="1:19">
      <c r="A174" s="150"/>
      <c r="B174" s="54"/>
      <c r="C174" s="21">
        <f t="shared" si="28"/>
        <v>1</v>
      </c>
      <c r="D174" s="667"/>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si="36"/>
        <v>0</v>
      </c>
      <c r="S174" s="316">
        <f t="shared" si="27"/>
        <v>0</v>
      </c>
    </row>
    <row r="175" spans="1:19">
      <c r="A175" s="150"/>
      <c r="B175" s="54"/>
      <c r="C175" s="21">
        <f t="shared" si="28"/>
        <v>1</v>
      </c>
      <c r="D175" s="667"/>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si="36"/>
        <v>0</v>
      </c>
      <c r="S175" s="316">
        <f t="shared" si="27"/>
        <v>0</v>
      </c>
    </row>
    <row r="176" spans="1:19">
      <c r="A176" s="150"/>
      <c r="B176" s="54"/>
      <c r="C176" s="21">
        <f t="shared" si="28"/>
        <v>1</v>
      </c>
      <c r="D176" s="667"/>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si="36"/>
        <v>0</v>
      </c>
      <c r="S176" s="316">
        <f t="shared" si="27"/>
        <v>0</v>
      </c>
    </row>
    <row r="177" spans="1:19">
      <c r="A177" s="150"/>
      <c r="B177" s="54"/>
      <c r="C177" s="21">
        <f t="shared" si="28"/>
        <v>1</v>
      </c>
      <c r="D177" s="667"/>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si="36"/>
        <v>0</v>
      </c>
      <c r="S177" s="316">
        <f t="shared" si="27"/>
        <v>0</v>
      </c>
    </row>
    <row r="178" spans="1:19">
      <c r="A178" s="150"/>
      <c r="B178" s="54"/>
      <c r="C178" s="21">
        <f t="shared" si="28"/>
        <v>1</v>
      </c>
      <c r="D178" s="667"/>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si="36"/>
        <v>0</v>
      </c>
      <c r="S178" s="316">
        <f t="shared" si="27"/>
        <v>0</v>
      </c>
    </row>
    <row r="179" spans="1:19">
      <c r="A179" s="150"/>
      <c r="B179" s="54"/>
      <c r="C179" s="21">
        <f t="shared" si="28"/>
        <v>1</v>
      </c>
      <c r="D179" s="667"/>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si="36"/>
        <v>0</v>
      </c>
      <c r="S179" s="316">
        <f t="shared" si="27"/>
        <v>0</v>
      </c>
    </row>
    <row r="180" spans="1:19">
      <c r="A180" s="150"/>
      <c r="B180" s="54"/>
      <c r="C180" s="21">
        <f t="shared" si="28"/>
        <v>1</v>
      </c>
      <c r="D180" s="667"/>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si="36"/>
        <v>0</v>
      </c>
      <c r="S180" s="316">
        <f t="shared" si="27"/>
        <v>0</v>
      </c>
    </row>
    <row r="181" spans="1:19">
      <c r="A181" s="150"/>
      <c r="B181" s="54"/>
      <c r="C181" s="21">
        <f t="shared" si="28"/>
        <v>1</v>
      </c>
      <c r="D181" s="667"/>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si="36"/>
        <v>0</v>
      </c>
      <c r="S181" s="316">
        <f t="shared" si="27"/>
        <v>0</v>
      </c>
    </row>
    <row r="182" spans="1:19">
      <c r="A182" s="150"/>
      <c r="B182" s="54"/>
      <c r="C182" s="21">
        <f t="shared" si="28"/>
        <v>1</v>
      </c>
      <c r="D182" s="667"/>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si="36"/>
        <v>0</v>
      </c>
      <c r="S182" s="316">
        <f t="shared" si="27"/>
        <v>0</v>
      </c>
    </row>
    <row r="183" spans="1:19">
      <c r="A183" s="150"/>
      <c r="B183" s="54"/>
      <c r="C183" s="21">
        <f t="shared" si="28"/>
        <v>1</v>
      </c>
      <c r="D183" s="667"/>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si="36"/>
        <v>0</v>
      </c>
      <c r="S183" s="316">
        <f t="shared" si="27"/>
        <v>0</v>
      </c>
    </row>
    <row r="184" spans="1:19">
      <c r="A184" s="150"/>
      <c r="B184" s="54"/>
      <c r="C184" s="21">
        <f t="shared" si="28"/>
        <v>1</v>
      </c>
      <c r="D184" s="667"/>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si="36"/>
        <v>0</v>
      </c>
      <c r="S184" s="316">
        <f t="shared" si="27"/>
        <v>0</v>
      </c>
    </row>
    <row r="185" spans="1:19">
      <c r="A185" s="150"/>
      <c r="B185" s="54"/>
      <c r="C185" s="21">
        <f t="shared" si="28"/>
        <v>1</v>
      </c>
      <c r="D185" s="667"/>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si="36"/>
        <v>0</v>
      </c>
      <c r="S185" s="316">
        <f t="shared" si="27"/>
        <v>0</v>
      </c>
    </row>
    <row r="186" spans="1:19">
      <c r="A186" s="150"/>
      <c r="B186" s="54"/>
      <c r="C186" s="21">
        <f t="shared" si="28"/>
        <v>1</v>
      </c>
      <c r="D186" s="667"/>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si="36"/>
        <v>0</v>
      </c>
      <c r="S186" s="316">
        <f t="shared" si="27"/>
        <v>0</v>
      </c>
    </row>
    <row r="187" spans="1:19">
      <c r="A187" s="150"/>
      <c r="B187" s="54"/>
      <c r="C187" s="21">
        <f t="shared" si="28"/>
        <v>1</v>
      </c>
      <c r="D187" s="667"/>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si="36"/>
        <v>0</v>
      </c>
      <c r="S187" s="316">
        <f t="shared" ref="S187:S222" si="37">ROUND(R187*B187/10000,0)</f>
        <v>0</v>
      </c>
    </row>
    <row r="188" spans="1:19">
      <c r="A188" s="150"/>
      <c r="B188" s="54"/>
      <c r="C188" s="21">
        <f t="shared" si="28"/>
        <v>1</v>
      </c>
      <c r="D188" s="667"/>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si="36"/>
        <v>0</v>
      </c>
      <c r="S188" s="316">
        <f t="shared" si="37"/>
        <v>0</v>
      </c>
    </row>
    <row r="189" spans="1:19">
      <c r="A189" s="150"/>
      <c r="B189" s="54"/>
      <c r="C189" s="21">
        <f t="shared" si="28"/>
        <v>1</v>
      </c>
      <c r="D189" s="667"/>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si="36"/>
        <v>0</v>
      </c>
      <c r="S189" s="316">
        <f t="shared" si="37"/>
        <v>0</v>
      </c>
    </row>
    <row r="190" spans="1:19">
      <c r="A190" s="150"/>
      <c r="B190" s="54"/>
      <c r="C190" s="21">
        <f t="shared" si="28"/>
        <v>1</v>
      </c>
      <c r="D190" s="667"/>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si="36"/>
        <v>0</v>
      </c>
      <c r="S190" s="316">
        <f t="shared" si="37"/>
        <v>0</v>
      </c>
    </row>
    <row r="191" spans="1:19">
      <c r="A191" s="150"/>
      <c r="B191" s="54"/>
      <c r="C191" s="21">
        <f t="shared" si="28"/>
        <v>1</v>
      </c>
      <c r="D191" s="667"/>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si="36"/>
        <v>0</v>
      </c>
      <c r="S191" s="316">
        <f t="shared" si="37"/>
        <v>0</v>
      </c>
    </row>
    <row r="192" spans="1:19">
      <c r="A192" s="150"/>
      <c r="B192" s="54"/>
      <c r="C192" s="21">
        <f t="shared" si="28"/>
        <v>1</v>
      </c>
      <c r="D192" s="667"/>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si="36"/>
        <v>0</v>
      </c>
      <c r="S192" s="316">
        <f t="shared" si="37"/>
        <v>0</v>
      </c>
    </row>
    <row r="193" spans="1:19">
      <c r="A193" s="150"/>
      <c r="B193" s="54"/>
      <c r="C193" s="21">
        <f t="shared" si="28"/>
        <v>1</v>
      </c>
      <c r="D193" s="667"/>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si="36"/>
        <v>0</v>
      </c>
      <c r="S193" s="316">
        <f t="shared" si="37"/>
        <v>0</v>
      </c>
    </row>
    <row r="194" spans="1:19">
      <c r="A194" s="150"/>
      <c r="B194" s="54"/>
      <c r="C194" s="21">
        <f t="shared" si="28"/>
        <v>1</v>
      </c>
      <c r="D194" s="667"/>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si="36"/>
        <v>0</v>
      </c>
      <c r="S194" s="316">
        <f t="shared" si="37"/>
        <v>0</v>
      </c>
    </row>
    <row r="195" spans="1:19">
      <c r="A195" s="150"/>
      <c r="B195" s="54"/>
      <c r="C195" s="21">
        <f t="shared" si="28"/>
        <v>1</v>
      </c>
      <c r="D195" s="667"/>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si="36"/>
        <v>0</v>
      </c>
      <c r="S195" s="316">
        <f t="shared" si="37"/>
        <v>0</v>
      </c>
    </row>
    <row r="196" spans="1:19">
      <c r="A196" s="150"/>
      <c r="B196" s="54"/>
      <c r="C196" s="21">
        <f t="shared" si="28"/>
        <v>1</v>
      </c>
      <c r="D196" s="667"/>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si="36"/>
        <v>0</v>
      </c>
      <c r="S196" s="316">
        <f t="shared" si="37"/>
        <v>0</v>
      </c>
    </row>
    <row r="197" spans="1:19">
      <c r="A197" s="150"/>
      <c r="B197" s="54"/>
      <c r="C197" s="21">
        <f t="shared" si="28"/>
        <v>1</v>
      </c>
      <c r="D197" s="667"/>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si="36"/>
        <v>0</v>
      </c>
      <c r="S197" s="316">
        <f t="shared" si="37"/>
        <v>0</v>
      </c>
    </row>
    <row r="198" spans="1:19">
      <c r="A198" s="150"/>
      <c r="B198" s="54"/>
      <c r="C198" s="21">
        <f t="shared" si="28"/>
        <v>1</v>
      </c>
      <c r="D198" s="667"/>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6"/>
        <v>0</v>
      </c>
      <c r="S198" s="316">
        <f t="shared" si="37"/>
        <v>0</v>
      </c>
    </row>
    <row r="199" spans="1:19">
      <c r="A199" s="150"/>
      <c r="B199" s="54"/>
      <c r="C199" s="21">
        <f t="shared" si="28"/>
        <v>1</v>
      </c>
      <c r="D199" s="667"/>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6"/>
        <v>0</v>
      </c>
      <c r="S199" s="316">
        <f t="shared" si="37"/>
        <v>0</v>
      </c>
    </row>
    <row r="200" spans="1:19">
      <c r="A200" s="150"/>
      <c r="B200" s="54"/>
      <c r="C200" s="21">
        <f t="shared" si="28"/>
        <v>1</v>
      </c>
      <c r="D200" s="667"/>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6"/>
        <v>0</v>
      </c>
      <c r="S200" s="316">
        <f t="shared" si="37"/>
        <v>0</v>
      </c>
    </row>
    <row r="201" spans="1:19">
      <c r="A201" s="150"/>
      <c r="B201" s="54"/>
      <c r="C201" s="21">
        <f t="shared" si="28"/>
        <v>1</v>
      </c>
      <c r="D201" s="667"/>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6"/>
        <v>0</v>
      </c>
      <c r="S201" s="316">
        <f t="shared" si="37"/>
        <v>0</v>
      </c>
    </row>
    <row r="202" spans="1:19">
      <c r="A202" s="150"/>
      <c r="B202" s="54"/>
      <c r="C202" s="21">
        <f t="shared" si="28"/>
        <v>1</v>
      </c>
      <c r="D202" s="667"/>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6"/>
        <v>0</v>
      </c>
      <c r="S202" s="316">
        <f t="shared" si="37"/>
        <v>0</v>
      </c>
    </row>
    <row r="203" spans="1:19">
      <c r="A203" s="150"/>
      <c r="B203" s="54"/>
      <c r="C203" s="21">
        <f t="shared" si="28"/>
        <v>1</v>
      </c>
      <c r="D203" s="667"/>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6"/>
        <v>0</v>
      </c>
      <c r="S203" s="316">
        <f t="shared" si="37"/>
        <v>0</v>
      </c>
    </row>
    <row r="204" spans="1:19">
      <c r="A204" s="150"/>
      <c r="B204" s="54"/>
      <c r="C204" s="21">
        <f t="shared" si="28"/>
        <v>1</v>
      </c>
      <c r="D204" s="667"/>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6"/>
        <v>0</v>
      </c>
      <c r="S204" s="316">
        <f t="shared" si="37"/>
        <v>0</v>
      </c>
    </row>
    <row r="205" spans="1:19">
      <c r="A205" s="150"/>
      <c r="B205" s="54"/>
      <c r="C205" s="21">
        <f t="shared" si="28"/>
        <v>1</v>
      </c>
      <c r="D205" s="667"/>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6"/>
        <v>0</v>
      </c>
      <c r="S205" s="316">
        <f t="shared" si="37"/>
        <v>0</v>
      </c>
    </row>
    <row r="206" spans="1:19">
      <c r="A206" s="150"/>
      <c r="B206" s="54"/>
      <c r="C206" s="21">
        <f t="shared" si="28"/>
        <v>1</v>
      </c>
      <c r="D206" s="667"/>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6"/>
        <v>0</v>
      </c>
      <c r="S206" s="316">
        <f t="shared" si="37"/>
        <v>0</v>
      </c>
    </row>
    <row r="207" spans="1:19">
      <c r="A207" s="150"/>
      <c r="B207" s="54"/>
      <c r="C207" s="21">
        <f t="shared" si="28"/>
        <v>1</v>
      </c>
      <c r="D207" s="667"/>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6"/>
        <v>0</v>
      </c>
      <c r="S207" s="316">
        <f t="shared" si="37"/>
        <v>0</v>
      </c>
    </row>
    <row r="208" spans="1:19">
      <c r="A208" s="150"/>
      <c r="B208" s="54"/>
      <c r="C208" s="21">
        <f t="shared" si="28"/>
        <v>1</v>
      </c>
      <c r="D208" s="667"/>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6"/>
        <v>0</v>
      </c>
      <c r="S208" s="316">
        <f t="shared" si="37"/>
        <v>0</v>
      </c>
    </row>
    <row r="209" spans="1:19">
      <c r="A209" s="150"/>
      <c r="B209" s="54"/>
      <c r="C209" s="21">
        <f t="shared" si="28"/>
        <v>1</v>
      </c>
      <c r="D209" s="667"/>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6"/>
        <v>0</v>
      </c>
      <c r="S209" s="316">
        <f t="shared" si="37"/>
        <v>0</v>
      </c>
    </row>
    <row r="210" spans="1:19">
      <c r="A210" s="150"/>
      <c r="B210" s="54"/>
      <c r="C210" s="21">
        <f t="shared" si="28"/>
        <v>1</v>
      </c>
      <c r="D210" s="667"/>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6"/>
        <v>0</v>
      </c>
      <c r="S210" s="316">
        <f t="shared" si="37"/>
        <v>0</v>
      </c>
    </row>
    <row r="211" spans="1:19">
      <c r="A211" s="150"/>
      <c r="B211" s="54"/>
      <c r="C211" s="21">
        <f t="shared" si="28"/>
        <v>1</v>
      </c>
      <c r="D211" s="667"/>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6"/>
        <v>0</v>
      </c>
      <c r="S211" s="316">
        <f t="shared" si="37"/>
        <v>0</v>
      </c>
    </row>
    <row r="212" spans="1:19">
      <c r="A212" s="150"/>
      <c r="B212" s="54"/>
      <c r="C212" s="21">
        <f t="shared" si="28"/>
        <v>1</v>
      </c>
      <c r="D212" s="667"/>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6"/>
        <v>0</v>
      </c>
      <c r="S212" s="316">
        <f t="shared" si="37"/>
        <v>0</v>
      </c>
    </row>
    <row r="213" spans="1:19">
      <c r="A213" s="150"/>
      <c r="B213" s="54"/>
      <c r="C213" s="21">
        <f t="shared" si="28"/>
        <v>1</v>
      </c>
      <c r="D213" s="667"/>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6"/>
        <v>0</v>
      </c>
      <c r="S213" s="316">
        <f t="shared" si="37"/>
        <v>0</v>
      </c>
    </row>
    <row r="214" spans="1:19">
      <c r="A214" s="150"/>
      <c r="B214" s="54"/>
      <c r="C214" s="21">
        <f t="shared" si="28"/>
        <v>1</v>
      </c>
      <c r="D214" s="667"/>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6"/>
        <v>0</v>
      </c>
      <c r="S214" s="316">
        <f t="shared" si="37"/>
        <v>0</v>
      </c>
    </row>
    <row r="215" spans="1:19">
      <c r="A215" s="150"/>
      <c r="B215" s="54"/>
      <c r="C215" s="21">
        <f t="shared" si="28"/>
        <v>1</v>
      </c>
      <c r="D215" s="667"/>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6"/>
        <v>0</v>
      </c>
      <c r="S215" s="316">
        <f t="shared" si="37"/>
        <v>0</v>
      </c>
    </row>
    <row r="216" spans="1:19">
      <c r="A216" s="150"/>
      <c r="B216" s="54"/>
      <c r="C216" s="21">
        <f t="shared" si="28"/>
        <v>1</v>
      </c>
      <c r="D216" s="667"/>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6"/>
        <v>0</v>
      </c>
      <c r="S216" s="316">
        <f t="shared" si="37"/>
        <v>0</v>
      </c>
    </row>
    <row r="217" spans="1:19">
      <c r="A217" s="150"/>
      <c r="B217" s="54"/>
      <c r="C217" s="21">
        <f t="shared" si="28"/>
        <v>1</v>
      </c>
      <c r="D217" s="667"/>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6"/>
        <v>0</v>
      </c>
      <c r="S217" s="316">
        <f t="shared" si="37"/>
        <v>0</v>
      </c>
    </row>
    <row r="218" spans="1:19">
      <c r="A218" s="150"/>
      <c r="B218" s="54"/>
      <c r="C218" s="21">
        <f t="shared" ref="C218:C281" si="38">IF(B218="",1,(LOOKUP(B218,$3:$3,$4:$4)-LOOKUP($B$24,$3:$3,$4:$4)+100)/100)</f>
        <v>1</v>
      </c>
      <c r="D218" s="667"/>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150"/>
      <c r="B219" s="54"/>
      <c r="C219" s="21">
        <f t="shared" si="38"/>
        <v>1</v>
      </c>
      <c r="D219" s="667"/>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150"/>
      <c r="B220" s="54"/>
      <c r="C220" s="21">
        <f t="shared" si="38"/>
        <v>1</v>
      </c>
      <c r="D220" s="667"/>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150"/>
      <c r="B221" s="54"/>
      <c r="C221" s="21">
        <f t="shared" si="38"/>
        <v>1</v>
      </c>
      <c r="D221" s="667"/>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150"/>
      <c r="B222" s="54"/>
      <c r="C222" s="21">
        <f t="shared" si="38"/>
        <v>1</v>
      </c>
      <c r="D222" s="667"/>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150"/>
      <c r="B223" s="54"/>
      <c r="C223" s="21">
        <f t="shared" si="38"/>
        <v>1</v>
      </c>
      <c r="D223" s="667"/>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ref="S223:S286" si="47">ROUND(R223*B223/10000,0)</f>
        <v>0</v>
      </c>
    </row>
    <row r="224" spans="1:19">
      <c r="A224" s="150"/>
      <c r="B224" s="54"/>
      <c r="C224" s="21">
        <f t="shared" si="38"/>
        <v>1</v>
      </c>
      <c r="D224" s="667"/>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47"/>
        <v>0</v>
      </c>
    </row>
    <row r="225" spans="1:19">
      <c r="A225" s="150"/>
      <c r="B225" s="54"/>
      <c r="C225" s="21">
        <f t="shared" si="38"/>
        <v>1</v>
      </c>
      <c r="D225" s="667"/>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47"/>
        <v>0</v>
      </c>
    </row>
    <row r="226" spans="1:19">
      <c r="A226" s="150"/>
      <c r="B226" s="54"/>
      <c r="C226" s="21">
        <f t="shared" si="38"/>
        <v>1</v>
      </c>
      <c r="D226" s="667"/>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47"/>
        <v>0</v>
      </c>
    </row>
    <row r="227" spans="1:19">
      <c r="A227" s="150"/>
      <c r="B227" s="54"/>
      <c r="C227" s="21">
        <f t="shared" si="38"/>
        <v>1</v>
      </c>
      <c r="D227" s="667"/>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47"/>
        <v>0</v>
      </c>
    </row>
    <row r="228" spans="1:19">
      <c r="A228" s="150"/>
      <c r="B228" s="54"/>
      <c r="C228" s="21">
        <f t="shared" si="38"/>
        <v>1</v>
      </c>
      <c r="D228" s="667"/>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47"/>
        <v>0</v>
      </c>
    </row>
    <row r="229" spans="1:19">
      <c r="A229" s="150"/>
      <c r="B229" s="54"/>
      <c r="C229" s="21">
        <f t="shared" si="38"/>
        <v>1</v>
      </c>
      <c r="D229" s="667"/>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47"/>
        <v>0</v>
      </c>
    </row>
    <row r="230" spans="1:19">
      <c r="A230" s="150"/>
      <c r="B230" s="54"/>
      <c r="C230" s="21">
        <f t="shared" si="38"/>
        <v>1</v>
      </c>
      <c r="D230" s="667"/>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47"/>
        <v>0</v>
      </c>
    </row>
    <row r="231" spans="1:19">
      <c r="A231" s="150"/>
      <c r="B231" s="54"/>
      <c r="C231" s="21">
        <f t="shared" si="38"/>
        <v>1</v>
      </c>
      <c r="D231" s="667"/>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47"/>
        <v>0</v>
      </c>
    </row>
    <row r="232" spans="1:19">
      <c r="A232" s="150"/>
      <c r="B232" s="54"/>
      <c r="C232" s="21">
        <f t="shared" si="38"/>
        <v>1</v>
      </c>
      <c r="D232" s="667"/>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47"/>
        <v>0</v>
      </c>
    </row>
    <row r="233" spans="1:19">
      <c r="A233" s="150"/>
      <c r="B233" s="54"/>
      <c r="C233" s="21">
        <f t="shared" si="38"/>
        <v>1</v>
      </c>
      <c r="D233" s="667"/>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47"/>
        <v>0</v>
      </c>
    </row>
    <row r="234" spans="1:19">
      <c r="A234" s="150"/>
      <c r="B234" s="54"/>
      <c r="C234" s="21">
        <f t="shared" si="38"/>
        <v>1</v>
      </c>
      <c r="D234" s="667"/>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47"/>
        <v>0</v>
      </c>
    </row>
    <row r="235" spans="1:19">
      <c r="A235" s="150"/>
      <c r="B235" s="54"/>
      <c r="C235" s="21">
        <f t="shared" si="38"/>
        <v>1</v>
      </c>
      <c r="D235" s="667"/>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47"/>
        <v>0</v>
      </c>
    </row>
    <row r="236" spans="1:19">
      <c r="A236" s="150"/>
      <c r="B236" s="54"/>
      <c r="C236" s="21">
        <f t="shared" si="38"/>
        <v>1</v>
      </c>
      <c r="D236" s="667"/>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47"/>
        <v>0</v>
      </c>
    </row>
    <row r="237" spans="1:19">
      <c r="A237" s="150"/>
      <c r="B237" s="54"/>
      <c r="C237" s="21">
        <f t="shared" si="38"/>
        <v>1</v>
      </c>
      <c r="D237" s="667"/>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47"/>
        <v>0</v>
      </c>
    </row>
    <row r="238" spans="1:19">
      <c r="A238" s="150"/>
      <c r="B238" s="54"/>
      <c r="C238" s="21">
        <f t="shared" si="38"/>
        <v>1</v>
      </c>
      <c r="D238" s="667"/>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47"/>
        <v>0</v>
      </c>
    </row>
    <row r="239" spans="1:19">
      <c r="A239" s="150"/>
      <c r="B239" s="54"/>
      <c r="C239" s="21">
        <f t="shared" si="38"/>
        <v>1</v>
      </c>
      <c r="D239" s="667"/>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47"/>
        <v>0</v>
      </c>
    </row>
    <row r="240" spans="1:19">
      <c r="A240" s="150"/>
      <c r="B240" s="54"/>
      <c r="C240" s="21">
        <f t="shared" si="38"/>
        <v>1</v>
      </c>
      <c r="D240" s="667"/>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47"/>
        <v>0</v>
      </c>
    </row>
    <row r="241" spans="1:19">
      <c r="A241" s="150"/>
      <c r="B241" s="54"/>
      <c r="C241" s="21">
        <f t="shared" si="38"/>
        <v>1</v>
      </c>
      <c r="D241" s="667"/>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47"/>
        <v>0</v>
      </c>
    </row>
    <row r="242" spans="1:19">
      <c r="A242" s="150"/>
      <c r="B242" s="54"/>
      <c r="C242" s="21">
        <f t="shared" si="38"/>
        <v>1</v>
      </c>
      <c r="D242" s="667"/>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47"/>
        <v>0</v>
      </c>
    </row>
    <row r="243" spans="1:19">
      <c r="A243" s="150"/>
      <c r="B243" s="54"/>
      <c r="C243" s="21">
        <f t="shared" si="38"/>
        <v>1</v>
      </c>
      <c r="D243" s="667"/>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47"/>
        <v>0</v>
      </c>
    </row>
    <row r="244" spans="1:19">
      <c r="A244" s="150"/>
      <c r="B244" s="54"/>
      <c r="C244" s="21">
        <f t="shared" si="38"/>
        <v>1</v>
      </c>
      <c r="D244" s="667"/>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47"/>
        <v>0</v>
      </c>
    </row>
    <row r="245" spans="1:19">
      <c r="A245" s="150"/>
      <c r="B245" s="54"/>
      <c r="C245" s="21">
        <f t="shared" si="38"/>
        <v>1</v>
      </c>
      <c r="D245" s="667"/>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47"/>
        <v>0</v>
      </c>
    </row>
    <row r="246" spans="1:19">
      <c r="A246" s="150"/>
      <c r="B246" s="54"/>
      <c r="C246" s="21">
        <f t="shared" si="38"/>
        <v>1</v>
      </c>
      <c r="D246" s="667"/>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47"/>
        <v>0</v>
      </c>
    </row>
    <row r="247" spans="1:19">
      <c r="A247" s="150"/>
      <c r="B247" s="54"/>
      <c r="C247" s="21">
        <f t="shared" si="38"/>
        <v>1</v>
      </c>
      <c r="D247" s="667"/>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47"/>
        <v>0</v>
      </c>
    </row>
    <row r="248" spans="1:19">
      <c r="A248" s="150"/>
      <c r="B248" s="54"/>
      <c r="C248" s="21">
        <f t="shared" si="38"/>
        <v>1</v>
      </c>
      <c r="D248" s="667"/>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47"/>
        <v>0</v>
      </c>
    </row>
    <row r="249" spans="1:19">
      <c r="A249" s="150"/>
      <c r="B249" s="54"/>
      <c r="C249" s="21">
        <f t="shared" si="38"/>
        <v>1</v>
      </c>
      <c r="D249" s="667"/>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47"/>
        <v>0</v>
      </c>
    </row>
    <row r="250" spans="1:19">
      <c r="A250" s="150"/>
      <c r="B250" s="54"/>
      <c r="C250" s="21">
        <f t="shared" si="38"/>
        <v>1</v>
      </c>
      <c r="D250" s="667"/>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47"/>
        <v>0</v>
      </c>
    </row>
    <row r="251" spans="1:19">
      <c r="A251" s="150"/>
      <c r="B251" s="54"/>
      <c r="C251" s="21">
        <f t="shared" si="38"/>
        <v>1</v>
      </c>
      <c r="D251" s="667"/>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47"/>
        <v>0</v>
      </c>
    </row>
    <row r="252" spans="1:19">
      <c r="A252" s="150"/>
      <c r="B252" s="54"/>
      <c r="C252" s="21">
        <f t="shared" si="38"/>
        <v>1</v>
      </c>
      <c r="D252" s="667"/>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47"/>
        <v>0</v>
      </c>
    </row>
    <row r="253" spans="1:19">
      <c r="A253" s="150"/>
      <c r="B253" s="54"/>
      <c r="C253" s="21">
        <f t="shared" si="38"/>
        <v>1</v>
      </c>
      <c r="D253" s="667"/>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47"/>
        <v>0</v>
      </c>
    </row>
    <row r="254" spans="1:19">
      <c r="A254" s="150"/>
      <c r="B254" s="54"/>
      <c r="C254" s="21">
        <f t="shared" si="38"/>
        <v>1</v>
      </c>
      <c r="D254" s="667"/>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47"/>
        <v>0</v>
      </c>
    </row>
    <row r="255" spans="1:19">
      <c r="A255" s="150"/>
      <c r="B255" s="54"/>
      <c r="C255" s="21">
        <f t="shared" si="38"/>
        <v>1</v>
      </c>
      <c r="D255" s="667"/>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47"/>
        <v>0</v>
      </c>
    </row>
    <row r="256" spans="1:19">
      <c r="A256" s="150"/>
      <c r="B256" s="54"/>
      <c r="C256" s="21">
        <f t="shared" si="38"/>
        <v>1</v>
      </c>
      <c r="D256" s="667"/>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47"/>
        <v>0</v>
      </c>
    </row>
    <row r="257" spans="1:19">
      <c r="A257" s="150"/>
      <c r="B257" s="54"/>
      <c r="C257" s="21">
        <f t="shared" si="38"/>
        <v>1</v>
      </c>
      <c r="D257" s="667"/>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47"/>
        <v>0</v>
      </c>
    </row>
    <row r="258" spans="1:19">
      <c r="A258" s="150"/>
      <c r="B258" s="54"/>
      <c r="C258" s="21">
        <f t="shared" si="38"/>
        <v>1</v>
      </c>
      <c r="D258" s="667"/>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47"/>
        <v>0</v>
      </c>
    </row>
    <row r="259" spans="1:19">
      <c r="A259" s="150"/>
      <c r="B259" s="54"/>
      <c r="C259" s="21">
        <f t="shared" si="38"/>
        <v>1</v>
      </c>
      <c r="D259" s="667"/>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47"/>
        <v>0</v>
      </c>
    </row>
    <row r="260" spans="1:19">
      <c r="A260" s="150"/>
      <c r="B260" s="54"/>
      <c r="C260" s="21">
        <f t="shared" si="38"/>
        <v>1</v>
      </c>
      <c r="D260" s="667"/>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47"/>
        <v>0</v>
      </c>
    </row>
    <row r="261" spans="1:19">
      <c r="A261" s="150"/>
      <c r="B261" s="54"/>
      <c r="C261" s="21">
        <f t="shared" si="38"/>
        <v>1</v>
      </c>
      <c r="D261" s="667"/>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47"/>
        <v>0</v>
      </c>
    </row>
    <row r="262" spans="1:19">
      <c r="A262" s="150"/>
      <c r="B262" s="54"/>
      <c r="C262" s="21">
        <f t="shared" si="38"/>
        <v>1</v>
      </c>
      <c r="D262" s="667"/>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47"/>
        <v>0</v>
      </c>
    </row>
    <row r="263" spans="1:19">
      <c r="A263" s="150"/>
      <c r="B263" s="54"/>
      <c r="C263" s="21">
        <f t="shared" si="38"/>
        <v>1</v>
      </c>
      <c r="D263" s="667"/>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47"/>
        <v>0</v>
      </c>
    </row>
    <row r="264" spans="1:19">
      <c r="A264" s="150"/>
      <c r="B264" s="54"/>
      <c r="C264" s="21">
        <f t="shared" si="38"/>
        <v>1</v>
      </c>
      <c r="D264" s="667"/>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47"/>
        <v>0</v>
      </c>
    </row>
    <row r="265" spans="1:19">
      <c r="A265" s="150"/>
      <c r="B265" s="54"/>
      <c r="C265" s="21">
        <f t="shared" si="38"/>
        <v>1</v>
      </c>
      <c r="D265" s="667"/>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47"/>
        <v>0</v>
      </c>
    </row>
    <row r="266" spans="1:19">
      <c r="A266" s="150"/>
      <c r="B266" s="54"/>
      <c r="C266" s="21">
        <f t="shared" si="38"/>
        <v>1</v>
      </c>
      <c r="D266" s="667"/>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47"/>
        <v>0</v>
      </c>
    </row>
    <row r="267" spans="1:19">
      <c r="A267" s="150"/>
      <c r="B267" s="54"/>
      <c r="C267" s="21">
        <f t="shared" si="38"/>
        <v>1</v>
      </c>
      <c r="D267" s="667"/>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47"/>
        <v>0</v>
      </c>
    </row>
    <row r="268" spans="1:19">
      <c r="A268" s="150"/>
      <c r="B268" s="54"/>
      <c r="C268" s="21">
        <f t="shared" si="38"/>
        <v>1</v>
      </c>
      <c r="D268" s="667"/>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47"/>
        <v>0</v>
      </c>
    </row>
    <row r="269" spans="1:19">
      <c r="A269" s="150"/>
      <c r="B269" s="54"/>
      <c r="C269" s="21">
        <f t="shared" si="38"/>
        <v>1</v>
      </c>
      <c r="D269" s="667"/>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47"/>
        <v>0</v>
      </c>
    </row>
    <row r="270" spans="1:19">
      <c r="A270" s="150"/>
      <c r="B270" s="54"/>
      <c r="C270" s="21">
        <f t="shared" si="38"/>
        <v>1</v>
      </c>
      <c r="D270" s="667"/>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47"/>
        <v>0</v>
      </c>
    </row>
    <row r="271" spans="1:19">
      <c r="A271" s="150"/>
      <c r="B271" s="54"/>
      <c r="C271" s="21">
        <f t="shared" si="38"/>
        <v>1</v>
      </c>
      <c r="D271" s="667"/>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47"/>
        <v>0</v>
      </c>
    </row>
    <row r="272" spans="1:19">
      <c r="A272" s="150"/>
      <c r="B272" s="54"/>
      <c r="C272" s="21">
        <f t="shared" si="38"/>
        <v>1</v>
      </c>
      <c r="D272" s="667"/>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47"/>
        <v>0</v>
      </c>
    </row>
    <row r="273" spans="1:19">
      <c r="A273" s="150"/>
      <c r="B273" s="54"/>
      <c r="C273" s="21">
        <f t="shared" si="38"/>
        <v>1</v>
      </c>
      <c r="D273" s="667"/>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47"/>
        <v>0</v>
      </c>
    </row>
    <row r="274" spans="1:19">
      <c r="A274" s="150"/>
      <c r="B274" s="54"/>
      <c r="C274" s="21">
        <f t="shared" si="38"/>
        <v>1</v>
      </c>
      <c r="D274" s="667"/>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47"/>
        <v>0</v>
      </c>
    </row>
    <row r="275" spans="1:19">
      <c r="A275" s="150"/>
      <c r="B275" s="54"/>
      <c r="C275" s="21">
        <f t="shared" si="38"/>
        <v>1</v>
      </c>
      <c r="D275" s="667"/>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47"/>
        <v>0</v>
      </c>
    </row>
    <row r="276" spans="1:19">
      <c r="A276" s="150"/>
      <c r="B276" s="54"/>
      <c r="C276" s="21">
        <f t="shared" si="38"/>
        <v>1</v>
      </c>
      <c r="D276" s="667"/>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47"/>
        <v>0</v>
      </c>
    </row>
    <row r="277" spans="1:19">
      <c r="A277" s="150"/>
      <c r="B277" s="54"/>
      <c r="C277" s="21">
        <f t="shared" si="38"/>
        <v>1</v>
      </c>
      <c r="D277" s="667"/>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47"/>
        <v>0</v>
      </c>
    </row>
    <row r="278" spans="1:19">
      <c r="A278" s="150"/>
      <c r="B278" s="54"/>
      <c r="C278" s="21">
        <f t="shared" si="38"/>
        <v>1</v>
      </c>
      <c r="D278" s="667"/>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47"/>
        <v>0</v>
      </c>
    </row>
    <row r="279" spans="1:19">
      <c r="A279" s="150"/>
      <c r="B279" s="54"/>
      <c r="C279" s="21">
        <f t="shared" si="38"/>
        <v>1</v>
      </c>
      <c r="D279" s="667"/>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47"/>
        <v>0</v>
      </c>
    </row>
    <row r="280" spans="1:19">
      <c r="A280" s="150"/>
      <c r="B280" s="54"/>
      <c r="C280" s="21">
        <f t="shared" si="38"/>
        <v>1</v>
      </c>
      <c r="D280" s="667"/>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si="47"/>
        <v>0</v>
      </c>
    </row>
    <row r="281" spans="1:19">
      <c r="A281" s="150"/>
      <c r="B281" s="54"/>
      <c r="C281" s="21">
        <f t="shared" si="38"/>
        <v>1</v>
      </c>
      <c r="D281" s="667"/>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150"/>
      <c r="B282" s="54"/>
      <c r="C282" s="21">
        <f t="shared" ref="C282:C345" si="48">IF(B282="",1,(LOOKUP(B282,$3:$3,$4:$4)-LOOKUP($B$24,$3:$3,$4:$4)+100)/100)</f>
        <v>1</v>
      </c>
      <c r="D282" s="667"/>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150"/>
      <c r="B283" s="54"/>
      <c r="C283" s="21">
        <f t="shared" si="48"/>
        <v>1</v>
      </c>
      <c r="D283" s="667"/>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150"/>
      <c r="B284" s="54"/>
      <c r="C284" s="21">
        <f t="shared" si="48"/>
        <v>1</v>
      </c>
      <c r="D284" s="667"/>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150"/>
      <c r="B285" s="54"/>
      <c r="C285" s="21">
        <f t="shared" si="48"/>
        <v>1</v>
      </c>
      <c r="D285" s="667"/>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150"/>
      <c r="B286" s="54"/>
      <c r="C286" s="21">
        <f t="shared" si="48"/>
        <v>1</v>
      </c>
      <c r="D286" s="667"/>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150"/>
      <c r="B287" s="54"/>
      <c r="C287" s="21">
        <f t="shared" si="48"/>
        <v>1</v>
      </c>
      <c r="D287" s="667"/>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ref="S287:S320" si="57">ROUND(R287*B287/10000,0)</f>
        <v>0</v>
      </c>
    </row>
    <row r="288" spans="1:19">
      <c r="A288" s="150"/>
      <c r="B288" s="54"/>
      <c r="C288" s="21">
        <f t="shared" si="48"/>
        <v>1</v>
      </c>
      <c r="D288" s="667"/>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57"/>
        <v>0</v>
      </c>
    </row>
    <row r="289" spans="1:19">
      <c r="A289" s="150"/>
      <c r="B289" s="54"/>
      <c r="C289" s="21">
        <f t="shared" si="48"/>
        <v>1</v>
      </c>
      <c r="D289" s="667"/>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57"/>
        <v>0</v>
      </c>
    </row>
    <row r="290" spans="1:19">
      <c r="A290" s="150"/>
      <c r="B290" s="54"/>
      <c r="C290" s="21">
        <f t="shared" si="48"/>
        <v>1</v>
      </c>
      <c r="D290" s="667"/>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57"/>
        <v>0</v>
      </c>
    </row>
    <row r="291" spans="1:19">
      <c r="A291" s="150"/>
      <c r="B291" s="54"/>
      <c r="C291" s="21">
        <f t="shared" si="48"/>
        <v>1</v>
      </c>
      <c r="D291" s="667"/>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57"/>
        <v>0</v>
      </c>
    </row>
    <row r="292" spans="1:19">
      <c r="A292" s="150"/>
      <c r="B292" s="54"/>
      <c r="C292" s="21">
        <f t="shared" si="48"/>
        <v>1</v>
      </c>
      <c r="D292" s="667"/>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57"/>
        <v>0</v>
      </c>
    </row>
    <row r="293" spans="1:19">
      <c r="A293" s="150"/>
      <c r="B293" s="54"/>
      <c r="C293" s="21">
        <f t="shared" si="48"/>
        <v>1</v>
      </c>
      <c r="D293" s="667"/>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57"/>
        <v>0</v>
      </c>
    </row>
    <row r="294" spans="1:19">
      <c r="A294" s="150"/>
      <c r="B294" s="54"/>
      <c r="C294" s="21">
        <f t="shared" si="48"/>
        <v>1</v>
      </c>
      <c r="D294" s="667"/>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57"/>
        <v>0</v>
      </c>
    </row>
    <row r="295" spans="1:19">
      <c r="A295" s="150"/>
      <c r="B295" s="54"/>
      <c r="C295" s="21">
        <f t="shared" si="48"/>
        <v>1</v>
      </c>
      <c r="D295" s="667"/>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57"/>
        <v>0</v>
      </c>
    </row>
    <row r="296" spans="1:19">
      <c r="A296" s="150"/>
      <c r="B296" s="54"/>
      <c r="C296" s="21">
        <f t="shared" si="48"/>
        <v>1</v>
      </c>
      <c r="D296" s="667"/>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57"/>
        <v>0</v>
      </c>
    </row>
    <row r="297" spans="1:19">
      <c r="A297" s="150"/>
      <c r="B297" s="54"/>
      <c r="C297" s="21">
        <f t="shared" si="48"/>
        <v>1</v>
      </c>
      <c r="D297" s="667"/>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57"/>
        <v>0</v>
      </c>
    </row>
    <row r="298" spans="1:19">
      <c r="A298" s="150"/>
      <c r="B298" s="54"/>
      <c r="C298" s="21">
        <f t="shared" si="48"/>
        <v>1</v>
      </c>
      <c r="D298" s="667"/>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57"/>
        <v>0</v>
      </c>
    </row>
    <row r="299" spans="1:19">
      <c r="A299" s="150"/>
      <c r="B299" s="54"/>
      <c r="C299" s="21">
        <f t="shared" si="48"/>
        <v>1</v>
      </c>
      <c r="D299" s="667"/>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57"/>
        <v>0</v>
      </c>
    </row>
    <row r="300" spans="1:19">
      <c r="A300" s="150"/>
      <c r="B300" s="54"/>
      <c r="C300" s="21">
        <f t="shared" si="48"/>
        <v>1</v>
      </c>
      <c r="D300" s="667"/>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57"/>
        <v>0</v>
      </c>
    </row>
    <row r="301" spans="1:19">
      <c r="A301" s="150"/>
      <c r="B301" s="54"/>
      <c r="C301" s="21">
        <f t="shared" si="48"/>
        <v>1</v>
      </c>
      <c r="D301" s="667"/>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57"/>
        <v>0</v>
      </c>
    </row>
    <row r="302" spans="1:19">
      <c r="A302" s="150"/>
      <c r="B302" s="54"/>
      <c r="C302" s="21">
        <f t="shared" si="48"/>
        <v>1</v>
      </c>
      <c r="D302" s="667"/>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57"/>
        <v>0</v>
      </c>
    </row>
    <row r="303" spans="1:19">
      <c r="A303" s="150"/>
      <c r="B303" s="54"/>
      <c r="C303" s="21">
        <f t="shared" si="48"/>
        <v>1</v>
      </c>
      <c r="D303" s="667"/>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57"/>
        <v>0</v>
      </c>
    </row>
    <row r="304" spans="1:19">
      <c r="A304" s="150"/>
      <c r="B304" s="54"/>
      <c r="C304" s="21">
        <f t="shared" si="48"/>
        <v>1</v>
      </c>
      <c r="D304" s="667"/>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57"/>
        <v>0</v>
      </c>
    </row>
    <row r="305" spans="1:19">
      <c r="A305" s="150"/>
      <c r="B305" s="54"/>
      <c r="C305" s="21">
        <f t="shared" si="48"/>
        <v>1</v>
      </c>
      <c r="D305" s="667"/>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57"/>
        <v>0</v>
      </c>
    </row>
    <row r="306" spans="1:19">
      <c r="A306" s="150"/>
      <c r="B306" s="54"/>
      <c r="C306" s="21">
        <f t="shared" si="48"/>
        <v>1</v>
      </c>
      <c r="D306" s="667"/>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57"/>
        <v>0</v>
      </c>
    </row>
    <row r="307" spans="1:19">
      <c r="A307" s="150"/>
      <c r="B307" s="54"/>
      <c r="C307" s="21">
        <f t="shared" si="48"/>
        <v>1</v>
      </c>
      <c r="D307" s="667"/>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57"/>
        <v>0</v>
      </c>
    </row>
    <row r="308" spans="1:19">
      <c r="A308" s="150"/>
      <c r="B308" s="54"/>
      <c r="C308" s="21">
        <f t="shared" si="48"/>
        <v>1</v>
      </c>
      <c r="D308" s="667"/>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57"/>
        <v>0</v>
      </c>
    </row>
    <row r="309" spans="1:19">
      <c r="A309" s="150"/>
      <c r="B309" s="54"/>
      <c r="C309" s="21">
        <f t="shared" si="48"/>
        <v>1</v>
      </c>
      <c r="D309" s="667"/>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57"/>
        <v>0</v>
      </c>
    </row>
    <row r="310" spans="1:19">
      <c r="A310" s="150"/>
      <c r="B310" s="54"/>
      <c r="C310" s="21">
        <f t="shared" si="48"/>
        <v>1</v>
      </c>
      <c r="D310" s="667"/>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57"/>
        <v>0</v>
      </c>
    </row>
    <row r="311" spans="1:19">
      <c r="A311" s="150"/>
      <c r="B311" s="54"/>
      <c r="C311" s="21">
        <f t="shared" si="48"/>
        <v>1</v>
      </c>
      <c r="D311" s="667"/>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57"/>
        <v>0</v>
      </c>
    </row>
    <row r="312" spans="1:19">
      <c r="A312" s="150"/>
      <c r="B312" s="54"/>
      <c r="C312" s="21">
        <f t="shared" si="48"/>
        <v>1</v>
      </c>
      <c r="D312" s="667"/>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57"/>
        <v>0</v>
      </c>
    </row>
    <row r="313" spans="1:19">
      <c r="A313" s="150"/>
      <c r="B313" s="54"/>
      <c r="C313" s="21">
        <f t="shared" si="48"/>
        <v>1</v>
      </c>
      <c r="D313" s="667"/>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57"/>
        <v>0</v>
      </c>
    </row>
    <row r="314" spans="1:19">
      <c r="A314" s="150"/>
      <c r="B314" s="54"/>
      <c r="C314" s="21">
        <f t="shared" si="48"/>
        <v>1</v>
      </c>
      <c r="D314" s="667"/>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57"/>
        <v>0</v>
      </c>
    </row>
    <row r="315" spans="1:19">
      <c r="A315" s="150"/>
      <c r="B315" s="54"/>
      <c r="C315" s="21">
        <f t="shared" si="48"/>
        <v>1</v>
      </c>
      <c r="D315" s="667"/>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57"/>
        <v>0</v>
      </c>
    </row>
    <row r="316" spans="1:19">
      <c r="A316" s="150"/>
      <c r="B316" s="54"/>
      <c r="C316" s="21">
        <f t="shared" si="48"/>
        <v>1</v>
      </c>
      <c r="D316" s="667"/>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57"/>
        <v>0</v>
      </c>
    </row>
    <row r="317" spans="1:19">
      <c r="A317" s="150"/>
      <c r="B317" s="54"/>
      <c r="C317" s="21">
        <f t="shared" si="48"/>
        <v>1</v>
      </c>
      <c r="D317" s="667"/>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57"/>
        <v>0</v>
      </c>
    </row>
    <row r="318" spans="1:19">
      <c r="A318" s="150"/>
      <c r="B318" s="54"/>
      <c r="C318" s="21">
        <f t="shared" si="48"/>
        <v>1</v>
      </c>
      <c r="D318" s="667"/>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57"/>
        <v>0</v>
      </c>
    </row>
    <row r="319" spans="1:19">
      <c r="A319" s="150"/>
      <c r="B319" s="54"/>
      <c r="C319" s="21">
        <f t="shared" si="48"/>
        <v>1</v>
      </c>
      <c r="D319" s="667"/>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57"/>
        <v>0</v>
      </c>
    </row>
    <row r="320" spans="1:19">
      <c r="A320" s="150"/>
      <c r="B320" s="54"/>
      <c r="C320" s="21">
        <f t="shared" si="48"/>
        <v>1</v>
      </c>
      <c r="D320" s="667"/>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57"/>
        <v>0</v>
      </c>
    </row>
    <row r="321" spans="1:19">
      <c r="A321" s="150"/>
      <c r="B321" s="54"/>
      <c r="C321" s="21">
        <f t="shared" si="48"/>
        <v>1</v>
      </c>
      <c r="D321" s="667"/>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ref="S321:S384" si="58">ROUND(R321*B321/10000,0)</f>
        <v>0</v>
      </c>
    </row>
    <row r="322" spans="1:19">
      <c r="A322" s="150"/>
      <c r="B322" s="54"/>
      <c r="C322" s="21">
        <f t="shared" si="48"/>
        <v>1</v>
      </c>
      <c r="D322" s="667"/>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58"/>
        <v>0</v>
      </c>
    </row>
    <row r="323" spans="1:19">
      <c r="A323" s="150"/>
      <c r="B323" s="54"/>
      <c r="C323" s="21">
        <f t="shared" si="48"/>
        <v>1</v>
      </c>
      <c r="D323" s="667"/>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58"/>
        <v>0</v>
      </c>
    </row>
    <row r="324" spans="1:19">
      <c r="A324" s="150"/>
      <c r="B324" s="54"/>
      <c r="C324" s="21">
        <f t="shared" si="48"/>
        <v>1</v>
      </c>
      <c r="D324" s="667"/>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58"/>
        <v>0</v>
      </c>
    </row>
    <row r="325" spans="1:19">
      <c r="A325" s="150"/>
      <c r="B325" s="54"/>
      <c r="C325" s="21">
        <f t="shared" si="48"/>
        <v>1</v>
      </c>
      <c r="D325" s="667"/>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58"/>
        <v>0</v>
      </c>
    </row>
    <row r="326" spans="1:19">
      <c r="A326" s="150"/>
      <c r="B326" s="54"/>
      <c r="C326" s="21">
        <f t="shared" si="48"/>
        <v>1</v>
      </c>
      <c r="D326" s="667"/>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58"/>
        <v>0</v>
      </c>
    </row>
    <row r="327" spans="1:19">
      <c r="A327" s="150"/>
      <c r="B327" s="54"/>
      <c r="C327" s="21">
        <f t="shared" si="48"/>
        <v>1</v>
      </c>
      <c r="D327" s="667"/>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58"/>
        <v>0</v>
      </c>
    </row>
    <row r="328" spans="1:19">
      <c r="A328" s="150"/>
      <c r="B328" s="54"/>
      <c r="C328" s="21">
        <f t="shared" si="48"/>
        <v>1</v>
      </c>
      <c r="D328" s="667"/>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58"/>
        <v>0</v>
      </c>
    </row>
    <row r="329" spans="1:19">
      <c r="A329" s="150"/>
      <c r="B329" s="54"/>
      <c r="C329" s="21">
        <f t="shared" si="48"/>
        <v>1</v>
      </c>
      <c r="D329" s="667"/>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58"/>
        <v>0</v>
      </c>
    </row>
    <row r="330" spans="1:19">
      <c r="A330" s="150"/>
      <c r="B330" s="54"/>
      <c r="C330" s="21">
        <f t="shared" si="48"/>
        <v>1</v>
      </c>
      <c r="D330" s="667"/>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58"/>
        <v>0</v>
      </c>
    </row>
    <row r="331" spans="1:19">
      <c r="A331" s="150"/>
      <c r="B331" s="54"/>
      <c r="C331" s="21">
        <f t="shared" si="48"/>
        <v>1</v>
      </c>
      <c r="D331" s="667"/>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58"/>
        <v>0</v>
      </c>
    </row>
    <row r="332" spans="1:19">
      <c r="A332" s="150"/>
      <c r="B332" s="54"/>
      <c r="C332" s="21">
        <f t="shared" si="48"/>
        <v>1</v>
      </c>
      <c r="D332" s="667"/>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58"/>
        <v>0</v>
      </c>
    </row>
    <row r="333" spans="1:19">
      <c r="A333" s="150"/>
      <c r="B333" s="54"/>
      <c r="C333" s="21">
        <f t="shared" si="48"/>
        <v>1</v>
      </c>
      <c r="D333" s="667"/>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58"/>
        <v>0</v>
      </c>
    </row>
    <row r="334" spans="1:19">
      <c r="A334" s="150"/>
      <c r="B334" s="54"/>
      <c r="C334" s="21">
        <f t="shared" si="48"/>
        <v>1</v>
      </c>
      <c r="D334" s="667"/>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58"/>
        <v>0</v>
      </c>
    </row>
    <row r="335" spans="1:19">
      <c r="A335" s="150"/>
      <c r="B335" s="54"/>
      <c r="C335" s="21">
        <f t="shared" si="48"/>
        <v>1</v>
      </c>
      <c r="D335" s="667"/>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58"/>
        <v>0</v>
      </c>
    </row>
    <row r="336" spans="1:19">
      <c r="A336" s="150"/>
      <c r="B336" s="54"/>
      <c r="C336" s="21">
        <f t="shared" si="48"/>
        <v>1</v>
      </c>
      <c r="D336" s="667"/>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58"/>
        <v>0</v>
      </c>
    </row>
    <row r="337" spans="1:19">
      <c r="A337" s="150"/>
      <c r="B337" s="54"/>
      <c r="C337" s="21">
        <f t="shared" si="48"/>
        <v>1</v>
      </c>
      <c r="D337" s="667"/>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58"/>
        <v>0</v>
      </c>
    </row>
    <row r="338" spans="1:19">
      <c r="A338" s="150"/>
      <c r="B338" s="54"/>
      <c r="C338" s="21">
        <f t="shared" si="48"/>
        <v>1</v>
      </c>
      <c r="D338" s="667"/>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58"/>
        <v>0</v>
      </c>
    </row>
    <row r="339" spans="1:19">
      <c r="A339" s="150"/>
      <c r="B339" s="54"/>
      <c r="C339" s="21">
        <f t="shared" si="48"/>
        <v>1</v>
      </c>
      <c r="D339" s="667"/>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58"/>
        <v>0</v>
      </c>
    </row>
    <row r="340" spans="1:19">
      <c r="A340" s="150"/>
      <c r="B340" s="54"/>
      <c r="C340" s="21">
        <f t="shared" si="48"/>
        <v>1</v>
      </c>
      <c r="D340" s="667"/>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58"/>
        <v>0</v>
      </c>
    </row>
    <row r="341" spans="1:19">
      <c r="A341" s="150"/>
      <c r="B341" s="54"/>
      <c r="C341" s="21">
        <f t="shared" si="48"/>
        <v>1</v>
      </c>
      <c r="D341" s="667"/>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58"/>
        <v>0</v>
      </c>
    </row>
    <row r="342" spans="1:19">
      <c r="A342" s="150"/>
      <c r="B342" s="54"/>
      <c r="C342" s="21">
        <f t="shared" si="48"/>
        <v>1</v>
      </c>
      <c r="D342" s="667"/>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58"/>
        <v>0</v>
      </c>
    </row>
    <row r="343" spans="1:19">
      <c r="A343" s="150"/>
      <c r="B343" s="54"/>
      <c r="C343" s="21">
        <f t="shared" si="48"/>
        <v>1</v>
      </c>
      <c r="D343" s="667"/>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58"/>
        <v>0</v>
      </c>
    </row>
    <row r="344" spans="1:19">
      <c r="A344" s="150"/>
      <c r="B344" s="54"/>
      <c r="C344" s="21">
        <f t="shared" si="48"/>
        <v>1</v>
      </c>
      <c r="D344" s="667"/>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si="58"/>
        <v>0</v>
      </c>
    </row>
    <row r="345" spans="1:19">
      <c r="A345" s="150"/>
      <c r="B345" s="54"/>
      <c r="C345" s="21">
        <f t="shared" si="48"/>
        <v>1</v>
      </c>
      <c r="D345" s="667"/>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8"/>
        <v>0</v>
      </c>
    </row>
    <row r="346" spans="1:19">
      <c r="A346" s="150"/>
      <c r="B346" s="54"/>
      <c r="C346" s="21">
        <f t="shared" ref="C346:C409" si="59">IF(B346="",1,(LOOKUP(B346,$3:$3,$4:$4)-LOOKUP($B$24,$3:$3,$4:$4)+100)/100)</f>
        <v>1</v>
      </c>
      <c r="D346" s="667"/>
      <c r="E346" s="21">
        <f t="shared" ref="E346:E409" si="60">(SUMIF($5:$5,D346,$6:$6)-SUMIF($5:$5,$D$24,$6:$6)+100)/100</f>
        <v>1</v>
      </c>
      <c r="F346" s="667"/>
      <c r="G346" s="21">
        <f t="shared" ref="G346:G409" si="61">(SUMIF($7:$7,F346,$8:$8)-SUMIF($7:$7,$F$24,$8:$8)+100)/100</f>
        <v>1</v>
      </c>
      <c r="H346" s="667"/>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c r="Q346" s="21">
        <f t="shared" ref="Q346:Q409" si="66">(SUMIF($17:$17,P346,$18:$18)-SUMIF($17:$17,$P$24,$18:$18)+100)/100</f>
        <v>1</v>
      </c>
      <c r="R346" s="663">
        <f t="shared" ref="R346:R409" si="67">IF(B346="",0,ROUND($R$24*C346*E346*G346*I346*K346*M346*O346*Q346,0))</f>
        <v>0</v>
      </c>
      <c r="S346" s="316">
        <f t="shared" si="58"/>
        <v>0</v>
      </c>
    </row>
    <row r="347" spans="1:19">
      <c r="A347" s="150"/>
      <c r="B347" s="54"/>
      <c r="C347" s="21">
        <f t="shared" si="59"/>
        <v>1</v>
      </c>
      <c r="D347" s="667"/>
      <c r="E347" s="21">
        <f t="shared" si="60"/>
        <v>1</v>
      </c>
      <c r="F347" s="667"/>
      <c r="G347" s="21">
        <f t="shared" si="61"/>
        <v>1</v>
      </c>
      <c r="H347" s="667"/>
      <c r="I347" s="21">
        <f t="shared" si="62"/>
        <v>1</v>
      </c>
      <c r="J347" s="667"/>
      <c r="K347" s="21">
        <f t="shared" si="63"/>
        <v>1</v>
      </c>
      <c r="L347" s="667"/>
      <c r="M347" s="21">
        <f t="shared" si="64"/>
        <v>1</v>
      </c>
      <c r="N347" s="667"/>
      <c r="O347" s="21">
        <f t="shared" si="65"/>
        <v>1</v>
      </c>
      <c r="P347" s="667"/>
      <c r="Q347" s="21">
        <f t="shared" si="66"/>
        <v>1</v>
      </c>
      <c r="R347" s="663">
        <f t="shared" si="67"/>
        <v>0</v>
      </c>
      <c r="S347" s="316">
        <f t="shared" si="58"/>
        <v>0</v>
      </c>
    </row>
    <row r="348" spans="1:19">
      <c r="A348" s="150"/>
      <c r="B348" s="54"/>
      <c r="C348" s="21">
        <f t="shared" si="59"/>
        <v>1</v>
      </c>
      <c r="D348" s="667"/>
      <c r="E348" s="21">
        <f t="shared" si="60"/>
        <v>1</v>
      </c>
      <c r="F348" s="667"/>
      <c r="G348" s="21">
        <f t="shared" si="61"/>
        <v>1</v>
      </c>
      <c r="H348" s="667"/>
      <c r="I348" s="21">
        <f t="shared" si="62"/>
        <v>1</v>
      </c>
      <c r="J348" s="667"/>
      <c r="K348" s="21">
        <f t="shared" si="63"/>
        <v>1</v>
      </c>
      <c r="L348" s="667"/>
      <c r="M348" s="21">
        <f t="shared" si="64"/>
        <v>1</v>
      </c>
      <c r="N348" s="667"/>
      <c r="O348" s="21">
        <f t="shared" si="65"/>
        <v>1</v>
      </c>
      <c r="P348" s="667"/>
      <c r="Q348" s="21">
        <f t="shared" si="66"/>
        <v>1</v>
      </c>
      <c r="R348" s="663">
        <f t="shared" si="67"/>
        <v>0</v>
      </c>
      <c r="S348" s="316">
        <f t="shared" si="58"/>
        <v>0</v>
      </c>
    </row>
    <row r="349" spans="1:19">
      <c r="A349" s="150"/>
      <c r="B349" s="54"/>
      <c r="C349" s="21">
        <f t="shared" si="59"/>
        <v>1</v>
      </c>
      <c r="D349" s="667"/>
      <c r="E349" s="21">
        <f t="shared" si="60"/>
        <v>1</v>
      </c>
      <c r="F349" s="667"/>
      <c r="G349" s="21">
        <f t="shared" si="61"/>
        <v>1</v>
      </c>
      <c r="H349" s="667"/>
      <c r="I349" s="21">
        <f t="shared" si="62"/>
        <v>1</v>
      </c>
      <c r="J349" s="667"/>
      <c r="K349" s="21">
        <f t="shared" si="63"/>
        <v>1</v>
      </c>
      <c r="L349" s="667"/>
      <c r="M349" s="21">
        <f t="shared" si="64"/>
        <v>1</v>
      </c>
      <c r="N349" s="667"/>
      <c r="O349" s="21">
        <f t="shared" si="65"/>
        <v>1</v>
      </c>
      <c r="P349" s="667"/>
      <c r="Q349" s="21">
        <f t="shared" si="66"/>
        <v>1</v>
      </c>
      <c r="R349" s="663">
        <f t="shared" si="67"/>
        <v>0</v>
      </c>
      <c r="S349" s="316">
        <f t="shared" si="58"/>
        <v>0</v>
      </c>
    </row>
    <row r="350" spans="1:19">
      <c r="A350" s="150"/>
      <c r="B350" s="54"/>
      <c r="C350" s="21">
        <f t="shared" si="59"/>
        <v>1</v>
      </c>
      <c r="D350" s="667"/>
      <c r="E350" s="21">
        <f t="shared" si="60"/>
        <v>1</v>
      </c>
      <c r="F350" s="667"/>
      <c r="G350" s="21">
        <f t="shared" si="61"/>
        <v>1</v>
      </c>
      <c r="H350" s="667"/>
      <c r="I350" s="21">
        <f t="shared" si="62"/>
        <v>1</v>
      </c>
      <c r="J350" s="667"/>
      <c r="K350" s="21">
        <f t="shared" si="63"/>
        <v>1</v>
      </c>
      <c r="L350" s="667"/>
      <c r="M350" s="21">
        <f t="shared" si="64"/>
        <v>1</v>
      </c>
      <c r="N350" s="667"/>
      <c r="O350" s="21">
        <f t="shared" si="65"/>
        <v>1</v>
      </c>
      <c r="P350" s="667"/>
      <c r="Q350" s="21">
        <f t="shared" si="66"/>
        <v>1</v>
      </c>
      <c r="R350" s="663">
        <f t="shared" si="67"/>
        <v>0</v>
      </c>
      <c r="S350" s="316">
        <f t="shared" si="58"/>
        <v>0</v>
      </c>
    </row>
    <row r="351" spans="1:19">
      <c r="A351" s="150"/>
      <c r="B351" s="54"/>
      <c r="C351" s="21">
        <f t="shared" si="59"/>
        <v>1</v>
      </c>
      <c r="D351" s="667"/>
      <c r="E351" s="21">
        <f t="shared" si="60"/>
        <v>1</v>
      </c>
      <c r="F351" s="667"/>
      <c r="G351" s="21">
        <f t="shared" si="61"/>
        <v>1</v>
      </c>
      <c r="H351" s="667"/>
      <c r="I351" s="21">
        <f t="shared" si="62"/>
        <v>1</v>
      </c>
      <c r="J351" s="667"/>
      <c r="K351" s="21">
        <f t="shared" si="63"/>
        <v>1</v>
      </c>
      <c r="L351" s="667"/>
      <c r="M351" s="21">
        <f t="shared" si="64"/>
        <v>1</v>
      </c>
      <c r="N351" s="667"/>
      <c r="O351" s="21">
        <f t="shared" si="65"/>
        <v>1</v>
      </c>
      <c r="P351" s="667"/>
      <c r="Q351" s="21">
        <f t="shared" si="66"/>
        <v>1</v>
      </c>
      <c r="R351" s="663">
        <f t="shared" si="67"/>
        <v>0</v>
      </c>
      <c r="S351" s="316">
        <f t="shared" si="58"/>
        <v>0</v>
      </c>
    </row>
    <row r="352" spans="1:19">
      <c r="A352" s="150"/>
      <c r="B352" s="54"/>
      <c r="C352" s="21">
        <f t="shared" si="59"/>
        <v>1</v>
      </c>
      <c r="D352" s="667"/>
      <c r="E352" s="21">
        <f t="shared" si="60"/>
        <v>1</v>
      </c>
      <c r="F352" s="667"/>
      <c r="G352" s="21">
        <f t="shared" si="61"/>
        <v>1</v>
      </c>
      <c r="H352" s="667"/>
      <c r="I352" s="21">
        <f t="shared" si="62"/>
        <v>1</v>
      </c>
      <c r="J352" s="667"/>
      <c r="K352" s="21">
        <f t="shared" si="63"/>
        <v>1</v>
      </c>
      <c r="L352" s="667"/>
      <c r="M352" s="21">
        <f t="shared" si="64"/>
        <v>1</v>
      </c>
      <c r="N352" s="667"/>
      <c r="O352" s="21">
        <f t="shared" si="65"/>
        <v>1</v>
      </c>
      <c r="P352" s="667"/>
      <c r="Q352" s="21">
        <f t="shared" si="66"/>
        <v>1</v>
      </c>
      <c r="R352" s="663">
        <f t="shared" si="67"/>
        <v>0</v>
      </c>
      <c r="S352" s="316">
        <f t="shared" si="58"/>
        <v>0</v>
      </c>
    </row>
    <row r="353" spans="1:19">
      <c r="A353" s="150"/>
      <c r="B353" s="54"/>
      <c r="C353" s="21">
        <f t="shared" si="59"/>
        <v>1</v>
      </c>
      <c r="D353" s="667"/>
      <c r="E353" s="21">
        <f t="shared" si="60"/>
        <v>1</v>
      </c>
      <c r="F353" s="667"/>
      <c r="G353" s="21">
        <f t="shared" si="61"/>
        <v>1</v>
      </c>
      <c r="H353" s="667"/>
      <c r="I353" s="21">
        <f t="shared" si="62"/>
        <v>1</v>
      </c>
      <c r="J353" s="667"/>
      <c r="K353" s="21">
        <f t="shared" si="63"/>
        <v>1</v>
      </c>
      <c r="L353" s="667"/>
      <c r="M353" s="21">
        <f t="shared" si="64"/>
        <v>1</v>
      </c>
      <c r="N353" s="667"/>
      <c r="O353" s="21">
        <f t="shared" si="65"/>
        <v>1</v>
      </c>
      <c r="P353" s="667"/>
      <c r="Q353" s="21">
        <f t="shared" si="66"/>
        <v>1</v>
      </c>
      <c r="R353" s="663">
        <f t="shared" si="67"/>
        <v>0</v>
      </c>
      <c r="S353" s="316">
        <f t="shared" si="58"/>
        <v>0</v>
      </c>
    </row>
    <row r="354" spans="1:19">
      <c r="A354" s="150"/>
      <c r="B354" s="54"/>
      <c r="C354" s="21">
        <f t="shared" si="59"/>
        <v>1</v>
      </c>
      <c r="D354" s="667"/>
      <c r="E354" s="21">
        <f t="shared" si="60"/>
        <v>1</v>
      </c>
      <c r="F354" s="667"/>
      <c r="G354" s="21">
        <f t="shared" si="61"/>
        <v>1</v>
      </c>
      <c r="H354" s="667"/>
      <c r="I354" s="21">
        <f t="shared" si="62"/>
        <v>1</v>
      </c>
      <c r="J354" s="667"/>
      <c r="K354" s="21">
        <f t="shared" si="63"/>
        <v>1</v>
      </c>
      <c r="L354" s="667"/>
      <c r="M354" s="21">
        <f t="shared" si="64"/>
        <v>1</v>
      </c>
      <c r="N354" s="667"/>
      <c r="O354" s="21">
        <f t="shared" si="65"/>
        <v>1</v>
      </c>
      <c r="P354" s="667"/>
      <c r="Q354" s="21">
        <f t="shared" si="66"/>
        <v>1</v>
      </c>
      <c r="R354" s="663">
        <f t="shared" si="67"/>
        <v>0</v>
      </c>
      <c r="S354" s="316">
        <f t="shared" si="58"/>
        <v>0</v>
      </c>
    </row>
    <row r="355" spans="1:19">
      <c r="A355" s="150"/>
      <c r="B355" s="54"/>
      <c r="C355" s="21">
        <f t="shared" si="59"/>
        <v>1</v>
      </c>
      <c r="D355" s="667"/>
      <c r="E355" s="21">
        <f t="shared" si="60"/>
        <v>1</v>
      </c>
      <c r="F355" s="667"/>
      <c r="G355" s="21">
        <f t="shared" si="61"/>
        <v>1</v>
      </c>
      <c r="H355" s="667"/>
      <c r="I355" s="21">
        <f t="shared" si="62"/>
        <v>1</v>
      </c>
      <c r="J355" s="667"/>
      <c r="K355" s="21">
        <f t="shared" si="63"/>
        <v>1</v>
      </c>
      <c r="L355" s="667"/>
      <c r="M355" s="21">
        <f t="shared" si="64"/>
        <v>1</v>
      </c>
      <c r="N355" s="667"/>
      <c r="O355" s="21">
        <f t="shared" si="65"/>
        <v>1</v>
      </c>
      <c r="P355" s="667"/>
      <c r="Q355" s="21">
        <f t="shared" si="66"/>
        <v>1</v>
      </c>
      <c r="R355" s="663">
        <f t="shared" si="67"/>
        <v>0</v>
      </c>
      <c r="S355" s="316">
        <f t="shared" si="58"/>
        <v>0</v>
      </c>
    </row>
    <row r="356" spans="1:19">
      <c r="A356" s="150"/>
      <c r="B356" s="54"/>
      <c r="C356" s="21">
        <f t="shared" si="59"/>
        <v>1</v>
      </c>
      <c r="D356" s="667"/>
      <c r="E356" s="21">
        <f t="shared" si="60"/>
        <v>1</v>
      </c>
      <c r="F356" s="667"/>
      <c r="G356" s="21">
        <f t="shared" si="61"/>
        <v>1</v>
      </c>
      <c r="H356" s="667"/>
      <c r="I356" s="21">
        <f t="shared" si="62"/>
        <v>1</v>
      </c>
      <c r="J356" s="667"/>
      <c r="K356" s="21">
        <f t="shared" si="63"/>
        <v>1</v>
      </c>
      <c r="L356" s="667"/>
      <c r="M356" s="21">
        <f t="shared" si="64"/>
        <v>1</v>
      </c>
      <c r="N356" s="667"/>
      <c r="O356" s="21">
        <f t="shared" si="65"/>
        <v>1</v>
      </c>
      <c r="P356" s="667"/>
      <c r="Q356" s="21">
        <f t="shared" si="66"/>
        <v>1</v>
      </c>
      <c r="R356" s="663">
        <f t="shared" si="67"/>
        <v>0</v>
      </c>
      <c r="S356" s="316">
        <f t="shared" si="58"/>
        <v>0</v>
      </c>
    </row>
    <row r="357" spans="1:19">
      <c r="A357" s="150"/>
      <c r="B357" s="54"/>
      <c r="C357" s="21">
        <f t="shared" si="59"/>
        <v>1</v>
      </c>
      <c r="D357" s="667"/>
      <c r="E357" s="21">
        <f t="shared" si="60"/>
        <v>1</v>
      </c>
      <c r="F357" s="667"/>
      <c r="G357" s="21">
        <f t="shared" si="61"/>
        <v>1</v>
      </c>
      <c r="H357" s="667"/>
      <c r="I357" s="21">
        <f t="shared" si="62"/>
        <v>1</v>
      </c>
      <c r="J357" s="667"/>
      <c r="K357" s="21">
        <f t="shared" si="63"/>
        <v>1</v>
      </c>
      <c r="L357" s="667"/>
      <c r="M357" s="21">
        <f t="shared" si="64"/>
        <v>1</v>
      </c>
      <c r="N357" s="667"/>
      <c r="O357" s="21">
        <f t="shared" si="65"/>
        <v>1</v>
      </c>
      <c r="P357" s="667"/>
      <c r="Q357" s="21">
        <f t="shared" si="66"/>
        <v>1</v>
      </c>
      <c r="R357" s="663">
        <f t="shared" si="67"/>
        <v>0</v>
      </c>
      <c r="S357" s="316">
        <f t="shared" si="58"/>
        <v>0</v>
      </c>
    </row>
    <row r="358" spans="1:19">
      <c r="A358" s="150"/>
      <c r="B358" s="54"/>
      <c r="C358" s="21">
        <f t="shared" si="59"/>
        <v>1</v>
      </c>
      <c r="D358" s="667"/>
      <c r="E358" s="21">
        <f t="shared" si="60"/>
        <v>1</v>
      </c>
      <c r="F358" s="667"/>
      <c r="G358" s="21">
        <f t="shared" si="61"/>
        <v>1</v>
      </c>
      <c r="H358" s="667"/>
      <c r="I358" s="21">
        <f t="shared" si="62"/>
        <v>1</v>
      </c>
      <c r="J358" s="667"/>
      <c r="K358" s="21">
        <f t="shared" si="63"/>
        <v>1</v>
      </c>
      <c r="L358" s="667"/>
      <c r="M358" s="21">
        <f t="shared" si="64"/>
        <v>1</v>
      </c>
      <c r="N358" s="667"/>
      <c r="O358" s="21">
        <f t="shared" si="65"/>
        <v>1</v>
      </c>
      <c r="P358" s="667"/>
      <c r="Q358" s="21">
        <f t="shared" si="66"/>
        <v>1</v>
      </c>
      <c r="R358" s="663">
        <f t="shared" si="67"/>
        <v>0</v>
      </c>
      <c r="S358" s="316">
        <f t="shared" si="58"/>
        <v>0</v>
      </c>
    </row>
    <row r="359" spans="1:19">
      <c r="A359" s="150"/>
      <c r="B359" s="54"/>
      <c r="C359" s="21">
        <f t="shared" si="59"/>
        <v>1</v>
      </c>
      <c r="D359" s="667"/>
      <c r="E359" s="21">
        <f t="shared" si="60"/>
        <v>1</v>
      </c>
      <c r="F359" s="667"/>
      <c r="G359" s="21">
        <f t="shared" si="61"/>
        <v>1</v>
      </c>
      <c r="H359" s="667"/>
      <c r="I359" s="21">
        <f t="shared" si="62"/>
        <v>1</v>
      </c>
      <c r="J359" s="667"/>
      <c r="K359" s="21">
        <f t="shared" si="63"/>
        <v>1</v>
      </c>
      <c r="L359" s="667"/>
      <c r="M359" s="21">
        <f t="shared" si="64"/>
        <v>1</v>
      </c>
      <c r="N359" s="667"/>
      <c r="O359" s="21">
        <f t="shared" si="65"/>
        <v>1</v>
      </c>
      <c r="P359" s="667"/>
      <c r="Q359" s="21">
        <f t="shared" si="66"/>
        <v>1</v>
      </c>
      <c r="R359" s="663">
        <f t="shared" si="67"/>
        <v>0</v>
      </c>
      <c r="S359" s="316">
        <f t="shared" si="58"/>
        <v>0</v>
      </c>
    </row>
    <row r="360" spans="1:19">
      <c r="A360" s="150"/>
      <c r="B360" s="54"/>
      <c r="C360" s="21">
        <f t="shared" si="59"/>
        <v>1</v>
      </c>
      <c r="D360" s="667"/>
      <c r="E360" s="21">
        <f t="shared" si="60"/>
        <v>1</v>
      </c>
      <c r="F360" s="667"/>
      <c r="G360" s="21">
        <f t="shared" si="61"/>
        <v>1</v>
      </c>
      <c r="H360" s="667"/>
      <c r="I360" s="21">
        <f t="shared" si="62"/>
        <v>1</v>
      </c>
      <c r="J360" s="667"/>
      <c r="K360" s="21">
        <f t="shared" si="63"/>
        <v>1</v>
      </c>
      <c r="L360" s="667"/>
      <c r="M360" s="21">
        <f t="shared" si="64"/>
        <v>1</v>
      </c>
      <c r="N360" s="667"/>
      <c r="O360" s="21">
        <f t="shared" si="65"/>
        <v>1</v>
      </c>
      <c r="P360" s="667"/>
      <c r="Q360" s="21">
        <f t="shared" si="66"/>
        <v>1</v>
      </c>
      <c r="R360" s="663">
        <f t="shared" si="67"/>
        <v>0</v>
      </c>
      <c r="S360" s="316">
        <f t="shared" si="58"/>
        <v>0</v>
      </c>
    </row>
    <row r="361" spans="1:19">
      <c r="A361" s="150"/>
      <c r="B361" s="54"/>
      <c r="C361" s="21">
        <f t="shared" si="59"/>
        <v>1</v>
      </c>
      <c r="D361" s="667"/>
      <c r="E361" s="21">
        <f t="shared" si="60"/>
        <v>1</v>
      </c>
      <c r="F361" s="667"/>
      <c r="G361" s="21">
        <f t="shared" si="61"/>
        <v>1</v>
      </c>
      <c r="H361" s="667"/>
      <c r="I361" s="21">
        <f t="shared" si="62"/>
        <v>1</v>
      </c>
      <c r="J361" s="667"/>
      <c r="K361" s="21">
        <f t="shared" si="63"/>
        <v>1</v>
      </c>
      <c r="L361" s="667"/>
      <c r="M361" s="21">
        <f t="shared" si="64"/>
        <v>1</v>
      </c>
      <c r="N361" s="667"/>
      <c r="O361" s="21">
        <f t="shared" si="65"/>
        <v>1</v>
      </c>
      <c r="P361" s="667"/>
      <c r="Q361" s="21">
        <f t="shared" si="66"/>
        <v>1</v>
      </c>
      <c r="R361" s="663">
        <f t="shared" si="67"/>
        <v>0</v>
      </c>
      <c r="S361" s="316">
        <f t="shared" si="58"/>
        <v>0</v>
      </c>
    </row>
    <row r="362" spans="1:19">
      <c r="A362" s="150"/>
      <c r="B362" s="54"/>
      <c r="C362" s="21">
        <f t="shared" si="59"/>
        <v>1</v>
      </c>
      <c r="D362" s="667"/>
      <c r="E362" s="21">
        <f t="shared" si="60"/>
        <v>1</v>
      </c>
      <c r="F362" s="667"/>
      <c r="G362" s="21">
        <f t="shared" si="61"/>
        <v>1</v>
      </c>
      <c r="H362" s="667"/>
      <c r="I362" s="21">
        <f t="shared" si="62"/>
        <v>1</v>
      </c>
      <c r="J362" s="667"/>
      <c r="K362" s="21">
        <f t="shared" si="63"/>
        <v>1</v>
      </c>
      <c r="L362" s="667"/>
      <c r="M362" s="21">
        <f t="shared" si="64"/>
        <v>1</v>
      </c>
      <c r="N362" s="667"/>
      <c r="O362" s="21">
        <f t="shared" si="65"/>
        <v>1</v>
      </c>
      <c r="P362" s="667"/>
      <c r="Q362" s="21">
        <f t="shared" si="66"/>
        <v>1</v>
      </c>
      <c r="R362" s="663">
        <f t="shared" si="67"/>
        <v>0</v>
      </c>
      <c r="S362" s="316">
        <f t="shared" si="58"/>
        <v>0</v>
      </c>
    </row>
    <row r="363" spans="1:19">
      <c r="A363" s="150"/>
      <c r="B363" s="54"/>
      <c r="C363" s="21">
        <f t="shared" si="59"/>
        <v>1</v>
      </c>
      <c r="D363" s="667"/>
      <c r="E363" s="21">
        <f t="shared" si="60"/>
        <v>1</v>
      </c>
      <c r="F363" s="667"/>
      <c r="G363" s="21">
        <f t="shared" si="61"/>
        <v>1</v>
      </c>
      <c r="H363" s="667"/>
      <c r="I363" s="21">
        <f t="shared" si="62"/>
        <v>1</v>
      </c>
      <c r="J363" s="667"/>
      <c r="K363" s="21">
        <f t="shared" si="63"/>
        <v>1</v>
      </c>
      <c r="L363" s="667"/>
      <c r="M363" s="21">
        <f t="shared" si="64"/>
        <v>1</v>
      </c>
      <c r="N363" s="667"/>
      <c r="O363" s="21">
        <f t="shared" si="65"/>
        <v>1</v>
      </c>
      <c r="P363" s="667"/>
      <c r="Q363" s="21">
        <f t="shared" si="66"/>
        <v>1</v>
      </c>
      <c r="R363" s="663">
        <f t="shared" si="67"/>
        <v>0</v>
      </c>
      <c r="S363" s="316">
        <f t="shared" si="58"/>
        <v>0</v>
      </c>
    </row>
    <row r="364" spans="1:19">
      <c r="A364" s="150"/>
      <c r="B364" s="54"/>
      <c r="C364" s="21">
        <f t="shared" si="59"/>
        <v>1</v>
      </c>
      <c r="D364" s="667"/>
      <c r="E364" s="21">
        <f t="shared" si="60"/>
        <v>1</v>
      </c>
      <c r="F364" s="667"/>
      <c r="G364" s="21">
        <f t="shared" si="61"/>
        <v>1</v>
      </c>
      <c r="H364" s="667"/>
      <c r="I364" s="21">
        <f t="shared" si="62"/>
        <v>1</v>
      </c>
      <c r="J364" s="667"/>
      <c r="K364" s="21">
        <f t="shared" si="63"/>
        <v>1</v>
      </c>
      <c r="L364" s="667"/>
      <c r="M364" s="21">
        <f t="shared" si="64"/>
        <v>1</v>
      </c>
      <c r="N364" s="667"/>
      <c r="O364" s="21">
        <f t="shared" si="65"/>
        <v>1</v>
      </c>
      <c r="P364" s="667"/>
      <c r="Q364" s="21">
        <f t="shared" si="66"/>
        <v>1</v>
      </c>
      <c r="R364" s="663">
        <f t="shared" si="67"/>
        <v>0</v>
      </c>
      <c r="S364" s="316">
        <f t="shared" si="58"/>
        <v>0</v>
      </c>
    </row>
    <row r="365" spans="1:19">
      <c r="A365" s="150"/>
      <c r="B365" s="54"/>
      <c r="C365" s="21">
        <f t="shared" si="59"/>
        <v>1</v>
      </c>
      <c r="D365" s="667"/>
      <c r="E365" s="21">
        <f t="shared" si="60"/>
        <v>1</v>
      </c>
      <c r="F365" s="667"/>
      <c r="G365" s="21">
        <f t="shared" si="61"/>
        <v>1</v>
      </c>
      <c r="H365" s="667"/>
      <c r="I365" s="21">
        <f t="shared" si="62"/>
        <v>1</v>
      </c>
      <c r="J365" s="667"/>
      <c r="K365" s="21">
        <f t="shared" si="63"/>
        <v>1</v>
      </c>
      <c r="L365" s="667"/>
      <c r="M365" s="21">
        <f t="shared" si="64"/>
        <v>1</v>
      </c>
      <c r="N365" s="667"/>
      <c r="O365" s="21">
        <f t="shared" si="65"/>
        <v>1</v>
      </c>
      <c r="P365" s="667"/>
      <c r="Q365" s="21">
        <f t="shared" si="66"/>
        <v>1</v>
      </c>
      <c r="R365" s="663">
        <f t="shared" si="67"/>
        <v>0</v>
      </c>
      <c r="S365" s="316">
        <f t="shared" si="58"/>
        <v>0</v>
      </c>
    </row>
    <row r="366" spans="1:19">
      <c r="A366" s="150"/>
      <c r="B366" s="54"/>
      <c r="C366" s="21">
        <f t="shared" si="59"/>
        <v>1</v>
      </c>
      <c r="D366" s="667"/>
      <c r="E366" s="21">
        <f t="shared" si="60"/>
        <v>1</v>
      </c>
      <c r="F366" s="667"/>
      <c r="G366" s="21">
        <f t="shared" si="61"/>
        <v>1</v>
      </c>
      <c r="H366" s="667"/>
      <c r="I366" s="21">
        <f t="shared" si="62"/>
        <v>1</v>
      </c>
      <c r="J366" s="667"/>
      <c r="K366" s="21">
        <f t="shared" si="63"/>
        <v>1</v>
      </c>
      <c r="L366" s="667"/>
      <c r="M366" s="21">
        <f t="shared" si="64"/>
        <v>1</v>
      </c>
      <c r="N366" s="667"/>
      <c r="O366" s="21">
        <f t="shared" si="65"/>
        <v>1</v>
      </c>
      <c r="P366" s="667"/>
      <c r="Q366" s="21">
        <f t="shared" si="66"/>
        <v>1</v>
      </c>
      <c r="R366" s="663">
        <f t="shared" si="67"/>
        <v>0</v>
      </c>
      <c r="S366" s="316">
        <f t="shared" si="58"/>
        <v>0</v>
      </c>
    </row>
    <row r="367" spans="1:19">
      <c r="A367" s="150"/>
      <c r="B367" s="54"/>
      <c r="C367" s="21">
        <f t="shared" si="59"/>
        <v>1</v>
      </c>
      <c r="D367" s="667"/>
      <c r="E367" s="21">
        <f t="shared" si="60"/>
        <v>1</v>
      </c>
      <c r="F367" s="667"/>
      <c r="G367" s="21">
        <f t="shared" si="61"/>
        <v>1</v>
      </c>
      <c r="H367" s="667"/>
      <c r="I367" s="21">
        <f t="shared" si="62"/>
        <v>1</v>
      </c>
      <c r="J367" s="667"/>
      <c r="K367" s="21">
        <f t="shared" si="63"/>
        <v>1</v>
      </c>
      <c r="L367" s="667"/>
      <c r="M367" s="21">
        <f t="shared" si="64"/>
        <v>1</v>
      </c>
      <c r="N367" s="667"/>
      <c r="O367" s="21">
        <f t="shared" si="65"/>
        <v>1</v>
      </c>
      <c r="P367" s="667"/>
      <c r="Q367" s="21">
        <f t="shared" si="66"/>
        <v>1</v>
      </c>
      <c r="R367" s="663">
        <f t="shared" si="67"/>
        <v>0</v>
      </c>
      <c r="S367" s="316">
        <f t="shared" si="58"/>
        <v>0</v>
      </c>
    </row>
    <row r="368" spans="1:19">
      <c r="A368" s="150"/>
      <c r="B368" s="54"/>
      <c r="C368" s="21">
        <f t="shared" si="59"/>
        <v>1</v>
      </c>
      <c r="D368" s="667"/>
      <c r="E368" s="21">
        <f t="shared" si="60"/>
        <v>1</v>
      </c>
      <c r="F368" s="667"/>
      <c r="G368" s="21">
        <f t="shared" si="61"/>
        <v>1</v>
      </c>
      <c r="H368" s="667"/>
      <c r="I368" s="21">
        <f t="shared" si="62"/>
        <v>1</v>
      </c>
      <c r="J368" s="667"/>
      <c r="K368" s="21">
        <f t="shared" si="63"/>
        <v>1</v>
      </c>
      <c r="L368" s="667"/>
      <c r="M368" s="21">
        <f t="shared" si="64"/>
        <v>1</v>
      </c>
      <c r="N368" s="667"/>
      <c r="O368" s="21">
        <f t="shared" si="65"/>
        <v>1</v>
      </c>
      <c r="P368" s="667"/>
      <c r="Q368" s="21">
        <f t="shared" si="66"/>
        <v>1</v>
      </c>
      <c r="R368" s="663">
        <f t="shared" si="67"/>
        <v>0</v>
      </c>
      <c r="S368" s="316">
        <f t="shared" si="58"/>
        <v>0</v>
      </c>
    </row>
    <row r="369" spans="1:19">
      <c r="A369" s="150"/>
      <c r="B369" s="54"/>
      <c r="C369" s="21">
        <f t="shared" si="59"/>
        <v>1</v>
      </c>
      <c r="D369" s="667"/>
      <c r="E369" s="21">
        <f t="shared" si="60"/>
        <v>1</v>
      </c>
      <c r="F369" s="667"/>
      <c r="G369" s="21">
        <f t="shared" si="61"/>
        <v>1</v>
      </c>
      <c r="H369" s="667"/>
      <c r="I369" s="21">
        <f t="shared" si="62"/>
        <v>1</v>
      </c>
      <c r="J369" s="667"/>
      <c r="K369" s="21">
        <f t="shared" si="63"/>
        <v>1</v>
      </c>
      <c r="L369" s="667"/>
      <c r="M369" s="21">
        <f t="shared" si="64"/>
        <v>1</v>
      </c>
      <c r="N369" s="667"/>
      <c r="O369" s="21">
        <f t="shared" si="65"/>
        <v>1</v>
      </c>
      <c r="P369" s="667"/>
      <c r="Q369" s="21">
        <f t="shared" si="66"/>
        <v>1</v>
      </c>
      <c r="R369" s="663">
        <f t="shared" si="67"/>
        <v>0</v>
      </c>
      <c r="S369" s="316">
        <f t="shared" si="58"/>
        <v>0</v>
      </c>
    </row>
    <row r="370" spans="1:19">
      <c r="A370" s="150"/>
      <c r="B370" s="54"/>
      <c r="C370" s="21">
        <f t="shared" si="59"/>
        <v>1</v>
      </c>
      <c r="D370" s="667"/>
      <c r="E370" s="21">
        <f t="shared" si="60"/>
        <v>1</v>
      </c>
      <c r="F370" s="667"/>
      <c r="G370" s="21">
        <f t="shared" si="61"/>
        <v>1</v>
      </c>
      <c r="H370" s="667"/>
      <c r="I370" s="21">
        <f t="shared" si="62"/>
        <v>1</v>
      </c>
      <c r="J370" s="667"/>
      <c r="K370" s="21">
        <f t="shared" si="63"/>
        <v>1</v>
      </c>
      <c r="L370" s="667"/>
      <c r="M370" s="21">
        <f t="shared" si="64"/>
        <v>1</v>
      </c>
      <c r="N370" s="667"/>
      <c r="O370" s="21">
        <f t="shared" si="65"/>
        <v>1</v>
      </c>
      <c r="P370" s="667"/>
      <c r="Q370" s="21">
        <f t="shared" si="66"/>
        <v>1</v>
      </c>
      <c r="R370" s="663">
        <f t="shared" si="67"/>
        <v>0</v>
      </c>
      <c r="S370" s="316">
        <f t="shared" si="58"/>
        <v>0</v>
      </c>
    </row>
    <row r="371" spans="1:19">
      <c r="A371" s="150"/>
      <c r="B371" s="54"/>
      <c r="C371" s="21">
        <f t="shared" si="59"/>
        <v>1</v>
      </c>
      <c r="D371" s="667"/>
      <c r="E371" s="21">
        <f t="shared" si="60"/>
        <v>1</v>
      </c>
      <c r="F371" s="667"/>
      <c r="G371" s="21">
        <f t="shared" si="61"/>
        <v>1</v>
      </c>
      <c r="H371" s="667"/>
      <c r="I371" s="21">
        <f t="shared" si="62"/>
        <v>1</v>
      </c>
      <c r="J371" s="667"/>
      <c r="K371" s="21">
        <f t="shared" si="63"/>
        <v>1</v>
      </c>
      <c r="L371" s="667"/>
      <c r="M371" s="21">
        <f t="shared" si="64"/>
        <v>1</v>
      </c>
      <c r="N371" s="667"/>
      <c r="O371" s="21">
        <f t="shared" si="65"/>
        <v>1</v>
      </c>
      <c r="P371" s="667"/>
      <c r="Q371" s="21">
        <f t="shared" si="66"/>
        <v>1</v>
      </c>
      <c r="R371" s="663">
        <f t="shared" si="67"/>
        <v>0</v>
      </c>
      <c r="S371" s="316">
        <f t="shared" si="58"/>
        <v>0</v>
      </c>
    </row>
    <row r="372" spans="1:19">
      <c r="A372" s="150"/>
      <c r="B372" s="54"/>
      <c r="C372" s="21">
        <f t="shared" si="59"/>
        <v>1</v>
      </c>
      <c r="D372" s="667"/>
      <c r="E372" s="21">
        <f t="shared" si="60"/>
        <v>1</v>
      </c>
      <c r="F372" s="667"/>
      <c r="G372" s="21">
        <f t="shared" si="61"/>
        <v>1</v>
      </c>
      <c r="H372" s="667"/>
      <c r="I372" s="21">
        <f t="shared" si="62"/>
        <v>1</v>
      </c>
      <c r="J372" s="667"/>
      <c r="K372" s="21">
        <f t="shared" si="63"/>
        <v>1</v>
      </c>
      <c r="L372" s="667"/>
      <c r="M372" s="21">
        <f t="shared" si="64"/>
        <v>1</v>
      </c>
      <c r="N372" s="667"/>
      <c r="O372" s="21">
        <f t="shared" si="65"/>
        <v>1</v>
      </c>
      <c r="P372" s="667"/>
      <c r="Q372" s="21">
        <f t="shared" si="66"/>
        <v>1</v>
      </c>
      <c r="R372" s="663">
        <f t="shared" si="67"/>
        <v>0</v>
      </c>
      <c r="S372" s="316">
        <f t="shared" si="58"/>
        <v>0</v>
      </c>
    </row>
    <row r="373" spans="1:19">
      <c r="A373" s="150"/>
      <c r="B373" s="54"/>
      <c r="C373" s="21">
        <f t="shared" si="59"/>
        <v>1</v>
      </c>
      <c r="D373" s="667"/>
      <c r="E373" s="21">
        <f t="shared" si="60"/>
        <v>1</v>
      </c>
      <c r="F373" s="667"/>
      <c r="G373" s="21">
        <f t="shared" si="61"/>
        <v>1</v>
      </c>
      <c r="H373" s="667"/>
      <c r="I373" s="21">
        <f t="shared" si="62"/>
        <v>1</v>
      </c>
      <c r="J373" s="667"/>
      <c r="K373" s="21">
        <f t="shared" si="63"/>
        <v>1</v>
      </c>
      <c r="L373" s="667"/>
      <c r="M373" s="21">
        <f t="shared" si="64"/>
        <v>1</v>
      </c>
      <c r="N373" s="667"/>
      <c r="O373" s="21">
        <f t="shared" si="65"/>
        <v>1</v>
      </c>
      <c r="P373" s="667"/>
      <c r="Q373" s="21">
        <f t="shared" si="66"/>
        <v>1</v>
      </c>
      <c r="R373" s="663">
        <f t="shared" si="67"/>
        <v>0</v>
      </c>
      <c r="S373" s="316">
        <f t="shared" si="58"/>
        <v>0</v>
      </c>
    </row>
    <row r="374" spans="1:19">
      <c r="A374" s="150"/>
      <c r="B374" s="54"/>
      <c r="C374" s="21">
        <f t="shared" si="59"/>
        <v>1</v>
      </c>
      <c r="D374" s="667"/>
      <c r="E374" s="21">
        <f t="shared" si="60"/>
        <v>1</v>
      </c>
      <c r="F374" s="667"/>
      <c r="G374" s="21">
        <f t="shared" si="61"/>
        <v>1</v>
      </c>
      <c r="H374" s="667"/>
      <c r="I374" s="21">
        <f t="shared" si="62"/>
        <v>1</v>
      </c>
      <c r="J374" s="667"/>
      <c r="K374" s="21">
        <f t="shared" si="63"/>
        <v>1</v>
      </c>
      <c r="L374" s="667"/>
      <c r="M374" s="21">
        <f t="shared" si="64"/>
        <v>1</v>
      </c>
      <c r="N374" s="667"/>
      <c r="O374" s="21">
        <f t="shared" si="65"/>
        <v>1</v>
      </c>
      <c r="P374" s="667"/>
      <c r="Q374" s="21">
        <f t="shared" si="66"/>
        <v>1</v>
      </c>
      <c r="R374" s="663">
        <f t="shared" si="67"/>
        <v>0</v>
      </c>
      <c r="S374" s="316">
        <f t="shared" si="58"/>
        <v>0</v>
      </c>
    </row>
    <row r="375" spans="1:19">
      <c r="A375" s="150"/>
      <c r="B375" s="54"/>
      <c r="C375" s="21">
        <f t="shared" si="59"/>
        <v>1</v>
      </c>
      <c r="D375" s="667"/>
      <c r="E375" s="21">
        <f t="shared" si="60"/>
        <v>1</v>
      </c>
      <c r="F375" s="667"/>
      <c r="G375" s="21">
        <f t="shared" si="61"/>
        <v>1</v>
      </c>
      <c r="H375" s="667"/>
      <c r="I375" s="21">
        <f t="shared" si="62"/>
        <v>1</v>
      </c>
      <c r="J375" s="667"/>
      <c r="K375" s="21">
        <f t="shared" si="63"/>
        <v>1</v>
      </c>
      <c r="L375" s="667"/>
      <c r="M375" s="21">
        <f t="shared" si="64"/>
        <v>1</v>
      </c>
      <c r="N375" s="667"/>
      <c r="O375" s="21">
        <f t="shared" si="65"/>
        <v>1</v>
      </c>
      <c r="P375" s="667"/>
      <c r="Q375" s="21">
        <f t="shared" si="66"/>
        <v>1</v>
      </c>
      <c r="R375" s="663">
        <f t="shared" si="67"/>
        <v>0</v>
      </c>
      <c r="S375" s="316">
        <f t="shared" si="58"/>
        <v>0</v>
      </c>
    </row>
    <row r="376" spans="1:19">
      <c r="A376" s="150"/>
      <c r="B376" s="54"/>
      <c r="C376" s="21">
        <f t="shared" si="59"/>
        <v>1</v>
      </c>
      <c r="D376" s="667"/>
      <c r="E376" s="21">
        <f t="shared" si="60"/>
        <v>1</v>
      </c>
      <c r="F376" s="667"/>
      <c r="G376" s="21">
        <f t="shared" si="61"/>
        <v>1</v>
      </c>
      <c r="H376" s="667"/>
      <c r="I376" s="21">
        <f t="shared" si="62"/>
        <v>1</v>
      </c>
      <c r="J376" s="667"/>
      <c r="K376" s="21">
        <f t="shared" si="63"/>
        <v>1</v>
      </c>
      <c r="L376" s="667"/>
      <c r="M376" s="21">
        <f t="shared" si="64"/>
        <v>1</v>
      </c>
      <c r="N376" s="667"/>
      <c r="O376" s="21">
        <f t="shared" si="65"/>
        <v>1</v>
      </c>
      <c r="P376" s="667"/>
      <c r="Q376" s="21">
        <f t="shared" si="66"/>
        <v>1</v>
      </c>
      <c r="R376" s="663">
        <f t="shared" si="67"/>
        <v>0</v>
      </c>
      <c r="S376" s="316">
        <f t="shared" si="58"/>
        <v>0</v>
      </c>
    </row>
    <row r="377" spans="1:19">
      <c r="A377" s="150"/>
      <c r="B377" s="54"/>
      <c r="C377" s="21">
        <f t="shared" si="59"/>
        <v>1</v>
      </c>
      <c r="D377" s="667"/>
      <c r="E377" s="21">
        <f t="shared" si="60"/>
        <v>1</v>
      </c>
      <c r="F377" s="667"/>
      <c r="G377" s="21">
        <f t="shared" si="61"/>
        <v>1</v>
      </c>
      <c r="H377" s="667"/>
      <c r="I377" s="21">
        <f t="shared" si="62"/>
        <v>1</v>
      </c>
      <c r="J377" s="667"/>
      <c r="K377" s="21">
        <f t="shared" si="63"/>
        <v>1</v>
      </c>
      <c r="L377" s="667"/>
      <c r="M377" s="21">
        <f t="shared" si="64"/>
        <v>1</v>
      </c>
      <c r="N377" s="667"/>
      <c r="O377" s="21">
        <f t="shared" si="65"/>
        <v>1</v>
      </c>
      <c r="P377" s="667"/>
      <c r="Q377" s="21">
        <f t="shared" si="66"/>
        <v>1</v>
      </c>
      <c r="R377" s="663">
        <f t="shared" si="67"/>
        <v>0</v>
      </c>
      <c r="S377" s="316">
        <f t="shared" si="58"/>
        <v>0</v>
      </c>
    </row>
    <row r="378" spans="1:19">
      <c r="A378" s="150"/>
      <c r="B378" s="54"/>
      <c r="C378" s="21">
        <f t="shared" si="59"/>
        <v>1</v>
      </c>
      <c r="D378" s="667"/>
      <c r="E378" s="21">
        <f t="shared" si="60"/>
        <v>1</v>
      </c>
      <c r="F378" s="667"/>
      <c r="G378" s="21">
        <f t="shared" si="61"/>
        <v>1</v>
      </c>
      <c r="H378" s="667"/>
      <c r="I378" s="21">
        <f t="shared" si="62"/>
        <v>1</v>
      </c>
      <c r="J378" s="667"/>
      <c r="K378" s="21">
        <f t="shared" si="63"/>
        <v>1</v>
      </c>
      <c r="L378" s="667"/>
      <c r="M378" s="21">
        <f t="shared" si="64"/>
        <v>1</v>
      </c>
      <c r="N378" s="667"/>
      <c r="O378" s="21">
        <f t="shared" si="65"/>
        <v>1</v>
      </c>
      <c r="P378" s="667"/>
      <c r="Q378" s="21">
        <f t="shared" si="66"/>
        <v>1</v>
      </c>
      <c r="R378" s="663">
        <f t="shared" si="67"/>
        <v>0</v>
      </c>
      <c r="S378" s="316">
        <f t="shared" si="58"/>
        <v>0</v>
      </c>
    </row>
    <row r="379" spans="1:19">
      <c r="A379" s="150"/>
      <c r="B379" s="54"/>
      <c r="C379" s="21">
        <f t="shared" si="59"/>
        <v>1</v>
      </c>
      <c r="D379" s="667"/>
      <c r="E379" s="21">
        <f t="shared" si="60"/>
        <v>1</v>
      </c>
      <c r="F379" s="667"/>
      <c r="G379" s="21">
        <f t="shared" si="61"/>
        <v>1</v>
      </c>
      <c r="H379" s="667"/>
      <c r="I379" s="21">
        <f t="shared" si="62"/>
        <v>1</v>
      </c>
      <c r="J379" s="667"/>
      <c r="K379" s="21">
        <f t="shared" si="63"/>
        <v>1</v>
      </c>
      <c r="L379" s="667"/>
      <c r="M379" s="21">
        <f t="shared" si="64"/>
        <v>1</v>
      </c>
      <c r="N379" s="667"/>
      <c r="O379" s="21">
        <f t="shared" si="65"/>
        <v>1</v>
      </c>
      <c r="P379" s="667"/>
      <c r="Q379" s="21">
        <f t="shared" si="66"/>
        <v>1</v>
      </c>
      <c r="R379" s="663">
        <f t="shared" si="67"/>
        <v>0</v>
      </c>
      <c r="S379" s="316">
        <f t="shared" si="58"/>
        <v>0</v>
      </c>
    </row>
    <row r="380" spans="1:19">
      <c r="A380" s="150"/>
      <c r="B380" s="54"/>
      <c r="C380" s="21">
        <f t="shared" si="59"/>
        <v>1</v>
      </c>
      <c r="D380" s="667"/>
      <c r="E380" s="21">
        <f t="shared" si="60"/>
        <v>1</v>
      </c>
      <c r="F380" s="667"/>
      <c r="G380" s="21">
        <f t="shared" si="61"/>
        <v>1</v>
      </c>
      <c r="H380" s="667"/>
      <c r="I380" s="21">
        <f t="shared" si="62"/>
        <v>1</v>
      </c>
      <c r="J380" s="667"/>
      <c r="K380" s="21">
        <f t="shared" si="63"/>
        <v>1</v>
      </c>
      <c r="L380" s="667"/>
      <c r="M380" s="21">
        <f t="shared" si="64"/>
        <v>1</v>
      </c>
      <c r="N380" s="667"/>
      <c r="O380" s="21">
        <f t="shared" si="65"/>
        <v>1</v>
      </c>
      <c r="P380" s="667"/>
      <c r="Q380" s="21">
        <f t="shared" si="66"/>
        <v>1</v>
      </c>
      <c r="R380" s="663">
        <f t="shared" si="67"/>
        <v>0</v>
      </c>
      <c r="S380" s="316">
        <f t="shared" si="58"/>
        <v>0</v>
      </c>
    </row>
    <row r="381" spans="1:19">
      <c r="A381" s="150"/>
      <c r="B381" s="54"/>
      <c r="C381" s="21">
        <f t="shared" si="59"/>
        <v>1</v>
      </c>
      <c r="D381" s="667"/>
      <c r="E381" s="21">
        <f t="shared" si="60"/>
        <v>1</v>
      </c>
      <c r="F381" s="667"/>
      <c r="G381" s="21">
        <f t="shared" si="61"/>
        <v>1</v>
      </c>
      <c r="H381" s="667"/>
      <c r="I381" s="21">
        <f t="shared" si="62"/>
        <v>1</v>
      </c>
      <c r="J381" s="667"/>
      <c r="K381" s="21">
        <f t="shared" si="63"/>
        <v>1</v>
      </c>
      <c r="L381" s="667"/>
      <c r="M381" s="21">
        <f t="shared" si="64"/>
        <v>1</v>
      </c>
      <c r="N381" s="667"/>
      <c r="O381" s="21">
        <f t="shared" si="65"/>
        <v>1</v>
      </c>
      <c r="P381" s="667"/>
      <c r="Q381" s="21">
        <f t="shared" si="66"/>
        <v>1</v>
      </c>
      <c r="R381" s="663">
        <f t="shared" si="67"/>
        <v>0</v>
      </c>
      <c r="S381" s="316">
        <f t="shared" si="58"/>
        <v>0</v>
      </c>
    </row>
    <row r="382" spans="1:19">
      <c r="A382" s="150"/>
      <c r="B382" s="54"/>
      <c r="C382" s="21">
        <f t="shared" si="59"/>
        <v>1</v>
      </c>
      <c r="D382" s="667"/>
      <c r="E382" s="21">
        <f t="shared" si="60"/>
        <v>1</v>
      </c>
      <c r="F382" s="667"/>
      <c r="G382" s="21">
        <f t="shared" si="61"/>
        <v>1</v>
      </c>
      <c r="H382" s="667"/>
      <c r="I382" s="21">
        <f t="shared" si="62"/>
        <v>1</v>
      </c>
      <c r="J382" s="667"/>
      <c r="K382" s="21">
        <f t="shared" si="63"/>
        <v>1</v>
      </c>
      <c r="L382" s="667"/>
      <c r="M382" s="21">
        <f t="shared" si="64"/>
        <v>1</v>
      </c>
      <c r="N382" s="667"/>
      <c r="O382" s="21">
        <f t="shared" si="65"/>
        <v>1</v>
      </c>
      <c r="P382" s="667"/>
      <c r="Q382" s="21">
        <f t="shared" si="66"/>
        <v>1</v>
      </c>
      <c r="R382" s="663">
        <f t="shared" si="67"/>
        <v>0</v>
      </c>
      <c r="S382" s="316">
        <f t="shared" si="58"/>
        <v>0</v>
      </c>
    </row>
    <row r="383" spans="1:19">
      <c r="A383" s="150"/>
      <c r="B383" s="54"/>
      <c r="C383" s="21">
        <f t="shared" si="59"/>
        <v>1</v>
      </c>
      <c r="D383" s="667"/>
      <c r="E383" s="21">
        <f t="shared" si="60"/>
        <v>1</v>
      </c>
      <c r="F383" s="667"/>
      <c r="G383" s="21">
        <f t="shared" si="61"/>
        <v>1</v>
      </c>
      <c r="H383" s="667"/>
      <c r="I383" s="21">
        <f t="shared" si="62"/>
        <v>1</v>
      </c>
      <c r="J383" s="667"/>
      <c r="K383" s="21">
        <f t="shared" si="63"/>
        <v>1</v>
      </c>
      <c r="L383" s="667"/>
      <c r="M383" s="21">
        <f t="shared" si="64"/>
        <v>1</v>
      </c>
      <c r="N383" s="667"/>
      <c r="O383" s="21">
        <f t="shared" si="65"/>
        <v>1</v>
      </c>
      <c r="P383" s="667"/>
      <c r="Q383" s="21">
        <f t="shared" si="66"/>
        <v>1</v>
      </c>
      <c r="R383" s="663">
        <f t="shared" si="67"/>
        <v>0</v>
      </c>
      <c r="S383" s="316">
        <f t="shared" si="58"/>
        <v>0</v>
      </c>
    </row>
    <row r="384" spans="1:19">
      <c r="A384" s="150"/>
      <c r="B384" s="54"/>
      <c r="C384" s="21">
        <f t="shared" si="59"/>
        <v>1</v>
      </c>
      <c r="D384" s="667"/>
      <c r="E384" s="21">
        <f t="shared" si="60"/>
        <v>1</v>
      </c>
      <c r="F384" s="667"/>
      <c r="G384" s="21">
        <f t="shared" si="61"/>
        <v>1</v>
      </c>
      <c r="H384" s="667"/>
      <c r="I384" s="21">
        <f t="shared" si="62"/>
        <v>1</v>
      </c>
      <c r="J384" s="667"/>
      <c r="K384" s="21">
        <f t="shared" si="63"/>
        <v>1</v>
      </c>
      <c r="L384" s="667"/>
      <c r="M384" s="21">
        <f t="shared" si="64"/>
        <v>1</v>
      </c>
      <c r="N384" s="667"/>
      <c r="O384" s="21">
        <f t="shared" si="65"/>
        <v>1</v>
      </c>
      <c r="P384" s="667"/>
      <c r="Q384" s="21">
        <f t="shared" si="66"/>
        <v>1</v>
      </c>
      <c r="R384" s="663">
        <f t="shared" si="67"/>
        <v>0</v>
      </c>
      <c r="S384" s="316">
        <f t="shared" si="58"/>
        <v>0</v>
      </c>
    </row>
    <row r="385" spans="1:19">
      <c r="A385" s="150"/>
      <c r="B385" s="54"/>
      <c r="C385" s="21">
        <f t="shared" si="59"/>
        <v>1</v>
      </c>
      <c r="D385" s="667"/>
      <c r="E385" s="21">
        <f t="shared" si="60"/>
        <v>1</v>
      </c>
      <c r="F385" s="667"/>
      <c r="G385" s="21">
        <f t="shared" si="61"/>
        <v>1</v>
      </c>
      <c r="H385" s="667"/>
      <c r="I385" s="21">
        <f t="shared" si="62"/>
        <v>1</v>
      </c>
      <c r="J385" s="667"/>
      <c r="K385" s="21">
        <f t="shared" si="63"/>
        <v>1</v>
      </c>
      <c r="L385" s="667"/>
      <c r="M385" s="21">
        <f t="shared" si="64"/>
        <v>1</v>
      </c>
      <c r="N385" s="667"/>
      <c r="O385" s="21">
        <f t="shared" si="65"/>
        <v>1</v>
      </c>
      <c r="P385" s="667"/>
      <c r="Q385" s="21">
        <f t="shared" si="66"/>
        <v>1</v>
      </c>
      <c r="R385" s="663">
        <f t="shared" si="67"/>
        <v>0</v>
      </c>
      <c r="S385" s="316">
        <f t="shared" ref="S385:S422" si="68">ROUND(R385*B385/10000,0)</f>
        <v>0</v>
      </c>
    </row>
    <row r="386" spans="1:19">
      <c r="A386" s="150"/>
      <c r="B386" s="54"/>
      <c r="C386" s="21">
        <f t="shared" si="59"/>
        <v>1</v>
      </c>
      <c r="D386" s="667"/>
      <c r="E386" s="21">
        <f t="shared" si="60"/>
        <v>1</v>
      </c>
      <c r="F386" s="667"/>
      <c r="G386" s="21">
        <f t="shared" si="61"/>
        <v>1</v>
      </c>
      <c r="H386" s="667"/>
      <c r="I386" s="21">
        <f t="shared" si="62"/>
        <v>1</v>
      </c>
      <c r="J386" s="667"/>
      <c r="K386" s="21">
        <f t="shared" si="63"/>
        <v>1</v>
      </c>
      <c r="L386" s="667"/>
      <c r="M386" s="21">
        <f t="shared" si="64"/>
        <v>1</v>
      </c>
      <c r="N386" s="667"/>
      <c r="O386" s="21">
        <f t="shared" si="65"/>
        <v>1</v>
      </c>
      <c r="P386" s="667"/>
      <c r="Q386" s="21">
        <f t="shared" si="66"/>
        <v>1</v>
      </c>
      <c r="R386" s="663">
        <f t="shared" si="67"/>
        <v>0</v>
      </c>
      <c r="S386" s="316">
        <f t="shared" si="68"/>
        <v>0</v>
      </c>
    </row>
    <row r="387" spans="1:19">
      <c r="A387" s="150"/>
      <c r="B387" s="54"/>
      <c r="C387" s="21">
        <f t="shared" si="59"/>
        <v>1</v>
      </c>
      <c r="D387" s="667"/>
      <c r="E387" s="21">
        <f t="shared" si="60"/>
        <v>1</v>
      </c>
      <c r="F387" s="667"/>
      <c r="G387" s="21">
        <f t="shared" si="61"/>
        <v>1</v>
      </c>
      <c r="H387" s="667"/>
      <c r="I387" s="21">
        <f t="shared" si="62"/>
        <v>1</v>
      </c>
      <c r="J387" s="667"/>
      <c r="K387" s="21">
        <f t="shared" si="63"/>
        <v>1</v>
      </c>
      <c r="L387" s="667"/>
      <c r="M387" s="21">
        <f t="shared" si="64"/>
        <v>1</v>
      </c>
      <c r="N387" s="667"/>
      <c r="O387" s="21">
        <f t="shared" si="65"/>
        <v>1</v>
      </c>
      <c r="P387" s="667"/>
      <c r="Q387" s="21">
        <f t="shared" si="66"/>
        <v>1</v>
      </c>
      <c r="R387" s="663">
        <f t="shared" si="67"/>
        <v>0</v>
      </c>
      <c r="S387" s="316">
        <f t="shared" si="68"/>
        <v>0</v>
      </c>
    </row>
    <row r="388" spans="1:19">
      <c r="A388" s="150"/>
      <c r="B388" s="54"/>
      <c r="C388" s="21">
        <f t="shared" si="59"/>
        <v>1</v>
      </c>
      <c r="D388" s="667"/>
      <c r="E388" s="21">
        <f t="shared" si="60"/>
        <v>1</v>
      </c>
      <c r="F388" s="667"/>
      <c r="G388" s="21">
        <f t="shared" si="61"/>
        <v>1</v>
      </c>
      <c r="H388" s="667"/>
      <c r="I388" s="21">
        <f t="shared" si="62"/>
        <v>1</v>
      </c>
      <c r="J388" s="667"/>
      <c r="K388" s="21">
        <f t="shared" si="63"/>
        <v>1</v>
      </c>
      <c r="L388" s="667"/>
      <c r="M388" s="21">
        <f t="shared" si="64"/>
        <v>1</v>
      </c>
      <c r="N388" s="667"/>
      <c r="O388" s="21">
        <f t="shared" si="65"/>
        <v>1</v>
      </c>
      <c r="P388" s="667"/>
      <c r="Q388" s="21">
        <f t="shared" si="66"/>
        <v>1</v>
      </c>
      <c r="R388" s="663">
        <f t="shared" si="67"/>
        <v>0</v>
      </c>
      <c r="S388" s="316">
        <f t="shared" si="68"/>
        <v>0</v>
      </c>
    </row>
    <row r="389" spans="1:19">
      <c r="A389" s="150"/>
      <c r="B389" s="54"/>
      <c r="C389" s="21">
        <f t="shared" si="59"/>
        <v>1</v>
      </c>
      <c r="D389" s="667"/>
      <c r="E389" s="21">
        <f t="shared" si="60"/>
        <v>1</v>
      </c>
      <c r="F389" s="667"/>
      <c r="G389" s="21">
        <f t="shared" si="61"/>
        <v>1</v>
      </c>
      <c r="H389" s="667"/>
      <c r="I389" s="21">
        <f t="shared" si="62"/>
        <v>1</v>
      </c>
      <c r="J389" s="667"/>
      <c r="K389" s="21">
        <f t="shared" si="63"/>
        <v>1</v>
      </c>
      <c r="L389" s="667"/>
      <c r="M389" s="21">
        <f t="shared" si="64"/>
        <v>1</v>
      </c>
      <c r="N389" s="667"/>
      <c r="O389" s="21">
        <f t="shared" si="65"/>
        <v>1</v>
      </c>
      <c r="P389" s="667"/>
      <c r="Q389" s="21">
        <f t="shared" si="66"/>
        <v>1</v>
      </c>
      <c r="R389" s="663">
        <f t="shared" si="67"/>
        <v>0</v>
      </c>
      <c r="S389" s="316">
        <f t="shared" si="68"/>
        <v>0</v>
      </c>
    </row>
    <row r="390" spans="1:19">
      <c r="A390" s="150"/>
      <c r="B390" s="54"/>
      <c r="C390" s="21">
        <f t="shared" si="59"/>
        <v>1</v>
      </c>
      <c r="D390" s="667"/>
      <c r="E390" s="21">
        <f t="shared" si="60"/>
        <v>1</v>
      </c>
      <c r="F390" s="667"/>
      <c r="G390" s="21">
        <f t="shared" si="61"/>
        <v>1</v>
      </c>
      <c r="H390" s="667"/>
      <c r="I390" s="21">
        <f t="shared" si="62"/>
        <v>1</v>
      </c>
      <c r="J390" s="667"/>
      <c r="K390" s="21">
        <f t="shared" si="63"/>
        <v>1</v>
      </c>
      <c r="L390" s="667"/>
      <c r="M390" s="21">
        <f t="shared" si="64"/>
        <v>1</v>
      </c>
      <c r="N390" s="667"/>
      <c r="O390" s="21">
        <f t="shared" si="65"/>
        <v>1</v>
      </c>
      <c r="P390" s="667"/>
      <c r="Q390" s="21">
        <f t="shared" si="66"/>
        <v>1</v>
      </c>
      <c r="R390" s="663">
        <f t="shared" si="67"/>
        <v>0</v>
      </c>
      <c r="S390" s="316">
        <f t="shared" si="68"/>
        <v>0</v>
      </c>
    </row>
    <row r="391" spans="1:19">
      <c r="A391" s="150"/>
      <c r="B391" s="54"/>
      <c r="C391" s="21">
        <f t="shared" si="59"/>
        <v>1</v>
      </c>
      <c r="D391" s="667"/>
      <c r="E391" s="21">
        <f t="shared" si="60"/>
        <v>1</v>
      </c>
      <c r="F391" s="667"/>
      <c r="G391" s="21">
        <f t="shared" si="61"/>
        <v>1</v>
      </c>
      <c r="H391" s="667"/>
      <c r="I391" s="21">
        <f t="shared" si="62"/>
        <v>1</v>
      </c>
      <c r="J391" s="667"/>
      <c r="K391" s="21">
        <f t="shared" si="63"/>
        <v>1</v>
      </c>
      <c r="L391" s="667"/>
      <c r="M391" s="21">
        <f t="shared" si="64"/>
        <v>1</v>
      </c>
      <c r="N391" s="667"/>
      <c r="O391" s="21">
        <f t="shared" si="65"/>
        <v>1</v>
      </c>
      <c r="P391" s="667"/>
      <c r="Q391" s="21">
        <f t="shared" si="66"/>
        <v>1</v>
      </c>
      <c r="R391" s="663">
        <f t="shared" si="67"/>
        <v>0</v>
      </c>
      <c r="S391" s="316">
        <f t="shared" si="68"/>
        <v>0</v>
      </c>
    </row>
    <row r="392" spans="1:19">
      <c r="A392" s="150"/>
      <c r="B392" s="54"/>
      <c r="C392" s="21">
        <f t="shared" si="59"/>
        <v>1</v>
      </c>
      <c r="D392" s="667"/>
      <c r="E392" s="21">
        <f t="shared" si="60"/>
        <v>1</v>
      </c>
      <c r="F392" s="667"/>
      <c r="G392" s="21">
        <f t="shared" si="61"/>
        <v>1</v>
      </c>
      <c r="H392" s="667"/>
      <c r="I392" s="21">
        <f t="shared" si="62"/>
        <v>1</v>
      </c>
      <c r="J392" s="667"/>
      <c r="K392" s="21">
        <f t="shared" si="63"/>
        <v>1</v>
      </c>
      <c r="L392" s="667"/>
      <c r="M392" s="21">
        <f t="shared" si="64"/>
        <v>1</v>
      </c>
      <c r="N392" s="667"/>
      <c r="O392" s="21">
        <f t="shared" si="65"/>
        <v>1</v>
      </c>
      <c r="P392" s="667"/>
      <c r="Q392" s="21">
        <f t="shared" si="66"/>
        <v>1</v>
      </c>
      <c r="R392" s="663">
        <f t="shared" si="67"/>
        <v>0</v>
      </c>
      <c r="S392" s="316">
        <f t="shared" si="68"/>
        <v>0</v>
      </c>
    </row>
    <row r="393" spans="1:19">
      <c r="A393" s="150"/>
      <c r="B393" s="54"/>
      <c r="C393" s="21">
        <f t="shared" si="59"/>
        <v>1</v>
      </c>
      <c r="D393" s="667"/>
      <c r="E393" s="21">
        <f t="shared" si="60"/>
        <v>1</v>
      </c>
      <c r="F393" s="667"/>
      <c r="G393" s="21">
        <f t="shared" si="61"/>
        <v>1</v>
      </c>
      <c r="H393" s="667"/>
      <c r="I393" s="21">
        <f t="shared" si="62"/>
        <v>1</v>
      </c>
      <c r="J393" s="667"/>
      <c r="K393" s="21">
        <f t="shared" si="63"/>
        <v>1</v>
      </c>
      <c r="L393" s="667"/>
      <c r="M393" s="21">
        <f t="shared" si="64"/>
        <v>1</v>
      </c>
      <c r="N393" s="667"/>
      <c r="O393" s="21">
        <f t="shared" si="65"/>
        <v>1</v>
      </c>
      <c r="P393" s="667"/>
      <c r="Q393" s="21">
        <f t="shared" si="66"/>
        <v>1</v>
      </c>
      <c r="R393" s="663">
        <f t="shared" si="67"/>
        <v>0</v>
      </c>
      <c r="S393" s="316">
        <f t="shared" si="68"/>
        <v>0</v>
      </c>
    </row>
    <row r="394" spans="1:19">
      <c r="A394" s="150"/>
      <c r="B394" s="54"/>
      <c r="C394" s="21">
        <f t="shared" si="59"/>
        <v>1</v>
      </c>
      <c r="D394" s="667"/>
      <c r="E394" s="21">
        <f t="shared" si="60"/>
        <v>1</v>
      </c>
      <c r="F394" s="667"/>
      <c r="G394" s="21">
        <f t="shared" si="61"/>
        <v>1</v>
      </c>
      <c r="H394" s="667"/>
      <c r="I394" s="21">
        <f t="shared" si="62"/>
        <v>1</v>
      </c>
      <c r="J394" s="667"/>
      <c r="K394" s="21">
        <f t="shared" si="63"/>
        <v>1</v>
      </c>
      <c r="L394" s="667"/>
      <c r="M394" s="21">
        <f t="shared" si="64"/>
        <v>1</v>
      </c>
      <c r="N394" s="667"/>
      <c r="O394" s="21">
        <f t="shared" si="65"/>
        <v>1</v>
      </c>
      <c r="P394" s="667"/>
      <c r="Q394" s="21">
        <f t="shared" si="66"/>
        <v>1</v>
      </c>
      <c r="R394" s="663">
        <f t="shared" si="67"/>
        <v>0</v>
      </c>
      <c r="S394" s="316">
        <f t="shared" si="68"/>
        <v>0</v>
      </c>
    </row>
    <row r="395" spans="1:19">
      <c r="A395" s="150"/>
      <c r="B395" s="54"/>
      <c r="C395" s="21">
        <f t="shared" si="59"/>
        <v>1</v>
      </c>
      <c r="D395" s="667"/>
      <c r="E395" s="21">
        <f t="shared" si="60"/>
        <v>1</v>
      </c>
      <c r="F395" s="667"/>
      <c r="G395" s="21">
        <f t="shared" si="61"/>
        <v>1</v>
      </c>
      <c r="H395" s="667"/>
      <c r="I395" s="21">
        <f t="shared" si="62"/>
        <v>1</v>
      </c>
      <c r="J395" s="667"/>
      <c r="K395" s="21">
        <f t="shared" si="63"/>
        <v>1</v>
      </c>
      <c r="L395" s="667"/>
      <c r="M395" s="21">
        <f t="shared" si="64"/>
        <v>1</v>
      </c>
      <c r="N395" s="667"/>
      <c r="O395" s="21">
        <f t="shared" si="65"/>
        <v>1</v>
      </c>
      <c r="P395" s="667"/>
      <c r="Q395" s="21">
        <f t="shared" si="66"/>
        <v>1</v>
      </c>
      <c r="R395" s="663">
        <f t="shared" si="67"/>
        <v>0</v>
      </c>
      <c r="S395" s="316">
        <f t="shared" si="68"/>
        <v>0</v>
      </c>
    </row>
    <row r="396" spans="1:19">
      <c r="A396" s="150"/>
      <c r="B396" s="54"/>
      <c r="C396" s="21">
        <f t="shared" si="59"/>
        <v>1</v>
      </c>
      <c r="D396" s="667"/>
      <c r="E396" s="21">
        <f t="shared" si="60"/>
        <v>1</v>
      </c>
      <c r="F396" s="667"/>
      <c r="G396" s="21">
        <f t="shared" si="61"/>
        <v>1</v>
      </c>
      <c r="H396" s="667"/>
      <c r="I396" s="21">
        <f t="shared" si="62"/>
        <v>1</v>
      </c>
      <c r="J396" s="667"/>
      <c r="K396" s="21">
        <f t="shared" si="63"/>
        <v>1</v>
      </c>
      <c r="L396" s="667"/>
      <c r="M396" s="21">
        <f t="shared" si="64"/>
        <v>1</v>
      </c>
      <c r="N396" s="667"/>
      <c r="O396" s="21">
        <f t="shared" si="65"/>
        <v>1</v>
      </c>
      <c r="P396" s="667"/>
      <c r="Q396" s="21">
        <f t="shared" si="66"/>
        <v>1</v>
      </c>
      <c r="R396" s="663">
        <f t="shared" si="67"/>
        <v>0</v>
      </c>
      <c r="S396" s="316">
        <f t="shared" si="68"/>
        <v>0</v>
      </c>
    </row>
    <row r="397" spans="1:19">
      <c r="A397" s="150"/>
      <c r="B397" s="54"/>
      <c r="C397" s="21">
        <f t="shared" si="59"/>
        <v>1</v>
      </c>
      <c r="D397" s="667"/>
      <c r="E397" s="21">
        <f t="shared" si="60"/>
        <v>1</v>
      </c>
      <c r="F397" s="667"/>
      <c r="G397" s="21">
        <f t="shared" si="61"/>
        <v>1</v>
      </c>
      <c r="H397" s="667"/>
      <c r="I397" s="21">
        <f t="shared" si="62"/>
        <v>1</v>
      </c>
      <c r="J397" s="667"/>
      <c r="K397" s="21">
        <f t="shared" si="63"/>
        <v>1</v>
      </c>
      <c r="L397" s="667"/>
      <c r="M397" s="21">
        <f t="shared" si="64"/>
        <v>1</v>
      </c>
      <c r="N397" s="667"/>
      <c r="O397" s="21">
        <f t="shared" si="65"/>
        <v>1</v>
      </c>
      <c r="P397" s="667"/>
      <c r="Q397" s="21">
        <f t="shared" si="66"/>
        <v>1</v>
      </c>
      <c r="R397" s="663">
        <f t="shared" si="67"/>
        <v>0</v>
      </c>
      <c r="S397" s="316">
        <f t="shared" si="68"/>
        <v>0</v>
      </c>
    </row>
    <row r="398" spans="1:19">
      <c r="A398" s="150"/>
      <c r="B398" s="54"/>
      <c r="C398" s="21">
        <f t="shared" si="59"/>
        <v>1</v>
      </c>
      <c r="D398" s="667"/>
      <c r="E398" s="21">
        <f t="shared" si="60"/>
        <v>1</v>
      </c>
      <c r="F398" s="667"/>
      <c r="G398" s="21">
        <f t="shared" si="61"/>
        <v>1</v>
      </c>
      <c r="H398" s="667"/>
      <c r="I398" s="21">
        <f t="shared" si="62"/>
        <v>1</v>
      </c>
      <c r="J398" s="667"/>
      <c r="K398" s="21">
        <f t="shared" si="63"/>
        <v>1</v>
      </c>
      <c r="L398" s="667"/>
      <c r="M398" s="21">
        <f t="shared" si="64"/>
        <v>1</v>
      </c>
      <c r="N398" s="667"/>
      <c r="O398" s="21">
        <f t="shared" si="65"/>
        <v>1</v>
      </c>
      <c r="P398" s="667"/>
      <c r="Q398" s="21">
        <f t="shared" si="66"/>
        <v>1</v>
      </c>
      <c r="R398" s="663">
        <f t="shared" si="67"/>
        <v>0</v>
      </c>
      <c r="S398" s="316">
        <f t="shared" si="68"/>
        <v>0</v>
      </c>
    </row>
    <row r="399" spans="1:19">
      <c r="A399" s="150"/>
      <c r="B399" s="54"/>
      <c r="C399" s="21">
        <f t="shared" si="59"/>
        <v>1</v>
      </c>
      <c r="D399" s="667"/>
      <c r="E399" s="21">
        <f t="shared" si="60"/>
        <v>1</v>
      </c>
      <c r="F399" s="667"/>
      <c r="G399" s="21">
        <f t="shared" si="61"/>
        <v>1</v>
      </c>
      <c r="H399" s="667"/>
      <c r="I399" s="21">
        <f t="shared" si="62"/>
        <v>1</v>
      </c>
      <c r="J399" s="667"/>
      <c r="K399" s="21">
        <f t="shared" si="63"/>
        <v>1</v>
      </c>
      <c r="L399" s="667"/>
      <c r="M399" s="21">
        <f t="shared" si="64"/>
        <v>1</v>
      </c>
      <c r="N399" s="667"/>
      <c r="O399" s="21">
        <f t="shared" si="65"/>
        <v>1</v>
      </c>
      <c r="P399" s="667"/>
      <c r="Q399" s="21">
        <f t="shared" si="66"/>
        <v>1</v>
      </c>
      <c r="R399" s="663">
        <f t="shared" si="67"/>
        <v>0</v>
      </c>
      <c r="S399" s="316">
        <f t="shared" si="68"/>
        <v>0</v>
      </c>
    </row>
    <row r="400" spans="1:19">
      <c r="A400" s="150"/>
      <c r="B400" s="54"/>
      <c r="C400" s="21">
        <f t="shared" si="59"/>
        <v>1</v>
      </c>
      <c r="D400" s="667"/>
      <c r="E400" s="21">
        <f t="shared" si="60"/>
        <v>1</v>
      </c>
      <c r="F400" s="667"/>
      <c r="G400" s="21">
        <f t="shared" si="61"/>
        <v>1</v>
      </c>
      <c r="H400" s="667"/>
      <c r="I400" s="21">
        <f t="shared" si="62"/>
        <v>1</v>
      </c>
      <c r="J400" s="667"/>
      <c r="K400" s="21">
        <f t="shared" si="63"/>
        <v>1</v>
      </c>
      <c r="L400" s="667"/>
      <c r="M400" s="21">
        <f t="shared" si="64"/>
        <v>1</v>
      </c>
      <c r="N400" s="667"/>
      <c r="O400" s="21">
        <f t="shared" si="65"/>
        <v>1</v>
      </c>
      <c r="P400" s="667"/>
      <c r="Q400" s="21">
        <f t="shared" si="66"/>
        <v>1</v>
      </c>
      <c r="R400" s="663">
        <f t="shared" si="67"/>
        <v>0</v>
      </c>
      <c r="S400" s="316">
        <f t="shared" si="68"/>
        <v>0</v>
      </c>
    </row>
    <row r="401" spans="1:19">
      <c r="A401" s="150"/>
      <c r="B401" s="54"/>
      <c r="C401" s="21">
        <f t="shared" si="59"/>
        <v>1</v>
      </c>
      <c r="D401" s="667"/>
      <c r="E401" s="21">
        <f t="shared" si="60"/>
        <v>1</v>
      </c>
      <c r="F401" s="667"/>
      <c r="G401" s="21">
        <f t="shared" si="61"/>
        <v>1</v>
      </c>
      <c r="H401" s="667"/>
      <c r="I401" s="21">
        <f t="shared" si="62"/>
        <v>1</v>
      </c>
      <c r="J401" s="667"/>
      <c r="K401" s="21">
        <f t="shared" si="63"/>
        <v>1</v>
      </c>
      <c r="L401" s="667"/>
      <c r="M401" s="21">
        <f t="shared" si="64"/>
        <v>1</v>
      </c>
      <c r="N401" s="667"/>
      <c r="O401" s="21">
        <f t="shared" si="65"/>
        <v>1</v>
      </c>
      <c r="P401" s="667"/>
      <c r="Q401" s="21">
        <f t="shared" si="66"/>
        <v>1</v>
      </c>
      <c r="R401" s="663">
        <f t="shared" si="67"/>
        <v>0</v>
      </c>
      <c r="S401" s="316">
        <f t="shared" si="68"/>
        <v>0</v>
      </c>
    </row>
    <row r="402" spans="1:19">
      <c r="A402" s="150"/>
      <c r="B402" s="54"/>
      <c r="C402" s="21">
        <f t="shared" si="59"/>
        <v>1</v>
      </c>
      <c r="D402" s="667"/>
      <c r="E402" s="21">
        <f t="shared" si="60"/>
        <v>1</v>
      </c>
      <c r="F402" s="667"/>
      <c r="G402" s="21">
        <f t="shared" si="61"/>
        <v>1</v>
      </c>
      <c r="H402" s="667"/>
      <c r="I402" s="21">
        <f t="shared" si="62"/>
        <v>1</v>
      </c>
      <c r="J402" s="667"/>
      <c r="K402" s="21">
        <f t="shared" si="63"/>
        <v>1</v>
      </c>
      <c r="L402" s="667"/>
      <c r="M402" s="21">
        <f t="shared" si="64"/>
        <v>1</v>
      </c>
      <c r="N402" s="667"/>
      <c r="O402" s="21">
        <f t="shared" si="65"/>
        <v>1</v>
      </c>
      <c r="P402" s="667"/>
      <c r="Q402" s="21">
        <f t="shared" si="66"/>
        <v>1</v>
      </c>
      <c r="R402" s="663">
        <f t="shared" si="67"/>
        <v>0</v>
      </c>
      <c r="S402" s="316">
        <f t="shared" si="68"/>
        <v>0</v>
      </c>
    </row>
    <row r="403" spans="1:19">
      <c r="A403" s="150"/>
      <c r="B403" s="54"/>
      <c r="C403" s="21">
        <f t="shared" si="59"/>
        <v>1</v>
      </c>
      <c r="D403" s="667"/>
      <c r="E403" s="21">
        <f t="shared" si="60"/>
        <v>1</v>
      </c>
      <c r="F403" s="667"/>
      <c r="G403" s="21">
        <f t="shared" si="61"/>
        <v>1</v>
      </c>
      <c r="H403" s="667"/>
      <c r="I403" s="21">
        <f t="shared" si="62"/>
        <v>1</v>
      </c>
      <c r="J403" s="667"/>
      <c r="K403" s="21">
        <f t="shared" si="63"/>
        <v>1</v>
      </c>
      <c r="L403" s="667"/>
      <c r="M403" s="21">
        <f t="shared" si="64"/>
        <v>1</v>
      </c>
      <c r="N403" s="667"/>
      <c r="O403" s="21">
        <f t="shared" si="65"/>
        <v>1</v>
      </c>
      <c r="P403" s="667"/>
      <c r="Q403" s="21">
        <f t="shared" si="66"/>
        <v>1</v>
      </c>
      <c r="R403" s="663">
        <f t="shared" si="67"/>
        <v>0</v>
      </c>
      <c r="S403" s="316">
        <f t="shared" si="68"/>
        <v>0</v>
      </c>
    </row>
    <row r="404" spans="1:19">
      <c r="A404" s="150"/>
      <c r="B404" s="54"/>
      <c r="C404" s="21">
        <f t="shared" si="59"/>
        <v>1</v>
      </c>
      <c r="D404" s="667"/>
      <c r="E404" s="21">
        <f t="shared" si="60"/>
        <v>1</v>
      </c>
      <c r="F404" s="667"/>
      <c r="G404" s="21">
        <f t="shared" si="61"/>
        <v>1</v>
      </c>
      <c r="H404" s="667"/>
      <c r="I404" s="21">
        <f t="shared" si="62"/>
        <v>1</v>
      </c>
      <c r="J404" s="667"/>
      <c r="K404" s="21">
        <f t="shared" si="63"/>
        <v>1</v>
      </c>
      <c r="L404" s="667"/>
      <c r="M404" s="21">
        <f t="shared" si="64"/>
        <v>1</v>
      </c>
      <c r="N404" s="667"/>
      <c r="O404" s="21">
        <f t="shared" si="65"/>
        <v>1</v>
      </c>
      <c r="P404" s="667"/>
      <c r="Q404" s="21">
        <f t="shared" si="66"/>
        <v>1</v>
      </c>
      <c r="R404" s="663">
        <f t="shared" si="67"/>
        <v>0</v>
      </c>
      <c r="S404" s="316">
        <f t="shared" si="68"/>
        <v>0</v>
      </c>
    </row>
    <row r="405" spans="1:19">
      <c r="A405" s="150"/>
      <c r="B405" s="54"/>
      <c r="C405" s="21">
        <f t="shared" si="59"/>
        <v>1</v>
      </c>
      <c r="D405" s="667"/>
      <c r="E405" s="21">
        <f t="shared" si="60"/>
        <v>1</v>
      </c>
      <c r="F405" s="667"/>
      <c r="G405" s="21">
        <f t="shared" si="61"/>
        <v>1</v>
      </c>
      <c r="H405" s="667"/>
      <c r="I405" s="21">
        <f t="shared" si="62"/>
        <v>1</v>
      </c>
      <c r="J405" s="667"/>
      <c r="K405" s="21">
        <f t="shared" si="63"/>
        <v>1</v>
      </c>
      <c r="L405" s="667"/>
      <c r="M405" s="21">
        <f t="shared" si="64"/>
        <v>1</v>
      </c>
      <c r="N405" s="667"/>
      <c r="O405" s="21">
        <f t="shared" si="65"/>
        <v>1</v>
      </c>
      <c r="P405" s="667"/>
      <c r="Q405" s="21">
        <f t="shared" si="66"/>
        <v>1</v>
      </c>
      <c r="R405" s="663">
        <f t="shared" si="67"/>
        <v>0</v>
      </c>
      <c r="S405" s="316">
        <f t="shared" si="68"/>
        <v>0</v>
      </c>
    </row>
    <row r="406" spans="1:19">
      <c r="A406" s="150"/>
      <c r="B406" s="54"/>
      <c r="C406" s="21">
        <f t="shared" si="59"/>
        <v>1</v>
      </c>
      <c r="D406" s="667"/>
      <c r="E406" s="21">
        <f t="shared" si="60"/>
        <v>1</v>
      </c>
      <c r="F406" s="667"/>
      <c r="G406" s="21">
        <f t="shared" si="61"/>
        <v>1</v>
      </c>
      <c r="H406" s="667"/>
      <c r="I406" s="21">
        <f t="shared" si="62"/>
        <v>1</v>
      </c>
      <c r="J406" s="667"/>
      <c r="K406" s="21">
        <f t="shared" si="63"/>
        <v>1</v>
      </c>
      <c r="L406" s="667"/>
      <c r="M406" s="21">
        <f t="shared" si="64"/>
        <v>1</v>
      </c>
      <c r="N406" s="667"/>
      <c r="O406" s="21">
        <f t="shared" si="65"/>
        <v>1</v>
      </c>
      <c r="P406" s="667"/>
      <c r="Q406" s="21">
        <f t="shared" si="66"/>
        <v>1</v>
      </c>
      <c r="R406" s="663">
        <f t="shared" si="67"/>
        <v>0</v>
      </c>
      <c r="S406" s="316">
        <f t="shared" si="68"/>
        <v>0</v>
      </c>
    </row>
    <row r="407" spans="1:19">
      <c r="A407" s="150"/>
      <c r="B407" s="54"/>
      <c r="C407" s="21">
        <f t="shared" si="59"/>
        <v>1</v>
      </c>
      <c r="D407" s="667"/>
      <c r="E407" s="21">
        <f t="shared" si="60"/>
        <v>1</v>
      </c>
      <c r="F407" s="667"/>
      <c r="G407" s="21">
        <f t="shared" si="61"/>
        <v>1</v>
      </c>
      <c r="H407" s="667"/>
      <c r="I407" s="21">
        <f t="shared" si="62"/>
        <v>1</v>
      </c>
      <c r="J407" s="667"/>
      <c r="K407" s="21">
        <f t="shared" si="63"/>
        <v>1</v>
      </c>
      <c r="L407" s="667"/>
      <c r="M407" s="21">
        <f t="shared" si="64"/>
        <v>1</v>
      </c>
      <c r="N407" s="667"/>
      <c r="O407" s="21">
        <f t="shared" si="65"/>
        <v>1</v>
      </c>
      <c r="P407" s="667"/>
      <c r="Q407" s="21">
        <f t="shared" si="66"/>
        <v>1</v>
      </c>
      <c r="R407" s="663">
        <f t="shared" si="67"/>
        <v>0</v>
      </c>
      <c r="S407" s="316">
        <f t="shared" si="68"/>
        <v>0</v>
      </c>
    </row>
    <row r="408" spans="1:19">
      <c r="A408" s="150"/>
      <c r="B408" s="54"/>
      <c r="C408" s="21">
        <f t="shared" si="59"/>
        <v>1</v>
      </c>
      <c r="D408" s="667"/>
      <c r="E408" s="21">
        <f t="shared" si="60"/>
        <v>1</v>
      </c>
      <c r="F408" s="667"/>
      <c r="G408" s="21">
        <f t="shared" si="61"/>
        <v>1</v>
      </c>
      <c r="H408" s="667"/>
      <c r="I408" s="21">
        <f t="shared" si="62"/>
        <v>1</v>
      </c>
      <c r="J408" s="667"/>
      <c r="K408" s="21">
        <f t="shared" si="63"/>
        <v>1</v>
      </c>
      <c r="L408" s="667"/>
      <c r="M408" s="21">
        <f t="shared" si="64"/>
        <v>1</v>
      </c>
      <c r="N408" s="667"/>
      <c r="O408" s="21">
        <f t="shared" si="65"/>
        <v>1</v>
      </c>
      <c r="P408" s="667"/>
      <c r="Q408" s="21">
        <f t="shared" si="66"/>
        <v>1</v>
      </c>
      <c r="R408" s="663">
        <f t="shared" si="67"/>
        <v>0</v>
      </c>
      <c r="S408" s="316">
        <f t="shared" si="68"/>
        <v>0</v>
      </c>
    </row>
    <row r="409" spans="1:19">
      <c r="A409" s="150"/>
      <c r="B409" s="54"/>
      <c r="C409" s="21">
        <f t="shared" si="59"/>
        <v>1</v>
      </c>
      <c r="D409" s="667"/>
      <c r="E409" s="21">
        <f t="shared" si="60"/>
        <v>1</v>
      </c>
      <c r="F409" s="667"/>
      <c r="G409" s="21">
        <f t="shared" si="61"/>
        <v>1</v>
      </c>
      <c r="H409" s="667"/>
      <c r="I409" s="21">
        <f t="shared" si="62"/>
        <v>1</v>
      </c>
      <c r="J409" s="667"/>
      <c r="K409" s="21">
        <f t="shared" si="63"/>
        <v>1</v>
      </c>
      <c r="L409" s="667"/>
      <c r="M409" s="21">
        <f t="shared" si="64"/>
        <v>1</v>
      </c>
      <c r="N409" s="667"/>
      <c r="O409" s="21">
        <f t="shared" si="65"/>
        <v>1</v>
      </c>
      <c r="P409" s="667"/>
      <c r="Q409" s="21">
        <f t="shared" si="66"/>
        <v>1</v>
      </c>
      <c r="R409" s="663">
        <f t="shared" si="67"/>
        <v>0</v>
      </c>
      <c r="S409" s="316">
        <f t="shared" si="68"/>
        <v>0</v>
      </c>
    </row>
    <row r="410" spans="1:19">
      <c r="A410" s="150"/>
      <c r="B410" s="54"/>
      <c r="C410" s="21">
        <f t="shared" ref="C410:C473" si="69">IF(B410="",1,(LOOKUP(B410,$3:$3,$4:$4)-LOOKUP($B$24,$3:$3,$4:$4)+100)/100)</f>
        <v>1</v>
      </c>
      <c r="D410" s="667"/>
      <c r="E410" s="21">
        <f t="shared" ref="E410:E473" si="70">(SUMIF($5:$5,D410,$6:$6)-SUMIF($5:$5,$D$24,$6:$6)+100)/100</f>
        <v>1</v>
      </c>
      <c r="F410" s="667"/>
      <c r="G410" s="21">
        <f t="shared" ref="G410:G473" si="71">(SUMIF($7:$7,F410,$8:$8)-SUMIF($7:$7,$F$24,$8:$8)+100)/100</f>
        <v>1</v>
      </c>
      <c r="H410" s="667"/>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c r="Q410" s="21">
        <f t="shared" ref="Q410:Q473" si="76">(SUMIF($17:$17,P410,$18:$18)-SUMIF($17:$17,$P$24,$18:$18)+100)/100</f>
        <v>1</v>
      </c>
      <c r="R410" s="663">
        <f t="shared" ref="R410:R473" si="77">IF(B410="",0,ROUND($R$24*C410*E410*G410*I410*K410*M410*O410*Q410,0))</f>
        <v>0</v>
      </c>
      <c r="S410" s="316">
        <f t="shared" si="68"/>
        <v>0</v>
      </c>
    </row>
    <row r="411" spans="1:19">
      <c r="A411" s="150"/>
      <c r="B411" s="54"/>
      <c r="C411" s="21">
        <f t="shared" si="69"/>
        <v>1</v>
      </c>
      <c r="D411" s="667"/>
      <c r="E411" s="21">
        <f t="shared" si="70"/>
        <v>1</v>
      </c>
      <c r="F411" s="667"/>
      <c r="G411" s="21">
        <f t="shared" si="71"/>
        <v>1</v>
      </c>
      <c r="H411" s="667"/>
      <c r="I411" s="21">
        <f t="shared" si="72"/>
        <v>1</v>
      </c>
      <c r="J411" s="667"/>
      <c r="K411" s="21">
        <f t="shared" si="73"/>
        <v>1</v>
      </c>
      <c r="L411" s="667"/>
      <c r="M411" s="21">
        <f t="shared" si="74"/>
        <v>1</v>
      </c>
      <c r="N411" s="667"/>
      <c r="O411" s="21">
        <f t="shared" si="75"/>
        <v>1</v>
      </c>
      <c r="P411" s="667"/>
      <c r="Q411" s="21">
        <f t="shared" si="76"/>
        <v>1</v>
      </c>
      <c r="R411" s="663">
        <f t="shared" si="77"/>
        <v>0</v>
      </c>
      <c r="S411" s="316">
        <f t="shared" si="68"/>
        <v>0</v>
      </c>
    </row>
    <row r="412" spans="1:19">
      <c r="A412" s="150"/>
      <c r="B412" s="54"/>
      <c r="C412" s="21">
        <f t="shared" si="69"/>
        <v>1</v>
      </c>
      <c r="D412" s="667"/>
      <c r="E412" s="21">
        <f t="shared" si="70"/>
        <v>1</v>
      </c>
      <c r="F412" s="667"/>
      <c r="G412" s="21">
        <f t="shared" si="71"/>
        <v>1</v>
      </c>
      <c r="H412" s="667"/>
      <c r="I412" s="21">
        <f t="shared" si="72"/>
        <v>1</v>
      </c>
      <c r="J412" s="667"/>
      <c r="K412" s="21">
        <f t="shared" si="73"/>
        <v>1</v>
      </c>
      <c r="L412" s="667"/>
      <c r="M412" s="21">
        <f t="shared" si="74"/>
        <v>1</v>
      </c>
      <c r="N412" s="667"/>
      <c r="O412" s="21">
        <f t="shared" si="75"/>
        <v>1</v>
      </c>
      <c r="P412" s="667"/>
      <c r="Q412" s="21">
        <f t="shared" si="76"/>
        <v>1</v>
      </c>
      <c r="R412" s="663">
        <f t="shared" si="77"/>
        <v>0</v>
      </c>
      <c r="S412" s="316">
        <f t="shared" si="68"/>
        <v>0</v>
      </c>
    </row>
    <row r="413" spans="1:19">
      <c r="A413" s="150"/>
      <c r="B413" s="54"/>
      <c r="C413" s="21">
        <f t="shared" si="69"/>
        <v>1</v>
      </c>
      <c r="D413" s="667"/>
      <c r="E413" s="21">
        <f t="shared" si="70"/>
        <v>1</v>
      </c>
      <c r="F413" s="667"/>
      <c r="G413" s="21">
        <f t="shared" si="71"/>
        <v>1</v>
      </c>
      <c r="H413" s="667"/>
      <c r="I413" s="21">
        <f t="shared" si="72"/>
        <v>1</v>
      </c>
      <c r="J413" s="667"/>
      <c r="K413" s="21">
        <f t="shared" si="73"/>
        <v>1</v>
      </c>
      <c r="L413" s="667"/>
      <c r="M413" s="21">
        <f t="shared" si="74"/>
        <v>1</v>
      </c>
      <c r="N413" s="667"/>
      <c r="O413" s="21">
        <f t="shared" si="75"/>
        <v>1</v>
      </c>
      <c r="P413" s="667"/>
      <c r="Q413" s="21">
        <f t="shared" si="76"/>
        <v>1</v>
      </c>
      <c r="R413" s="663">
        <f t="shared" si="77"/>
        <v>0</v>
      </c>
      <c r="S413" s="316">
        <f t="shared" si="68"/>
        <v>0</v>
      </c>
    </row>
    <row r="414" spans="1:19">
      <c r="A414" s="150"/>
      <c r="B414" s="54"/>
      <c r="C414" s="21">
        <f t="shared" si="69"/>
        <v>1</v>
      </c>
      <c r="D414" s="667"/>
      <c r="E414" s="21">
        <f t="shared" si="70"/>
        <v>1</v>
      </c>
      <c r="F414" s="667"/>
      <c r="G414" s="21">
        <f t="shared" si="71"/>
        <v>1</v>
      </c>
      <c r="H414" s="667"/>
      <c r="I414" s="21">
        <f t="shared" si="72"/>
        <v>1</v>
      </c>
      <c r="J414" s="667"/>
      <c r="K414" s="21">
        <f t="shared" si="73"/>
        <v>1</v>
      </c>
      <c r="L414" s="667"/>
      <c r="M414" s="21">
        <f t="shared" si="74"/>
        <v>1</v>
      </c>
      <c r="N414" s="667"/>
      <c r="O414" s="21">
        <f t="shared" si="75"/>
        <v>1</v>
      </c>
      <c r="P414" s="667"/>
      <c r="Q414" s="21">
        <f t="shared" si="76"/>
        <v>1</v>
      </c>
      <c r="R414" s="663">
        <f t="shared" si="77"/>
        <v>0</v>
      </c>
      <c r="S414" s="316">
        <f t="shared" si="68"/>
        <v>0</v>
      </c>
    </row>
    <row r="415" spans="1:19">
      <c r="A415" s="150"/>
      <c r="B415" s="54"/>
      <c r="C415" s="21">
        <f t="shared" si="69"/>
        <v>1</v>
      </c>
      <c r="D415" s="667"/>
      <c r="E415" s="21">
        <f t="shared" si="70"/>
        <v>1</v>
      </c>
      <c r="F415" s="667"/>
      <c r="G415" s="21">
        <f t="shared" si="71"/>
        <v>1</v>
      </c>
      <c r="H415" s="667"/>
      <c r="I415" s="21">
        <f t="shared" si="72"/>
        <v>1</v>
      </c>
      <c r="J415" s="667"/>
      <c r="K415" s="21">
        <f t="shared" si="73"/>
        <v>1</v>
      </c>
      <c r="L415" s="667"/>
      <c r="M415" s="21">
        <f t="shared" si="74"/>
        <v>1</v>
      </c>
      <c r="N415" s="667"/>
      <c r="O415" s="21">
        <f t="shared" si="75"/>
        <v>1</v>
      </c>
      <c r="P415" s="667"/>
      <c r="Q415" s="21">
        <f t="shared" si="76"/>
        <v>1</v>
      </c>
      <c r="R415" s="663">
        <f t="shared" si="77"/>
        <v>0</v>
      </c>
      <c r="S415" s="316">
        <f t="shared" si="68"/>
        <v>0</v>
      </c>
    </row>
    <row r="416" spans="1:19">
      <c r="A416" s="150"/>
      <c r="B416" s="54"/>
      <c r="C416" s="21">
        <f t="shared" si="69"/>
        <v>1</v>
      </c>
      <c r="D416" s="667"/>
      <c r="E416" s="21">
        <f t="shared" si="70"/>
        <v>1</v>
      </c>
      <c r="F416" s="667"/>
      <c r="G416" s="21">
        <f t="shared" si="71"/>
        <v>1</v>
      </c>
      <c r="H416" s="667"/>
      <c r="I416" s="21">
        <f t="shared" si="72"/>
        <v>1</v>
      </c>
      <c r="J416" s="667"/>
      <c r="K416" s="21">
        <f t="shared" si="73"/>
        <v>1</v>
      </c>
      <c r="L416" s="667"/>
      <c r="M416" s="21">
        <f t="shared" si="74"/>
        <v>1</v>
      </c>
      <c r="N416" s="667"/>
      <c r="O416" s="21">
        <f t="shared" si="75"/>
        <v>1</v>
      </c>
      <c r="P416" s="667"/>
      <c r="Q416" s="21">
        <f t="shared" si="76"/>
        <v>1</v>
      </c>
      <c r="R416" s="663">
        <f t="shared" si="77"/>
        <v>0</v>
      </c>
      <c r="S416" s="316">
        <f t="shared" si="68"/>
        <v>0</v>
      </c>
    </row>
    <row r="417" spans="1:19">
      <c r="A417" s="150"/>
      <c r="B417" s="54"/>
      <c r="C417" s="21">
        <f t="shared" si="69"/>
        <v>1</v>
      </c>
      <c r="D417" s="667"/>
      <c r="E417" s="21">
        <f t="shared" si="70"/>
        <v>1</v>
      </c>
      <c r="F417" s="667"/>
      <c r="G417" s="21">
        <f t="shared" si="71"/>
        <v>1</v>
      </c>
      <c r="H417" s="667"/>
      <c r="I417" s="21">
        <f t="shared" si="72"/>
        <v>1</v>
      </c>
      <c r="J417" s="667"/>
      <c r="K417" s="21">
        <f t="shared" si="73"/>
        <v>1</v>
      </c>
      <c r="L417" s="667"/>
      <c r="M417" s="21">
        <f t="shared" si="74"/>
        <v>1</v>
      </c>
      <c r="N417" s="667"/>
      <c r="O417" s="21">
        <f t="shared" si="75"/>
        <v>1</v>
      </c>
      <c r="P417" s="667"/>
      <c r="Q417" s="21">
        <f t="shared" si="76"/>
        <v>1</v>
      </c>
      <c r="R417" s="663">
        <f t="shared" si="77"/>
        <v>0</v>
      </c>
      <c r="S417" s="316">
        <f t="shared" si="68"/>
        <v>0</v>
      </c>
    </row>
    <row r="418" spans="1:19">
      <c r="A418" s="150"/>
      <c r="B418" s="54"/>
      <c r="C418" s="21">
        <f t="shared" si="69"/>
        <v>1</v>
      </c>
      <c r="D418" s="667"/>
      <c r="E418" s="21">
        <f t="shared" si="70"/>
        <v>1</v>
      </c>
      <c r="F418" s="667"/>
      <c r="G418" s="21">
        <f t="shared" si="71"/>
        <v>1</v>
      </c>
      <c r="H418" s="667"/>
      <c r="I418" s="21">
        <f t="shared" si="72"/>
        <v>1</v>
      </c>
      <c r="J418" s="667"/>
      <c r="K418" s="21">
        <f t="shared" si="73"/>
        <v>1</v>
      </c>
      <c r="L418" s="667"/>
      <c r="M418" s="21">
        <f t="shared" si="74"/>
        <v>1</v>
      </c>
      <c r="N418" s="667"/>
      <c r="O418" s="21">
        <f t="shared" si="75"/>
        <v>1</v>
      </c>
      <c r="P418" s="667"/>
      <c r="Q418" s="21">
        <f t="shared" si="76"/>
        <v>1</v>
      </c>
      <c r="R418" s="663">
        <f t="shared" si="77"/>
        <v>0</v>
      </c>
      <c r="S418" s="316">
        <f t="shared" si="68"/>
        <v>0</v>
      </c>
    </row>
    <row r="419" spans="1:19">
      <c r="A419" s="150"/>
      <c r="B419" s="54"/>
      <c r="C419" s="21">
        <f t="shared" si="69"/>
        <v>1</v>
      </c>
      <c r="D419" s="667"/>
      <c r="E419" s="21">
        <f t="shared" si="70"/>
        <v>1</v>
      </c>
      <c r="F419" s="667"/>
      <c r="G419" s="21">
        <f t="shared" si="71"/>
        <v>1</v>
      </c>
      <c r="H419" s="667"/>
      <c r="I419" s="21">
        <f t="shared" si="72"/>
        <v>1</v>
      </c>
      <c r="J419" s="667"/>
      <c r="K419" s="21">
        <f t="shared" si="73"/>
        <v>1</v>
      </c>
      <c r="L419" s="667"/>
      <c r="M419" s="21">
        <f t="shared" si="74"/>
        <v>1</v>
      </c>
      <c r="N419" s="667"/>
      <c r="O419" s="21">
        <f t="shared" si="75"/>
        <v>1</v>
      </c>
      <c r="P419" s="667"/>
      <c r="Q419" s="21">
        <f t="shared" si="76"/>
        <v>1</v>
      </c>
      <c r="R419" s="663">
        <f t="shared" si="77"/>
        <v>0</v>
      </c>
      <c r="S419" s="316">
        <f t="shared" si="68"/>
        <v>0</v>
      </c>
    </row>
    <row r="420" spans="1:19">
      <c r="A420" s="150"/>
      <c r="B420" s="54"/>
      <c r="C420" s="21">
        <f t="shared" si="69"/>
        <v>1</v>
      </c>
      <c r="D420" s="667"/>
      <c r="E420" s="21">
        <f t="shared" si="70"/>
        <v>1</v>
      </c>
      <c r="F420" s="667"/>
      <c r="G420" s="21">
        <f t="shared" si="71"/>
        <v>1</v>
      </c>
      <c r="H420" s="667"/>
      <c r="I420" s="21">
        <f t="shared" si="72"/>
        <v>1</v>
      </c>
      <c r="J420" s="667"/>
      <c r="K420" s="21">
        <f t="shared" si="73"/>
        <v>1</v>
      </c>
      <c r="L420" s="667"/>
      <c r="M420" s="21">
        <f t="shared" si="74"/>
        <v>1</v>
      </c>
      <c r="N420" s="667"/>
      <c r="O420" s="21">
        <f t="shared" si="75"/>
        <v>1</v>
      </c>
      <c r="P420" s="667"/>
      <c r="Q420" s="21">
        <f t="shared" si="76"/>
        <v>1</v>
      </c>
      <c r="R420" s="663">
        <f t="shared" si="77"/>
        <v>0</v>
      </c>
      <c r="S420" s="316">
        <f t="shared" si="68"/>
        <v>0</v>
      </c>
    </row>
    <row r="421" spans="1:19">
      <c r="A421" s="150"/>
      <c r="B421" s="54"/>
      <c r="C421" s="21">
        <f t="shared" si="69"/>
        <v>1</v>
      </c>
      <c r="D421" s="667"/>
      <c r="E421" s="21">
        <f t="shared" si="70"/>
        <v>1</v>
      </c>
      <c r="F421" s="667"/>
      <c r="G421" s="21">
        <f t="shared" si="71"/>
        <v>1</v>
      </c>
      <c r="H421" s="667"/>
      <c r="I421" s="21">
        <f t="shared" si="72"/>
        <v>1</v>
      </c>
      <c r="J421" s="667"/>
      <c r="K421" s="21">
        <f t="shared" si="73"/>
        <v>1</v>
      </c>
      <c r="L421" s="667"/>
      <c r="M421" s="21">
        <f t="shared" si="74"/>
        <v>1</v>
      </c>
      <c r="N421" s="667"/>
      <c r="O421" s="21">
        <f t="shared" si="75"/>
        <v>1</v>
      </c>
      <c r="P421" s="667"/>
      <c r="Q421" s="21">
        <f t="shared" si="76"/>
        <v>1</v>
      </c>
      <c r="R421" s="663">
        <f t="shared" si="77"/>
        <v>0</v>
      </c>
      <c r="S421" s="316">
        <f t="shared" si="68"/>
        <v>0</v>
      </c>
    </row>
    <row r="422" spans="1:19">
      <c r="A422" s="150"/>
      <c r="B422" s="54"/>
      <c r="C422" s="21">
        <f t="shared" si="69"/>
        <v>1</v>
      </c>
      <c r="D422" s="667"/>
      <c r="E422" s="21">
        <f t="shared" si="70"/>
        <v>1</v>
      </c>
      <c r="F422" s="667"/>
      <c r="G422" s="21">
        <f t="shared" si="71"/>
        <v>1</v>
      </c>
      <c r="H422" s="667"/>
      <c r="I422" s="21">
        <f t="shared" si="72"/>
        <v>1</v>
      </c>
      <c r="J422" s="667"/>
      <c r="K422" s="21">
        <f t="shared" si="73"/>
        <v>1</v>
      </c>
      <c r="L422" s="667"/>
      <c r="M422" s="21">
        <f t="shared" si="74"/>
        <v>1</v>
      </c>
      <c r="N422" s="667"/>
      <c r="O422" s="21">
        <f t="shared" si="75"/>
        <v>1</v>
      </c>
      <c r="P422" s="667"/>
      <c r="Q422" s="21">
        <f t="shared" si="76"/>
        <v>1</v>
      </c>
      <c r="R422" s="663">
        <f t="shared" si="77"/>
        <v>0</v>
      </c>
      <c r="S422" s="316">
        <f t="shared" si="68"/>
        <v>0</v>
      </c>
    </row>
    <row r="423" spans="1:19">
      <c r="A423" s="150"/>
      <c r="B423" s="54"/>
      <c r="C423" s="21">
        <f t="shared" si="69"/>
        <v>1</v>
      </c>
      <c r="D423" s="667"/>
      <c r="E423" s="21">
        <f t="shared" si="70"/>
        <v>1</v>
      </c>
      <c r="F423" s="667"/>
      <c r="G423" s="21">
        <f t="shared" si="71"/>
        <v>1</v>
      </c>
      <c r="H423" s="667"/>
      <c r="I423" s="21">
        <f t="shared" si="72"/>
        <v>1</v>
      </c>
      <c r="J423" s="667"/>
      <c r="K423" s="21">
        <f t="shared" si="73"/>
        <v>1</v>
      </c>
      <c r="L423" s="667"/>
      <c r="M423" s="21">
        <f t="shared" si="74"/>
        <v>1</v>
      </c>
      <c r="N423" s="667"/>
      <c r="O423" s="21">
        <f t="shared" si="75"/>
        <v>1</v>
      </c>
      <c r="P423" s="667"/>
      <c r="Q423" s="21">
        <f t="shared" si="76"/>
        <v>1</v>
      </c>
      <c r="R423" s="663">
        <f t="shared" si="77"/>
        <v>0</v>
      </c>
      <c r="S423" s="316">
        <f t="shared" ref="S423:S467" si="78">ROUND(R423*B423/10000,0)</f>
        <v>0</v>
      </c>
    </row>
    <row r="424" spans="1:19">
      <c r="A424" s="150"/>
      <c r="B424" s="54"/>
      <c r="C424" s="21">
        <f t="shared" si="69"/>
        <v>1</v>
      </c>
      <c r="D424" s="667"/>
      <c r="E424" s="21">
        <f t="shared" si="70"/>
        <v>1</v>
      </c>
      <c r="F424" s="667"/>
      <c r="G424" s="21">
        <f t="shared" si="71"/>
        <v>1</v>
      </c>
      <c r="H424" s="667"/>
      <c r="I424" s="21">
        <f t="shared" si="72"/>
        <v>1</v>
      </c>
      <c r="J424" s="667"/>
      <c r="K424" s="21">
        <f t="shared" si="73"/>
        <v>1</v>
      </c>
      <c r="L424" s="667"/>
      <c r="M424" s="21">
        <f t="shared" si="74"/>
        <v>1</v>
      </c>
      <c r="N424" s="667"/>
      <c r="O424" s="21">
        <f t="shared" si="75"/>
        <v>1</v>
      </c>
      <c r="P424" s="667"/>
      <c r="Q424" s="21">
        <f t="shared" si="76"/>
        <v>1</v>
      </c>
      <c r="R424" s="663">
        <f t="shared" si="77"/>
        <v>0</v>
      </c>
      <c r="S424" s="316">
        <f t="shared" si="78"/>
        <v>0</v>
      </c>
    </row>
    <row r="425" spans="1:19">
      <c r="A425" s="150"/>
      <c r="B425" s="54"/>
      <c r="C425" s="21">
        <f t="shared" si="69"/>
        <v>1</v>
      </c>
      <c r="D425" s="667"/>
      <c r="E425" s="21">
        <f t="shared" si="70"/>
        <v>1</v>
      </c>
      <c r="F425" s="667"/>
      <c r="G425" s="21">
        <f t="shared" si="71"/>
        <v>1</v>
      </c>
      <c r="H425" s="667"/>
      <c r="I425" s="21">
        <f t="shared" si="72"/>
        <v>1</v>
      </c>
      <c r="J425" s="667"/>
      <c r="K425" s="21">
        <f t="shared" si="73"/>
        <v>1</v>
      </c>
      <c r="L425" s="667"/>
      <c r="M425" s="21">
        <f t="shared" si="74"/>
        <v>1</v>
      </c>
      <c r="N425" s="667"/>
      <c r="O425" s="21">
        <f t="shared" si="75"/>
        <v>1</v>
      </c>
      <c r="P425" s="667"/>
      <c r="Q425" s="21">
        <f t="shared" si="76"/>
        <v>1</v>
      </c>
      <c r="R425" s="663">
        <f t="shared" si="77"/>
        <v>0</v>
      </c>
      <c r="S425" s="316">
        <f t="shared" si="78"/>
        <v>0</v>
      </c>
    </row>
    <row r="426" spans="1:19">
      <c r="A426" s="150"/>
      <c r="B426" s="54"/>
      <c r="C426" s="21">
        <f t="shared" si="69"/>
        <v>1</v>
      </c>
      <c r="D426" s="667"/>
      <c r="E426" s="21">
        <f t="shared" si="70"/>
        <v>1</v>
      </c>
      <c r="F426" s="667"/>
      <c r="G426" s="21">
        <f t="shared" si="71"/>
        <v>1</v>
      </c>
      <c r="H426" s="667"/>
      <c r="I426" s="21">
        <f t="shared" si="72"/>
        <v>1</v>
      </c>
      <c r="J426" s="667"/>
      <c r="K426" s="21">
        <f t="shared" si="73"/>
        <v>1</v>
      </c>
      <c r="L426" s="667"/>
      <c r="M426" s="21">
        <f t="shared" si="74"/>
        <v>1</v>
      </c>
      <c r="N426" s="667"/>
      <c r="O426" s="21">
        <f t="shared" si="75"/>
        <v>1</v>
      </c>
      <c r="P426" s="667"/>
      <c r="Q426" s="21">
        <f t="shared" si="76"/>
        <v>1</v>
      </c>
      <c r="R426" s="663">
        <f t="shared" si="77"/>
        <v>0</v>
      </c>
      <c r="S426" s="316">
        <f t="shared" si="78"/>
        <v>0</v>
      </c>
    </row>
    <row r="427" spans="1:19">
      <c r="A427" s="150"/>
      <c r="B427" s="54"/>
      <c r="C427" s="21">
        <f t="shared" si="69"/>
        <v>1</v>
      </c>
      <c r="D427" s="667"/>
      <c r="E427" s="21">
        <f t="shared" si="70"/>
        <v>1</v>
      </c>
      <c r="F427" s="667"/>
      <c r="G427" s="21">
        <f t="shared" si="71"/>
        <v>1</v>
      </c>
      <c r="H427" s="667"/>
      <c r="I427" s="21">
        <f t="shared" si="72"/>
        <v>1</v>
      </c>
      <c r="J427" s="667"/>
      <c r="K427" s="21">
        <f t="shared" si="73"/>
        <v>1</v>
      </c>
      <c r="L427" s="667"/>
      <c r="M427" s="21">
        <f t="shared" si="74"/>
        <v>1</v>
      </c>
      <c r="N427" s="667"/>
      <c r="O427" s="21">
        <f t="shared" si="75"/>
        <v>1</v>
      </c>
      <c r="P427" s="667"/>
      <c r="Q427" s="21">
        <f t="shared" si="76"/>
        <v>1</v>
      </c>
      <c r="R427" s="663">
        <f t="shared" si="77"/>
        <v>0</v>
      </c>
      <c r="S427" s="316">
        <f t="shared" si="78"/>
        <v>0</v>
      </c>
    </row>
    <row r="428" spans="1:19">
      <c r="A428" s="150"/>
      <c r="B428" s="54"/>
      <c r="C428" s="21">
        <f t="shared" si="69"/>
        <v>1</v>
      </c>
      <c r="D428" s="667"/>
      <c r="E428" s="21">
        <f t="shared" si="70"/>
        <v>1</v>
      </c>
      <c r="F428" s="667"/>
      <c r="G428" s="21">
        <f t="shared" si="71"/>
        <v>1</v>
      </c>
      <c r="H428" s="667"/>
      <c r="I428" s="21">
        <f t="shared" si="72"/>
        <v>1</v>
      </c>
      <c r="J428" s="667"/>
      <c r="K428" s="21">
        <f t="shared" si="73"/>
        <v>1</v>
      </c>
      <c r="L428" s="667"/>
      <c r="M428" s="21">
        <f t="shared" si="74"/>
        <v>1</v>
      </c>
      <c r="N428" s="667"/>
      <c r="O428" s="21">
        <f t="shared" si="75"/>
        <v>1</v>
      </c>
      <c r="P428" s="667"/>
      <c r="Q428" s="21">
        <f t="shared" si="76"/>
        <v>1</v>
      </c>
      <c r="R428" s="663">
        <f t="shared" si="77"/>
        <v>0</v>
      </c>
      <c r="S428" s="316">
        <f t="shared" si="78"/>
        <v>0</v>
      </c>
    </row>
    <row r="429" spans="1:19">
      <c r="A429" s="150"/>
      <c r="B429" s="54"/>
      <c r="C429" s="21">
        <f t="shared" si="69"/>
        <v>1</v>
      </c>
      <c r="D429" s="667"/>
      <c r="E429" s="21">
        <f t="shared" si="70"/>
        <v>1</v>
      </c>
      <c r="F429" s="667"/>
      <c r="G429" s="21">
        <f t="shared" si="71"/>
        <v>1</v>
      </c>
      <c r="H429" s="667"/>
      <c r="I429" s="21">
        <f t="shared" si="72"/>
        <v>1</v>
      </c>
      <c r="J429" s="667"/>
      <c r="K429" s="21">
        <f t="shared" si="73"/>
        <v>1</v>
      </c>
      <c r="L429" s="667"/>
      <c r="M429" s="21">
        <f t="shared" si="74"/>
        <v>1</v>
      </c>
      <c r="N429" s="667"/>
      <c r="O429" s="21">
        <f t="shared" si="75"/>
        <v>1</v>
      </c>
      <c r="P429" s="667"/>
      <c r="Q429" s="21">
        <f t="shared" si="76"/>
        <v>1</v>
      </c>
      <c r="R429" s="663">
        <f t="shared" si="77"/>
        <v>0</v>
      </c>
      <c r="S429" s="316">
        <f t="shared" si="78"/>
        <v>0</v>
      </c>
    </row>
    <row r="430" spans="1:19">
      <c r="A430" s="150"/>
      <c r="B430" s="54"/>
      <c r="C430" s="21">
        <f t="shared" si="69"/>
        <v>1</v>
      </c>
      <c r="D430" s="667"/>
      <c r="E430" s="21">
        <f t="shared" si="70"/>
        <v>1</v>
      </c>
      <c r="F430" s="667"/>
      <c r="G430" s="21">
        <f t="shared" si="71"/>
        <v>1</v>
      </c>
      <c r="H430" s="667"/>
      <c r="I430" s="21">
        <f t="shared" si="72"/>
        <v>1</v>
      </c>
      <c r="J430" s="667"/>
      <c r="K430" s="21">
        <f t="shared" si="73"/>
        <v>1</v>
      </c>
      <c r="L430" s="667"/>
      <c r="M430" s="21">
        <f t="shared" si="74"/>
        <v>1</v>
      </c>
      <c r="N430" s="667"/>
      <c r="O430" s="21">
        <f t="shared" si="75"/>
        <v>1</v>
      </c>
      <c r="P430" s="667"/>
      <c r="Q430" s="21">
        <f t="shared" si="76"/>
        <v>1</v>
      </c>
      <c r="R430" s="663">
        <f t="shared" si="77"/>
        <v>0</v>
      </c>
      <c r="S430" s="316">
        <f t="shared" si="78"/>
        <v>0</v>
      </c>
    </row>
    <row r="431" spans="1:19">
      <c r="A431" s="150"/>
      <c r="B431" s="54"/>
      <c r="C431" s="21">
        <f t="shared" si="69"/>
        <v>1</v>
      </c>
      <c r="D431" s="667"/>
      <c r="E431" s="21">
        <f t="shared" si="70"/>
        <v>1</v>
      </c>
      <c r="F431" s="667"/>
      <c r="G431" s="21">
        <f t="shared" si="71"/>
        <v>1</v>
      </c>
      <c r="H431" s="667"/>
      <c r="I431" s="21">
        <f t="shared" si="72"/>
        <v>1</v>
      </c>
      <c r="J431" s="667"/>
      <c r="K431" s="21">
        <f t="shared" si="73"/>
        <v>1</v>
      </c>
      <c r="L431" s="667"/>
      <c r="M431" s="21">
        <f t="shared" si="74"/>
        <v>1</v>
      </c>
      <c r="N431" s="667"/>
      <c r="O431" s="21">
        <f t="shared" si="75"/>
        <v>1</v>
      </c>
      <c r="P431" s="667"/>
      <c r="Q431" s="21">
        <f t="shared" si="76"/>
        <v>1</v>
      </c>
      <c r="R431" s="663">
        <f t="shared" si="77"/>
        <v>0</v>
      </c>
      <c r="S431" s="316">
        <f t="shared" si="78"/>
        <v>0</v>
      </c>
    </row>
    <row r="432" spans="1:19">
      <c r="A432" s="150"/>
      <c r="B432" s="54"/>
      <c r="C432" s="21">
        <f t="shared" si="69"/>
        <v>1</v>
      </c>
      <c r="D432" s="667"/>
      <c r="E432" s="21">
        <f t="shared" si="70"/>
        <v>1</v>
      </c>
      <c r="F432" s="667"/>
      <c r="G432" s="21">
        <f t="shared" si="71"/>
        <v>1</v>
      </c>
      <c r="H432" s="667"/>
      <c r="I432" s="21">
        <f t="shared" si="72"/>
        <v>1</v>
      </c>
      <c r="J432" s="667"/>
      <c r="K432" s="21">
        <f t="shared" si="73"/>
        <v>1</v>
      </c>
      <c r="L432" s="667"/>
      <c r="M432" s="21">
        <f t="shared" si="74"/>
        <v>1</v>
      </c>
      <c r="N432" s="667"/>
      <c r="O432" s="21">
        <f t="shared" si="75"/>
        <v>1</v>
      </c>
      <c r="P432" s="667"/>
      <c r="Q432" s="21">
        <f t="shared" si="76"/>
        <v>1</v>
      </c>
      <c r="R432" s="663">
        <f t="shared" si="77"/>
        <v>0</v>
      </c>
      <c r="S432" s="316">
        <f t="shared" si="78"/>
        <v>0</v>
      </c>
    </row>
    <row r="433" spans="1:19">
      <c r="A433" s="150"/>
      <c r="B433" s="54"/>
      <c r="C433" s="21">
        <f t="shared" si="69"/>
        <v>1</v>
      </c>
      <c r="D433" s="667"/>
      <c r="E433" s="21">
        <f t="shared" si="70"/>
        <v>1</v>
      </c>
      <c r="F433" s="667"/>
      <c r="G433" s="21">
        <f t="shared" si="71"/>
        <v>1</v>
      </c>
      <c r="H433" s="667"/>
      <c r="I433" s="21">
        <f t="shared" si="72"/>
        <v>1</v>
      </c>
      <c r="J433" s="667"/>
      <c r="K433" s="21">
        <f t="shared" si="73"/>
        <v>1</v>
      </c>
      <c r="L433" s="667"/>
      <c r="M433" s="21">
        <f t="shared" si="74"/>
        <v>1</v>
      </c>
      <c r="N433" s="667"/>
      <c r="O433" s="21">
        <f t="shared" si="75"/>
        <v>1</v>
      </c>
      <c r="P433" s="667"/>
      <c r="Q433" s="21">
        <f t="shared" si="76"/>
        <v>1</v>
      </c>
      <c r="R433" s="663">
        <f t="shared" si="77"/>
        <v>0</v>
      </c>
      <c r="S433" s="316">
        <f t="shared" si="78"/>
        <v>0</v>
      </c>
    </row>
    <row r="434" spans="1:19">
      <c r="A434" s="150"/>
      <c r="B434" s="54"/>
      <c r="C434" s="21">
        <f t="shared" si="69"/>
        <v>1</v>
      </c>
      <c r="D434" s="667"/>
      <c r="E434" s="21">
        <f t="shared" si="70"/>
        <v>1</v>
      </c>
      <c r="F434" s="667"/>
      <c r="G434" s="21">
        <f t="shared" si="71"/>
        <v>1</v>
      </c>
      <c r="H434" s="667"/>
      <c r="I434" s="21">
        <f t="shared" si="72"/>
        <v>1</v>
      </c>
      <c r="J434" s="667"/>
      <c r="K434" s="21">
        <f t="shared" si="73"/>
        <v>1</v>
      </c>
      <c r="L434" s="667"/>
      <c r="M434" s="21">
        <f t="shared" si="74"/>
        <v>1</v>
      </c>
      <c r="N434" s="667"/>
      <c r="O434" s="21">
        <f t="shared" si="75"/>
        <v>1</v>
      </c>
      <c r="P434" s="667"/>
      <c r="Q434" s="21">
        <f t="shared" si="76"/>
        <v>1</v>
      </c>
      <c r="R434" s="663">
        <f t="shared" si="77"/>
        <v>0</v>
      </c>
      <c r="S434" s="316">
        <f t="shared" si="78"/>
        <v>0</v>
      </c>
    </row>
    <row r="435" spans="1:19">
      <c r="A435" s="150"/>
      <c r="B435" s="54"/>
      <c r="C435" s="21">
        <f t="shared" si="69"/>
        <v>1</v>
      </c>
      <c r="D435" s="667"/>
      <c r="E435" s="21">
        <f t="shared" si="70"/>
        <v>1</v>
      </c>
      <c r="F435" s="667"/>
      <c r="G435" s="21">
        <f t="shared" si="71"/>
        <v>1</v>
      </c>
      <c r="H435" s="667"/>
      <c r="I435" s="21">
        <f t="shared" si="72"/>
        <v>1</v>
      </c>
      <c r="J435" s="667"/>
      <c r="K435" s="21">
        <f t="shared" si="73"/>
        <v>1</v>
      </c>
      <c r="L435" s="667"/>
      <c r="M435" s="21">
        <f t="shared" si="74"/>
        <v>1</v>
      </c>
      <c r="N435" s="667"/>
      <c r="O435" s="21">
        <f t="shared" si="75"/>
        <v>1</v>
      </c>
      <c r="P435" s="667"/>
      <c r="Q435" s="21">
        <f t="shared" si="76"/>
        <v>1</v>
      </c>
      <c r="R435" s="663">
        <f t="shared" si="77"/>
        <v>0</v>
      </c>
      <c r="S435" s="316">
        <f t="shared" si="78"/>
        <v>0</v>
      </c>
    </row>
    <row r="436" spans="1:19">
      <c r="A436" s="150"/>
      <c r="B436" s="54"/>
      <c r="C436" s="21">
        <f t="shared" si="69"/>
        <v>1</v>
      </c>
      <c r="D436" s="667"/>
      <c r="E436" s="21">
        <f t="shared" si="70"/>
        <v>1</v>
      </c>
      <c r="F436" s="667"/>
      <c r="G436" s="21">
        <f t="shared" si="71"/>
        <v>1</v>
      </c>
      <c r="H436" s="667"/>
      <c r="I436" s="21">
        <f t="shared" si="72"/>
        <v>1</v>
      </c>
      <c r="J436" s="667"/>
      <c r="K436" s="21">
        <f t="shared" si="73"/>
        <v>1</v>
      </c>
      <c r="L436" s="667"/>
      <c r="M436" s="21">
        <f t="shared" si="74"/>
        <v>1</v>
      </c>
      <c r="N436" s="667"/>
      <c r="O436" s="21">
        <f t="shared" si="75"/>
        <v>1</v>
      </c>
      <c r="P436" s="667"/>
      <c r="Q436" s="21">
        <f t="shared" si="76"/>
        <v>1</v>
      </c>
      <c r="R436" s="663">
        <f t="shared" si="77"/>
        <v>0</v>
      </c>
      <c r="S436" s="316">
        <f t="shared" si="78"/>
        <v>0</v>
      </c>
    </row>
    <row r="437" spans="1:19">
      <c r="A437" s="150"/>
      <c r="B437" s="54"/>
      <c r="C437" s="21">
        <f t="shared" si="69"/>
        <v>1</v>
      </c>
      <c r="D437" s="667"/>
      <c r="E437" s="21">
        <f t="shared" si="70"/>
        <v>1</v>
      </c>
      <c r="F437" s="667"/>
      <c r="G437" s="21">
        <f t="shared" si="71"/>
        <v>1</v>
      </c>
      <c r="H437" s="667"/>
      <c r="I437" s="21">
        <f t="shared" si="72"/>
        <v>1</v>
      </c>
      <c r="J437" s="667"/>
      <c r="K437" s="21">
        <f t="shared" si="73"/>
        <v>1</v>
      </c>
      <c r="L437" s="667"/>
      <c r="M437" s="21">
        <f t="shared" si="74"/>
        <v>1</v>
      </c>
      <c r="N437" s="667"/>
      <c r="O437" s="21">
        <f t="shared" si="75"/>
        <v>1</v>
      </c>
      <c r="P437" s="667"/>
      <c r="Q437" s="21">
        <f t="shared" si="76"/>
        <v>1</v>
      </c>
      <c r="R437" s="663">
        <f t="shared" si="77"/>
        <v>0</v>
      </c>
      <c r="S437" s="316">
        <f t="shared" si="78"/>
        <v>0</v>
      </c>
    </row>
    <row r="438" spans="1:19">
      <c r="A438" s="150"/>
      <c r="B438" s="54"/>
      <c r="C438" s="21">
        <f t="shared" si="69"/>
        <v>1</v>
      </c>
      <c r="D438" s="667"/>
      <c r="E438" s="21">
        <f t="shared" si="70"/>
        <v>1</v>
      </c>
      <c r="F438" s="667"/>
      <c r="G438" s="21">
        <f t="shared" si="71"/>
        <v>1</v>
      </c>
      <c r="H438" s="667"/>
      <c r="I438" s="21">
        <f t="shared" si="72"/>
        <v>1</v>
      </c>
      <c r="J438" s="667"/>
      <c r="K438" s="21">
        <f t="shared" si="73"/>
        <v>1</v>
      </c>
      <c r="L438" s="667"/>
      <c r="M438" s="21">
        <f t="shared" si="74"/>
        <v>1</v>
      </c>
      <c r="N438" s="667"/>
      <c r="O438" s="21">
        <f t="shared" si="75"/>
        <v>1</v>
      </c>
      <c r="P438" s="667"/>
      <c r="Q438" s="21">
        <f t="shared" si="76"/>
        <v>1</v>
      </c>
      <c r="R438" s="663">
        <f t="shared" si="77"/>
        <v>0</v>
      </c>
      <c r="S438" s="316">
        <f t="shared" si="78"/>
        <v>0</v>
      </c>
    </row>
    <row r="439" spans="1:19">
      <c r="A439" s="150"/>
      <c r="B439" s="54"/>
      <c r="C439" s="21">
        <f t="shared" si="69"/>
        <v>1</v>
      </c>
      <c r="D439" s="667"/>
      <c r="E439" s="21">
        <f t="shared" si="70"/>
        <v>1</v>
      </c>
      <c r="F439" s="667"/>
      <c r="G439" s="21">
        <f t="shared" si="71"/>
        <v>1</v>
      </c>
      <c r="H439" s="667"/>
      <c r="I439" s="21">
        <f t="shared" si="72"/>
        <v>1</v>
      </c>
      <c r="J439" s="667"/>
      <c r="K439" s="21">
        <f t="shared" si="73"/>
        <v>1</v>
      </c>
      <c r="L439" s="667"/>
      <c r="M439" s="21">
        <f t="shared" si="74"/>
        <v>1</v>
      </c>
      <c r="N439" s="667"/>
      <c r="O439" s="21">
        <f t="shared" si="75"/>
        <v>1</v>
      </c>
      <c r="P439" s="667"/>
      <c r="Q439" s="21">
        <f t="shared" si="76"/>
        <v>1</v>
      </c>
      <c r="R439" s="663">
        <f t="shared" si="77"/>
        <v>0</v>
      </c>
      <c r="S439" s="316">
        <f t="shared" si="78"/>
        <v>0</v>
      </c>
    </row>
    <row r="440" spans="1:19">
      <c r="A440" s="150"/>
      <c r="B440" s="54"/>
      <c r="C440" s="21">
        <f t="shared" si="69"/>
        <v>1</v>
      </c>
      <c r="D440" s="667"/>
      <c r="E440" s="21">
        <f t="shared" si="70"/>
        <v>1</v>
      </c>
      <c r="F440" s="667"/>
      <c r="G440" s="21">
        <f t="shared" si="71"/>
        <v>1</v>
      </c>
      <c r="H440" s="667"/>
      <c r="I440" s="21">
        <f t="shared" si="72"/>
        <v>1</v>
      </c>
      <c r="J440" s="667"/>
      <c r="K440" s="21">
        <f t="shared" si="73"/>
        <v>1</v>
      </c>
      <c r="L440" s="667"/>
      <c r="M440" s="21">
        <f t="shared" si="74"/>
        <v>1</v>
      </c>
      <c r="N440" s="667"/>
      <c r="O440" s="21">
        <f t="shared" si="75"/>
        <v>1</v>
      </c>
      <c r="P440" s="667"/>
      <c r="Q440" s="21">
        <f t="shared" si="76"/>
        <v>1</v>
      </c>
      <c r="R440" s="663">
        <f t="shared" si="77"/>
        <v>0</v>
      </c>
      <c r="S440" s="316">
        <f t="shared" si="78"/>
        <v>0</v>
      </c>
    </row>
    <row r="441" spans="1:19">
      <c r="A441" s="150"/>
      <c r="B441" s="54"/>
      <c r="C441" s="21">
        <f t="shared" si="69"/>
        <v>1</v>
      </c>
      <c r="D441" s="667"/>
      <c r="E441" s="21">
        <f t="shared" si="70"/>
        <v>1</v>
      </c>
      <c r="F441" s="667"/>
      <c r="G441" s="21">
        <f t="shared" si="71"/>
        <v>1</v>
      </c>
      <c r="H441" s="667"/>
      <c r="I441" s="21">
        <f t="shared" si="72"/>
        <v>1</v>
      </c>
      <c r="J441" s="667"/>
      <c r="K441" s="21">
        <f t="shared" si="73"/>
        <v>1</v>
      </c>
      <c r="L441" s="667"/>
      <c r="M441" s="21">
        <f t="shared" si="74"/>
        <v>1</v>
      </c>
      <c r="N441" s="667"/>
      <c r="O441" s="21">
        <f t="shared" si="75"/>
        <v>1</v>
      </c>
      <c r="P441" s="667"/>
      <c r="Q441" s="21">
        <f t="shared" si="76"/>
        <v>1</v>
      </c>
      <c r="R441" s="663">
        <f t="shared" si="77"/>
        <v>0</v>
      </c>
      <c r="S441" s="316">
        <f t="shared" si="78"/>
        <v>0</v>
      </c>
    </row>
    <row r="442" spans="1:19">
      <c r="A442" s="150"/>
      <c r="B442" s="54"/>
      <c r="C442" s="21">
        <f t="shared" si="69"/>
        <v>1</v>
      </c>
      <c r="D442" s="667"/>
      <c r="E442" s="21">
        <f t="shared" si="70"/>
        <v>1</v>
      </c>
      <c r="F442" s="667"/>
      <c r="G442" s="21">
        <f t="shared" si="71"/>
        <v>1</v>
      </c>
      <c r="H442" s="667"/>
      <c r="I442" s="21">
        <f t="shared" si="72"/>
        <v>1</v>
      </c>
      <c r="J442" s="667"/>
      <c r="K442" s="21">
        <f t="shared" si="73"/>
        <v>1</v>
      </c>
      <c r="L442" s="667"/>
      <c r="M442" s="21">
        <f t="shared" si="74"/>
        <v>1</v>
      </c>
      <c r="N442" s="667"/>
      <c r="O442" s="21">
        <f t="shared" si="75"/>
        <v>1</v>
      </c>
      <c r="P442" s="667"/>
      <c r="Q442" s="21">
        <f t="shared" si="76"/>
        <v>1</v>
      </c>
      <c r="R442" s="663">
        <f t="shared" si="77"/>
        <v>0</v>
      </c>
      <c r="S442" s="316">
        <f t="shared" si="78"/>
        <v>0</v>
      </c>
    </row>
    <row r="443" spans="1:19">
      <c r="A443" s="150"/>
      <c r="B443" s="54"/>
      <c r="C443" s="21">
        <f t="shared" si="69"/>
        <v>1</v>
      </c>
      <c r="D443" s="667"/>
      <c r="E443" s="21">
        <f t="shared" si="70"/>
        <v>1</v>
      </c>
      <c r="F443" s="667"/>
      <c r="G443" s="21">
        <f t="shared" si="71"/>
        <v>1</v>
      </c>
      <c r="H443" s="667"/>
      <c r="I443" s="21">
        <f t="shared" si="72"/>
        <v>1</v>
      </c>
      <c r="J443" s="667"/>
      <c r="K443" s="21">
        <f t="shared" si="73"/>
        <v>1</v>
      </c>
      <c r="L443" s="667"/>
      <c r="M443" s="21">
        <f t="shared" si="74"/>
        <v>1</v>
      </c>
      <c r="N443" s="667"/>
      <c r="O443" s="21">
        <f t="shared" si="75"/>
        <v>1</v>
      </c>
      <c r="P443" s="667"/>
      <c r="Q443" s="21">
        <f t="shared" si="76"/>
        <v>1</v>
      </c>
      <c r="R443" s="663">
        <f t="shared" si="77"/>
        <v>0</v>
      </c>
      <c r="S443" s="316">
        <f t="shared" si="78"/>
        <v>0</v>
      </c>
    </row>
    <row r="444" spans="1:19">
      <c r="A444" s="150"/>
      <c r="B444" s="54"/>
      <c r="C444" s="21">
        <f t="shared" si="69"/>
        <v>1</v>
      </c>
      <c r="D444" s="667"/>
      <c r="E444" s="21">
        <f t="shared" si="70"/>
        <v>1</v>
      </c>
      <c r="F444" s="667"/>
      <c r="G444" s="21">
        <f t="shared" si="71"/>
        <v>1</v>
      </c>
      <c r="H444" s="667"/>
      <c r="I444" s="21">
        <f t="shared" si="72"/>
        <v>1</v>
      </c>
      <c r="J444" s="667"/>
      <c r="K444" s="21">
        <f t="shared" si="73"/>
        <v>1</v>
      </c>
      <c r="L444" s="667"/>
      <c r="M444" s="21">
        <f t="shared" si="74"/>
        <v>1</v>
      </c>
      <c r="N444" s="667"/>
      <c r="O444" s="21">
        <f t="shared" si="75"/>
        <v>1</v>
      </c>
      <c r="P444" s="667"/>
      <c r="Q444" s="21">
        <f t="shared" si="76"/>
        <v>1</v>
      </c>
      <c r="R444" s="663">
        <f t="shared" si="77"/>
        <v>0</v>
      </c>
      <c r="S444" s="316">
        <f t="shared" si="78"/>
        <v>0</v>
      </c>
    </row>
    <row r="445" spans="1:19">
      <c r="A445" s="150"/>
      <c r="B445" s="54"/>
      <c r="C445" s="21">
        <f t="shared" si="69"/>
        <v>1</v>
      </c>
      <c r="D445" s="667"/>
      <c r="E445" s="21">
        <f t="shared" si="70"/>
        <v>1</v>
      </c>
      <c r="F445" s="667"/>
      <c r="G445" s="21">
        <f t="shared" si="71"/>
        <v>1</v>
      </c>
      <c r="H445" s="667"/>
      <c r="I445" s="21">
        <f t="shared" si="72"/>
        <v>1</v>
      </c>
      <c r="J445" s="667"/>
      <c r="K445" s="21">
        <f t="shared" si="73"/>
        <v>1</v>
      </c>
      <c r="L445" s="667"/>
      <c r="M445" s="21">
        <f t="shared" si="74"/>
        <v>1</v>
      </c>
      <c r="N445" s="667"/>
      <c r="O445" s="21">
        <f t="shared" si="75"/>
        <v>1</v>
      </c>
      <c r="P445" s="667"/>
      <c r="Q445" s="21">
        <f t="shared" si="76"/>
        <v>1</v>
      </c>
      <c r="R445" s="663">
        <f t="shared" si="77"/>
        <v>0</v>
      </c>
      <c r="S445" s="316">
        <f t="shared" si="78"/>
        <v>0</v>
      </c>
    </row>
    <row r="446" spans="1:19">
      <c r="A446" s="150"/>
      <c r="B446" s="54"/>
      <c r="C446" s="21">
        <f t="shared" si="69"/>
        <v>1</v>
      </c>
      <c r="D446" s="667"/>
      <c r="E446" s="21">
        <f t="shared" si="70"/>
        <v>1</v>
      </c>
      <c r="F446" s="667"/>
      <c r="G446" s="21">
        <f t="shared" si="71"/>
        <v>1</v>
      </c>
      <c r="H446" s="667"/>
      <c r="I446" s="21">
        <f t="shared" si="72"/>
        <v>1</v>
      </c>
      <c r="J446" s="667"/>
      <c r="K446" s="21">
        <f t="shared" si="73"/>
        <v>1</v>
      </c>
      <c r="L446" s="667"/>
      <c r="M446" s="21">
        <f t="shared" si="74"/>
        <v>1</v>
      </c>
      <c r="N446" s="667"/>
      <c r="O446" s="21">
        <f t="shared" si="75"/>
        <v>1</v>
      </c>
      <c r="P446" s="667"/>
      <c r="Q446" s="21">
        <f t="shared" si="76"/>
        <v>1</v>
      </c>
      <c r="R446" s="663">
        <f t="shared" si="77"/>
        <v>0</v>
      </c>
      <c r="S446" s="316">
        <f t="shared" si="78"/>
        <v>0</v>
      </c>
    </row>
    <row r="447" spans="1:19">
      <c r="A447" s="150"/>
      <c r="B447" s="54"/>
      <c r="C447" s="21">
        <f t="shared" si="69"/>
        <v>1</v>
      </c>
      <c r="D447" s="667"/>
      <c r="E447" s="21">
        <f t="shared" si="70"/>
        <v>1</v>
      </c>
      <c r="F447" s="667"/>
      <c r="G447" s="21">
        <f t="shared" si="71"/>
        <v>1</v>
      </c>
      <c r="H447" s="667"/>
      <c r="I447" s="21">
        <f t="shared" si="72"/>
        <v>1</v>
      </c>
      <c r="J447" s="667"/>
      <c r="K447" s="21">
        <f t="shared" si="73"/>
        <v>1</v>
      </c>
      <c r="L447" s="667"/>
      <c r="M447" s="21">
        <f t="shared" si="74"/>
        <v>1</v>
      </c>
      <c r="N447" s="667"/>
      <c r="O447" s="21">
        <f t="shared" si="75"/>
        <v>1</v>
      </c>
      <c r="P447" s="667"/>
      <c r="Q447" s="21">
        <f t="shared" si="76"/>
        <v>1</v>
      </c>
      <c r="R447" s="663">
        <f t="shared" si="77"/>
        <v>0</v>
      </c>
      <c r="S447" s="316">
        <f t="shared" si="78"/>
        <v>0</v>
      </c>
    </row>
    <row r="448" spans="1:19">
      <c r="A448" s="150"/>
      <c r="B448" s="54"/>
      <c r="C448" s="21">
        <f t="shared" si="69"/>
        <v>1</v>
      </c>
      <c r="D448" s="667"/>
      <c r="E448" s="21">
        <f t="shared" si="70"/>
        <v>1</v>
      </c>
      <c r="F448" s="667"/>
      <c r="G448" s="21">
        <f t="shared" si="71"/>
        <v>1</v>
      </c>
      <c r="H448" s="667"/>
      <c r="I448" s="21">
        <f t="shared" si="72"/>
        <v>1</v>
      </c>
      <c r="J448" s="667"/>
      <c r="K448" s="21">
        <f t="shared" si="73"/>
        <v>1</v>
      </c>
      <c r="L448" s="667"/>
      <c r="M448" s="21">
        <f t="shared" si="74"/>
        <v>1</v>
      </c>
      <c r="N448" s="667"/>
      <c r="O448" s="21">
        <f t="shared" si="75"/>
        <v>1</v>
      </c>
      <c r="P448" s="667"/>
      <c r="Q448" s="21">
        <f t="shared" si="76"/>
        <v>1</v>
      </c>
      <c r="R448" s="663">
        <f t="shared" si="77"/>
        <v>0</v>
      </c>
      <c r="S448" s="316">
        <f t="shared" si="78"/>
        <v>0</v>
      </c>
    </row>
    <row r="449" spans="1:19">
      <c r="A449" s="150"/>
      <c r="B449" s="54"/>
      <c r="C449" s="21">
        <f t="shared" si="69"/>
        <v>1</v>
      </c>
      <c r="D449" s="667"/>
      <c r="E449" s="21">
        <f t="shared" si="70"/>
        <v>1</v>
      </c>
      <c r="F449" s="667"/>
      <c r="G449" s="21">
        <f t="shared" si="71"/>
        <v>1</v>
      </c>
      <c r="H449" s="667"/>
      <c r="I449" s="21">
        <f t="shared" si="72"/>
        <v>1</v>
      </c>
      <c r="J449" s="667"/>
      <c r="K449" s="21">
        <f t="shared" si="73"/>
        <v>1</v>
      </c>
      <c r="L449" s="667"/>
      <c r="M449" s="21">
        <f t="shared" si="74"/>
        <v>1</v>
      </c>
      <c r="N449" s="667"/>
      <c r="O449" s="21">
        <f t="shared" si="75"/>
        <v>1</v>
      </c>
      <c r="P449" s="667"/>
      <c r="Q449" s="21">
        <f t="shared" si="76"/>
        <v>1</v>
      </c>
      <c r="R449" s="663">
        <f t="shared" si="77"/>
        <v>0</v>
      </c>
      <c r="S449" s="316">
        <f t="shared" si="78"/>
        <v>0</v>
      </c>
    </row>
    <row r="450" spans="1:19">
      <c r="A450" s="150"/>
      <c r="B450" s="54"/>
      <c r="C450" s="21">
        <f t="shared" si="69"/>
        <v>1</v>
      </c>
      <c r="D450" s="667"/>
      <c r="E450" s="21">
        <f t="shared" si="70"/>
        <v>1</v>
      </c>
      <c r="F450" s="667"/>
      <c r="G450" s="21">
        <f t="shared" si="71"/>
        <v>1</v>
      </c>
      <c r="H450" s="667"/>
      <c r="I450" s="21">
        <f t="shared" si="72"/>
        <v>1</v>
      </c>
      <c r="J450" s="667"/>
      <c r="K450" s="21">
        <f t="shared" si="73"/>
        <v>1</v>
      </c>
      <c r="L450" s="667"/>
      <c r="M450" s="21">
        <f t="shared" si="74"/>
        <v>1</v>
      </c>
      <c r="N450" s="667"/>
      <c r="O450" s="21">
        <f t="shared" si="75"/>
        <v>1</v>
      </c>
      <c r="P450" s="667"/>
      <c r="Q450" s="21">
        <f t="shared" si="76"/>
        <v>1</v>
      </c>
      <c r="R450" s="663">
        <f t="shared" si="77"/>
        <v>0</v>
      </c>
      <c r="S450" s="316">
        <f t="shared" si="78"/>
        <v>0</v>
      </c>
    </row>
    <row r="451" spans="1:19">
      <c r="A451" s="150"/>
      <c r="B451" s="54"/>
      <c r="C451" s="21">
        <f t="shared" si="69"/>
        <v>1</v>
      </c>
      <c r="D451" s="667"/>
      <c r="E451" s="21">
        <f t="shared" si="70"/>
        <v>1</v>
      </c>
      <c r="F451" s="667"/>
      <c r="G451" s="21">
        <f t="shared" si="71"/>
        <v>1</v>
      </c>
      <c r="H451" s="667"/>
      <c r="I451" s="21">
        <f t="shared" si="72"/>
        <v>1</v>
      </c>
      <c r="J451" s="667"/>
      <c r="K451" s="21">
        <f t="shared" si="73"/>
        <v>1</v>
      </c>
      <c r="L451" s="667"/>
      <c r="M451" s="21">
        <f t="shared" si="74"/>
        <v>1</v>
      </c>
      <c r="N451" s="667"/>
      <c r="O451" s="21">
        <f t="shared" si="75"/>
        <v>1</v>
      </c>
      <c r="P451" s="667"/>
      <c r="Q451" s="21">
        <f t="shared" si="76"/>
        <v>1</v>
      </c>
      <c r="R451" s="663">
        <f t="shared" si="77"/>
        <v>0</v>
      </c>
      <c r="S451" s="316">
        <f t="shared" si="78"/>
        <v>0</v>
      </c>
    </row>
    <row r="452" spans="1:19">
      <c r="A452" s="150"/>
      <c r="B452" s="54"/>
      <c r="C452" s="21">
        <f t="shared" si="69"/>
        <v>1</v>
      </c>
      <c r="D452" s="667"/>
      <c r="E452" s="21">
        <f t="shared" si="70"/>
        <v>1</v>
      </c>
      <c r="F452" s="667"/>
      <c r="G452" s="21">
        <f t="shared" si="71"/>
        <v>1</v>
      </c>
      <c r="H452" s="667"/>
      <c r="I452" s="21">
        <f t="shared" si="72"/>
        <v>1</v>
      </c>
      <c r="J452" s="667"/>
      <c r="K452" s="21">
        <f t="shared" si="73"/>
        <v>1</v>
      </c>
      <c r="L452" s="667"/>
      <c r="M452" s="21">
        <f t="shared" si="74"/>
        <v>1</v>
      </c>
      <c r="N452" s="667"/>
      <c r="O452" s="21">
        <f t="shared" si="75"/>
        <v>1</v>
      </c>
      <c r="P452" s="667"/>
      <c r="Q452" s="21">
        <f t="shared" si="76"/>
        <v>1</v>
      </c>
      <c r="R452" s="663">
        <f t="shared" si="77"/>
        <v>0</v>
      </c>
      <c r="S452" s="316">
        <f t="shared" si="78"/>
        <v>0</v>
      </c>
    </row>
    <row r="453" spans="1:19">
      <c r="A453" s="150"/>
      <c r="B453" s="54"/>
      <c r="C453" s="21">
        <f t="shared" si="69"/>
        <v>1</v>
      </c>
      <c r="D453" s="667"/>
      <c r="E453" s="21">
        <f t="shared" si="70"/>
        <v>1</v>
      </c>
      <c r="F453" s="667"/>
      <c r="G453" s="21">
        <f t="shared" si="71"/>
        <v>1</v>
      </c>
      <c r="H453" s="667"/>
      <c r="I453" s="21">
        <f t="shared" si="72"/>
        <v>1</v>
      </c>
      <c r="J453" s="667"/>
      <c r="K453" s="21">
        <f t="shared" si="73"/>
        <v>1</v>
      </c>
      <c r="L453" s="667"/>
      <c r="M453" s="21">
        <f t="shared" si="74"/>
        <v>1</v>
      </c>
      <c r="N453" s="667"/>
      <c r="O453" s="21">
        <f t="shared" si="75"/>
        <v>1</v>
      </c>
      <c r="P453" s="667"/>
      <c r="Q453" s="21">
        <f t="shared" si="76"/>
        <v>1</v>
      </c>
      <c r="R453" s="663">
        <f t="shared" si="77"/>
        <v>0</v>
      </c>
      <c r="S453" s="316">
        <f t="shared" si="78"/>
        <v>0</v>
      </c>
    </row>
    <row r="454" spans="1:19">
      <c r="A454" s="150"/>
      <c r="B454" s="54"/>
      <c r="C454" s="21">
        <f t="shared" si="69"/>
        <v>1</v>
      </c>
      <c r="D454" s="667"/>
      <c r="E454" s="21">
        <f t="shared" si="70"/>
        <v>1</v>
      </c>
      <c r="F454" s="667"/>
      <c r="G454" s="21">
        <f t="shared" si="71"/>
        <v>1</v>
      </c>
      <c r="H454" s="667"/>
      <c r="I454" s="21">
        <f t="shared" si="72"/>
        <v>1</v>
      </c>
      <c r="J454" s="667"/>
      <c r="K454" s="21">
        <f t="shared" si="73"/>
        <v>1</v>
      </c>
      <c r="L454" s="667"/>
      <c r="M454" s="21">
        <f t="shared" si="74"/>
        <v>1</v>
      </c>
      <c r="N454" s="667"/>
      <c r="O454" s="21">
        <f t="shared" si="75"/>
        <v>1</v>
      </c>
      <c r="P454" s="667"/>
      <c r="Q454" s="21">
        <f t="shared" si="76"/>
        <v>1</v>
      </c>
      <c r="R454" s="663">
        <f t="shared" si="77"/>
        <v>0</v>
      </c>
      <c r="S454" s="316">
        <f t="shared" si="78"/>
        <v>0</v>
      </c>
    </row>
    <row r="455" spans="1:19">
      <c r="A455" s="150"/>
      <c r="B455" s="54"/>
      <c r="C455" s="21">
        <f t="shared" si="69"/>
        <v>1</v>
      </c>
      <c r="D455" s="667"/>
      <c r="E455" s="21">
        <f t="shared" si="70"/>
        <v>1</v>
      </c>
      <c r="F455" s="667"/>
      <c r="G455" s="21">
        <f t="shared" si="71"/>
        <v>1</v>
      </c>
      <c r="H455" s="667"/>
      <c r="I455" s="21">
        <f t="shared" si="72"/>
        <v>1</v>
      </c>
      <c r="J455" s="667"/>
      <c r="K455" s="21">
        <f t="shared" si="73"/>
        <v>1</v>
      </c>
      <c r="L455" s="667"/>
      <c r="M455" s="21">
        <f t="shared" si="74"/>
        <v>1</v>
      </c>
      <c r="N455" s="667"/>
      <c r="O455" s="21">
        <f t="shared" si="75"/>
        <v>1</v>
      </c>
      <c r="P455" s="667"/>
      <c r="Q455" s="21">
        <f t="shared" si="76"/>
        <v>1</v>
      </c>
      <c r="R455" s="663">
        <f t="shared" si="77"/>
        <v>0</v>
      </c>
      <c r="S455" s="316">
        <f t="shared" si="78"/>
        <v>0</v>
      </c>
    </row>
    <row r="456" spans="1:19">
      <c r="A456" s="150"/>
      <c r="B456" s="54"/>
      <c r="C456" s="21">
        <f t="shared" si="69"/>
        <v>1</v>
      </c>
      <c r="D456" s="667"/>
      <c r="E456" s="21">
        <f t="shared" si="70"/>
        <v>1</v>
      </c>
      <c r="F456" s="667"/>
      <c r="G456" s="21">
        <f t="shared" si="71"/>
        <v>1</v>
      </c>
      <c r="H456" s="667"/>
      <c r="I456" s="21">
        <f t="shared" si="72"/>
        <v>1</v>
      </c>
      <c r="J456" s="667"/>
      <c r="K456" s="21">
        <f t="shared" si="73"/>
        <v>1</v>
      </c>
      <c r="L456" s="667"/>
      <c r="M456" s="21">
        <f t="shared" si="74"/>
        <v>1</v>
      </c>
      <c r="N456" s="667"/>
      <c r="O456" s="21">
        <f t="shared" si="75"/>
        <v>1</v>
      </c>
      <c r="P456" s="667"/>
      <c r="Q456" s="21">
        <f t="shared" si="76"/>
        <v>1</v>
      </c>
      <c r="R456" s="663">
        <f t="shared" si="77"/>
        <v>0</v>
      </c>
      <c r="S456" s="316">
        <f t="shared" si="78"/>
        <v>0</v>
      </c>
    </row>
    <row r="457" spans="1:19">
      <c r="A457" s="150"/>
      <c r="B457" s="54"/>
      <c r="C457" s="21">
        <f t="shared" si="69"/>
        <v>1</v>
      </c>
      <c r="D457" s="667"/>
      <c r="E457" s="21">
        <f t="shared" si="70"/>
        <v>1</v>
      </c>
      <c r="F457" s="667"/>
      <c r="G457" s="21">
        <f t="shared" si="71"/>
        <v>1</v>
      </c>
      <c r="H457" s="667"/>
      <c r="I457" s="21">
        <f t="shared" si="72"/>
        <v>1</v>
      </c>
      <c r="J457" s="667"/>
      <c r="K457" s="21">
        <f t="shared" si="73"/>
        <v>1</v>
      </c>
      <c r="L457" s="667"/>
      <c r="M457" s="21">
        <f t="shared" si="74"/>
        <v>1</v>
      </c>
      <c r="N457" s="667"/>
      <c r="O457" s="21">
        <f t="shared" si="75"/>
        <v>1</v>
      </c>
      <c r="P457" s="667"/>
      <c r="Q457" s="21">
        <f t="shared" si="76"/>
        <v>1</v>
      </c>
      <c r="R457" s="663">
        <f t="shared" si="77"/>
        <v>0</v>
      </c>
      <c r="S457" s="316">
        <f t="shared" si="78"/>
        <v>0</v>
      </c>
    </row>
    <row r="458" spans="1:19">
      <c r="A458" s="150"/>
      <c r="B458" s="54"/>
      <c r="C458" s="21">
        <f t="shared" si="69"/>
        <v>1</v>
      </c>
      <c r="D458" s="667"/>
      <c r="E458" s="21">
        <f t="shared" si="70"/>
        <v>1</v>
      </c>
      <c r="F458" s="667"/>
      <c r="G458" s="21">
        <f t="shared" si="71"/>
        <v>1</v>
      </c>
      <c r="H458" s="667"/>
      <c r="I458" s="21">
        <f t="shared" si="72"/>
        <v>1</v>
      </c>
      <c r="J458" s="667"/>
      <c r="K458" s="21">
        <f t="shared" si="73"/>
        <v>1</v>
      </c>
      <c r="L458" s="667"/>
      <c r="M458" s="21">
        <f t="shared" si="74"/>
        <v>1</v>
      </c>
      <c r="N458" s="667"/>
      <c r="O458" s="21">
        <f t="shared" si="75"/>
        <v>1</v>
      </c>
      <c r="P458" s="667"/>
      <c r="Q458" s="21">
        <f t="shared" si="76"/>
        <v>1</v>
      </c>
      <c r="R458" s="663">
        <f t="shared" si="77"/>
        <v>0</v>
      </c>
      <c r="S458" s="316">
        <f t="shared" si="78"/>
        <v>0</v>
      </c>
    </row>
    <row r="459" spans="1:19">
      <c r="A459" s="150"/>
      <c r="B459" s="54"/>
      <c r="C459" s="21">
        <f t="shared" si="69"/>
        <v>1</v>
      </c>
      <c r="D459" s="667"/>
      <c r="E459" s="21">
        <f t="shared" si="70"/>
        <v>1</v>
      </c>
      <c r="F459" s="667"/>
      <c r="G459" s="21">
        <f t="shared" si="71"/>
        <v>1</v>
      </c>
      <c r="H459" s="667"/>
      <c r="I459" s="21">
        <f t="shared" si="72"/>
        <v>1</v>
      </c>
      <c r="J459" s="667"/>
      <c r="K459" s="21">
        <f t="shared" si="73"/>
        <v>1</v>
      </c>
      <c r="L459" s="667"/>
      <c r="M459" s="21">
        <f t="shared" si="74"/>
        <v>1</v>
      </c>
      <c r="N459" s="667"/>
      <c r="O459" s="21">
        <f t="shared" si="75"/>
        <v>1</v>
      </c>
      <c r="P459" s="667"/>
      <c r="Q459" s="21">
        <f t="shared" si="76"/>
        <v>1</v>
      </c>
      <c r="R459" s="663">
        <f t="shared" si="77"/>
        <v>0</v>
      </c>
      <c r="S459" s="316">
        <f t="shared" si="78"/>
        <v>0</v>
      </c>
    </row>
    <row r="460" spans="1:19">
      <c r="A460" s="150"/>
      <c r="B460" s="54"/>
      <c r="C460" s="21">
        <f t="shared" si="69"/>
        <v>1</v>
      </c>
      <c r="D460" s="667"/>
      <c r="E460" s="21">
        <f t="shared" si="70"/>
        <v>1</v>
      </c>
      <c r="F460" s="667"/>
      <c r="G460" s="21">
        <f t="shared" si="71"/>
        <v>1</v>
      </c>
      <c r="H460" s="667"/>
      <c r="I460" s="21">
        <f t="shared" si="72"/>
        <v>1</v>
      </c>
      <c r="J460" s="667"/>
      <c r="K460" s="21">
        <f t="shared" si="73"/>
        <v>1</v>
      </c>
      <c r="L460" s="667"/>
      <c r="M460" s="21">
        <f t="shared" si="74"/>
        <v>1</v>
      </c>
      <c r="N460" s="667"/>
      <c r="O460" s="21">
        <f t="shared" si="75"/>
        <v>1</v>
      </c>
      <c r="P460" s="667"/>
      <c r="Q460" s="21">
        <f t="shared" si="76"/>
        <v>1</v>
      </c>
      <c r="R460" s="663">
        <f t="shared" si="77"/>
        <v>0</v>
      </c>
      <c r="S460" s="316">
        <f t="shared" si="78"/>
        <v>0</v>
      </c>
    </row>
    <row r="461" spans="1:19">
      <c r="A461" s="150"/>
      <c r="B461" s="54"/>
      <c r="C461" s="21">
        <f t="shared" si="69"/>
        <v>1</v>
      </c>
      <c r="D461" s="667"/>
      <c r="E461" s="21">
        <f t="shared" si="70"/>
        <v>1</v>
      </c>
      <c r="F461" s="667"/>
      <c r="G461" s="21">
        <f t="shared" si="71"/>
        <v>1</v>
      </c>
      <c r="H461" s="667"/>
      <c r="I461" s="21">
        <f t="shared" si="72"/>
        <v>1</v>
      </c>
      <c r="J461" s="667"/>
      <c r="K461" s="21">
        <f t="shared" si="73"/>
        <v>1</v>
      </c>
      <c r="L461" s="667"/>
      <c r="M461" s="21">
        <f t="shared" si="74"/>
        <v>1</v>
      </c>
      <c r="N461" s="667"/>
      <c r="O461" s="21">
        <f t="shared" si="75"/>
        <v>1</v>
      </c>
      <c r="P461" s="667"/>
      <c r="Q461" s="21">
        <f t="shared" si="76"/>
        <v>1</v>
      </c>
      <c r="R461" s="663">
        <f t="shared" si="77"/>
        <v>0</v>
      </c>
      <c r="S461" s="316">
        <f t="shared" si="78"/>
        <v>0</v>
      </c>
    </row>
    <row r="462" spans="1:19">
      <c r="A462" s="150"/>
      <c r="B462" s="54"/>
      <c r="C462" s="21">
        <f t="shared" si="69"/>
        <v>1</v>
      </c>
      <c r="D462" s="667"/>
      <c r="E462" s="21">
        <f t="shared" si="70"/>
        <v>1</v>
      </c>
      <c r="F462" s="667"/>
      <c r="G462" s="21">
        <f t="shared" si="71"/>
        <v>1</v>
      </c>
      <c r="H462" s="667"/>
      <c r="I462" s="21">
        <f t="shared" si="72"/>
        <v>1</v>
      </c>
      <c r="J462" s="667"/>
      <c r="K462" s="21">
        <f t="shared" si="73"/>
        <v>1</v>
      </c>
      <c r="L462" s="667"/>
      <c r="M462" s="21">
        <f t="shared" si="74"/>
        <v>1</v>
      </c>
      <c r="N462" s="667"/>
      <c r="O462" s="21">
        <f t="shared" si="75"/>
        <v>1</v>
      </c>
      <c r="P462" s="667"/>
      <c r="Q462" s="21">
        <f t="shared" si="76"/>
        <v>1</v>
      </c>
      <c r="R462" s="663">
        <f t="shared" si="77"/>
        <v>0</v>
      </c>
      <c r="S462" s="316">
        <f t="shared" si="78"/>
        <v>0</v>
      </c>
    </row>
    <row r="463" spans="1:19">
      <c r="A463" s="150"/>
      <c r="B463" s="54"/>
      <c r="C463" s="21">
        <f t="shared" si="69"/>
        <v>1</v>
      </c>
      <c r="D463" s="667"/>
      <c r="E463" s="21">
        <f t="shared" si="70"/>
        <v>1</v>
      </c>
      <c r="F463" s="667"/>
      <c r="G463" s="21">
        <f t="shared" si="71"/>
        <v>1</v>
      </c>
      <c r="H463" s="667"/>
      <c r="I463" s="21">
        <f t="shared" si="72"/>
        <v>1</v>
      </c>
      <c r="J463" s="667"/>
      <c r="K463" s="21">
        <f t="shared" si="73"/>
        <v>1</v>
      </c>
      <c r="L463" s="667"/>
      <c r="M463" s="21">
        <f t="shared" si="74"/>
        <v>1</v>
      </c>
      <c r="N463" s="667"/>
      <c r="O463" s="21">
        <f t="shared" si="75"/>
        <v>1</v>
      </c>
      <c r="P463" s="667"/>
      <c r="Q463" s="21">
        <f t="shared" si="76"/>
        <v>1</v>
      </c>
      <c r="R463" s="663">
        <f t="shared" si="77"/>
        <v>0</v>
      </c>
      <c r="S463" s="316">
        <f t="shared" si="78"/>
        <v>0</v>
      </c>
    </row>
    <row r="464" spans="1:19">
      <c r="A464" s="150"/>
      <c r="B464" s="54"/>
      <c r="C464" s="21">
        <f t="shared" si="69"/>
        <v>1</v>
      </c>
      <c r="D464" s="667"/>
      <c r="E464" s="21">
        <f t="shared" si="70"/>
        <v>1</v>
      </c>
      <c r="F464" s="667"/>
      <c r="G464" s="21">
        <f t="shared" si="71"/>
        <v>1</v>
      </c>
      <c r="H464" s="667"/>
      <c r="I464" s="21">
        <f t="shared" si="72"/>
        <v>1</v>
      </c>
      <c r="J464" s="667"/>
      <c r="K464" s="21">
        <f t="shared" si="73"/>
        <v>1</v>
      </c>
      <c r="L464" s="667"/>
      <c r="M464" s="21">
        <f t="shared" si="74"/>
        <v>1</v>
      </c>
      <c r="N464" s="667"/>
      <c r="O464" s="21">
        <f t="shared" si="75"/>
        <v>1</v>
      </c>
      <c r="P464" s="667"/>
      <c r="Q464" s="21">
        <f t="shared" si="76"/>
        <v>1</v>
      </c>
      <c r="R464" s="663">
        <f t="shared" si="77"/>
        <v>0</v>
      </c>
      <c r="S464" s="316">
        <f t="shared" si="78"/>
        <v>0</v>
      </c>
    </row>
    <row r="465" spans="1:19">
      <c r="A465" s="150"/>
      <c r="B465" s="54"/>
      <c r="C465" s="21">
        <f t="shared" si="69"/>
        <v>1</v>
      </c>
      <c r="D465" s="667"/>
      <c r="E465" s="21">
        <f t="shared" si="70"/>
        <v>1</v>
      </c>
      <c r="F465" s="667"/>
      <c r="G465" s="21">
        <f t="shared" si="71"/>
        <v>1</v>
      </c>
      <c r="H465" s="667"/>
      <c r="I465" s="21">
        <f t="shared" si="72"/>
        <v>1</v>
      </c>
      <c r="J465" s="667"/>
      <c r="K465" s="21">
        <f t="shared" si="73"/>
        <v>1</v>
      </c>
      <c r="L465" s="667"/>
      <c r="M465" s="21">
        <f t="shared" si="74"/>
        <v>1</v>
      </c>
      <c r="N465" s="667"/>
      <c r="O465" s="21">
        <f t="shared" si="75"/>
        <v>1</v>
      </c>
      <c r="P465" s="667"/>
      <c r="Q465" s="21">
        <f t="shared" si="76"/>
        <v>1</v>
      </c>
      <c r="R465" s="663">
        <f t="shared" si="77"/>
        <v>0</v>
      </c>
      <c r="S465" s="316">
        <f t="shared" si="78"/>
        <v>0</v>
      </c>
    </row>
    <row r="466" spans="1:19">
      <c r="A466" s="150"/>
      <c r="B466" s="54"/>
      <c r="C466" s="21">
        <f t="shared" si="69"/>
        <v>1</v>
      </c>
      <c r="D466" s="667"/>
      <c r="E466" s="21">
        <f t="shared" si="70"/>
        <v>1</v>
      </c>
      <c r="F466" s="667"/>
      <c r="G466" s="21">
        <f t="shared" si="71"/>
        <v>1</v>
      </c>
      <c r="H466" s="667"/>
      <c r="I466" s="21">
        <f t="shared" si="72"/>
        <v>1</v>
      </c>
      <c r="J466" s="667"/>
      <c r="K466" s="21">
        <f t="shared" si="73"/>
        <v>1</v>
      </c>
      <c r="L466" s="667"/>
      <c r="M466" s="21">
        <f t="shared" si="74"/>
        <v>1</v>
      </c>
      <c r="N466" s="667"/>
      <c r="O466" s="21">
        <f t="shared" si="75"/>
        <v>1</v>
      </c>
      <c r="P466" s="667"/>
      <c r="Q466" s="21">
        <f t="shared" si="76"/>
        <v>1</v>
      </c>
      <c r="R466" s="663">
        <f t="shared" si="77"/>
        <v>0</v>
      </c>
      <c r="S466" s="316">
        <f t="shared" si="78"/>
        <v>0</v>
      </c>
    </row>
    <row r="467" spans="1:19">
      <c r="A467" s="150"/>
      <c r="B467" s="54"/>
      <c r="C467" s="21">
        <f t="shared" si="69"/>
        <v>1</v>
      </c>
      <c r="D467" s="667"/>
      <c r="E467" s="21">
        <f t="shared" si="70"/>
        <v>1</v>
      </c>
      <c r="F467" s="667"/>
      <c r="G467" s="21">
        <f t="shared" si="71"/>
        <v>1</v>
      </c>
      <c r="H467" s="667"/>
      <c r="I467" s="21">
        <f t="shared" si="72"/>
        <v>1</v>
      </c>
      <c r="J467" s="667"/>
      <c r="K467" s="21">
        <f t="shared" si="73"/>
        <v>1</v>
      </c>
      <c r="L467" s="667"/>
      <c r="M467" s="21">
        <f t="shared" si="74"/>
        <v>1</v>
      </c>
      <c r="N467" s="667"/>
      <c r="O467" s="21">
        <f t="shared" si="75"/>
        <v>1</v>
      </c>
      <c r="P467" s="667"/>
      <c r="Q467" s="21">
        <f t="shared" si="76"/>
        <v>1</v>
      </c>
      <c r="R467" s="663">
        <f t="shared" si="77"/>
        <v>0</v>
      </c>
      <c r="S467" s="316">
        <f t="shared" si="78"/>
        <v>0</v>
      </c>
    </row>
    <row r="468" spans="1:19">
      <c r="A468" s="150"/>
      <c r="B468" s="54"/>
      <c r="C468" s="21">
        <f t="shared" si="69"/>
        <v>1</v>
      </c>
      <c r="D468" s="667"/>
      <c r="E468" s="21">
        <f t="shared" si="70"/>
        <v>1</v>
      </c>
      <c r="F468" s="667"/>
      <c r="G468" s="21">
        <f t="shared" si="71"/>
        <v>1</v>
      </c>
      <c r="H468" s="667"/>
      <c r="I468" s="21">
        <f t="shared" si="72"/>
        <v>1</v>
      </c>
      <c r="J468" s="667"/>
      <c r="K468" s="21">
        <f t="shared" si="73"/>
        <v>1</v>
      </c>
      <c r="L468" s="667"/>
      <c r="M468" s="21">
        <f t="shared" si="74"/>
        <v>1</v>
      </c>
      <c r="N468" s="667"/>
      <c r="O468" s="21">
        <f t="shared" si="75"/>
        <v>1</v>
      </c>
      <c r="P468" s="667"/>
      <c r="Q468" s="21">
        <f t="shared" si="76"/>
        <v>1</v>
      </c>
      <c r="R468" s="663">
        <f t="shared" si="77"/>
        <v>0</v>
      </c>
      <c r="S468" s="316">
        <f t="shared" ref="S468:S497" si="79">ROUND(R468*B468/10000,0)</f>
        <v>0</v>
      </c>
    </row>
    <row r="469" spans="1:19">
      <c r="A469" s="150"/>
      <c r="B469" s="54"/>
      <c r="C469" s="21">
        <f t="shared" si="69"/>
        <v>1</v>
      </c>
      <c r="D469" s="667"/>
      <c r="E469" s="21">
        <f t="shared" si="70"/>
        <v>1</v>
      </c>
      <c r="F469" s="667"/>
      <c r="G469" s="21">
        <f t="shared" si="71"/>
        <v>1</v>
      </c>
      <c r="H469" s="667"/>
      <c r="I469" s="21">
        <f t="shared" si="72"/>
        <v>1</v>
      </c>
      <c r="J469" s="667"/>
      <c r="K469" s="21">
        <f t="shared" si="73"/>
        <v>1</v>
      </c>
      <c r="L469" s="667"/>
      <c r="M469" s="21">
        <f t="shared" si="74"/>
        <v>1</v>
      </c>
      <c r="N469" s="667"/>
      <c r="O469" s="21">
        <f t="shared" si="75"/>
        <v>1</v>
      </c>
      <c r="P469" s="667"/>
      <c r="Q469" s="21">
        <f t="shared" si="76"/>
        <v>1</v>
      </c>
      <c r="R469" s="663">
        <f t="shared" si="77"/>
        <v>0</v>
      </c>
      <c r="S469" s="316">
        <f t="shared" si="79"/>
        <v>0</v>
      </c>
    </row>
    <row r="470" spans="1:19">
      <c r="A470" s="150"/>
      <c r="B470" s="54"/>
      <c r="C470" s="21">
        <f t="shared" si="69"/>
        <v>1</v>
      </c>
      <c r="D470" s="667"/>
      <c r="E470" s="21">
        <f t="shared" si="70"/>
        <v>1</v>
      </c>
      <c r="F470" s="667"/>
      <c r="G470" s="21">
        <f t="shared" si="71"/>
        <v>1</v>
      </c>
      <c r="H470" s="667"/>
      <c r="I470" s="21">
        <f t="shared" si="72"/>
        <v>1</v>
      </c>
      <c r="J470" s="667"/>
      <c r="K470" s="21">
        <f t="shared" si="73"/>
        <v>1</v>
      </c>
      <c r="L470" s="667"/>
      <c r="M470" s="21">
        <f t="shared" si="74"/>
        <v>1</v>
      </c>
      <c r="N470" s="667"/>
      <c r="O470" s="21">
        <f t="shared" si="75"/>
        <v>1</v>
      </c>
      <c r="P470" s="667"/>
      <c r="Q470" s="21">
        <f t="shared" si="76"/>
        <v>1</v>
      </c>
      <c r="R470" s="663">
        <f t="shared" si="77"/>
        <v>0</v>
      </c>
      <c r="S470" s="316">
        <f t="shared" si="79"/>
        <v>0</v>
      </c>
    </row>
    <row r="471" spans="1:19">
      <c r="A471" s="150"/>
      <c r="B471" s="54"/>
      <c r="C471" s="21">
        <f t="shared" si="69"/>
        <v>1</v>
      </c>
      <c r="D471" s="667"/>
      <c r="E471" s="21">
        <f t="shared" si="70"/>
        <v>1</v>
      </c>
      <c r="F471" s="667"/>
      <c r="G471" s="21">
        <f t="shared" si="71"/>
        <v>1</v>
      </c>
      <c r="H471" s="667"/>
      <c r="I471" s="21">
        <f t="shared" si="72"/>
        <v>1</v>
      </c>
      <c r="J471" s="667"/>
      <c r="K471" s="21">
        <f t="shared" si="73"/>
        <v>1</v>
      </c>
      <c r="L471" s="667"/>
      <c r="M471" s="21">
        <f t="shared" si="74"/>
        <v>1</v>
      </c>
      <c r="N471" s="667"/>
      <c r="O471" s="21">
        <f t="shared" si="75"/>
        <v>1</v>
      </c>
      <c r="P471" s="667"/>
      <c r="Q471" s="21">
        <f t="shared" si="76"/>
        <v>1</v>
      </c>
      <c r="R471" s="663">
        <f t="shared" si="77"/>
        <v>0</v>
      </c>
      <c r="S471" s="316">
        <f t="shared" si="79"/>
        <v>0</v>
      </c>
    </row>
    <row r="472" spans="1:19">
      <c r="A472" s="150"/>
      <c r="B472" s="54"/>
      <c r="C472" s="21">
        <f t="shared" si="69"/>
        <v>1</v>
      </c>
      <c r="D472" s="667"/>
      <c r="E472" s="21">
        <f t="shared" si="70"/>
        <v>1</v>
      </c>
      <c r="F472" s="667"/>
      <c r="G472" s="21">
        <f t="shared" si="71"/>
        <v>1</v>
      </c>
      <c r="H472" s="667"/>
      <c r="I472" s="21">
        <f t="shared" si="72"/>
        <v>1</v>
      </c>
      <c r="J472" s="667"/>
      <c r="K472" s="21">
        <f t="shared" si="73"/>
        <v>1</v>
      </c>
      <c r="L472" s="667"/>
      <c r="M472" s="21">
        <f t="shared" si="74"/>
        <v>1</v>
      </c>
      <c r="N472" s="667"/>
      <c r="O472" s="21">
        <f t="shared" si="75"/>
        <v>1</v>
      </c>
      <c r="P472" s="667"/>
      <c r="Q472" s="21">
        <f t="shared" si="76"/>
        <v>1</v>
      </c>
      <c r="R472" s="663">
        <f t="shared" si="77"/>
        <v>0</v>
      </c>
      <c r="S472" s="316">
        <f t="shared" si="79"/>
        <v>0</v>
      </c>
    </row>
    <row r="473" spans="1:19">
      <c r="A473" s="150"/>
      <c r="B473" s="54"/>
      <c r="C473" s="21">
        <f t="shared" si="69"/>
        <v>1</v>
      </c>
      <c r="D473" s="667"/>
      <c r="E473" s="21">
        <f t="shared" si="70"/>
        <v>1</v>
      </c>
      <c r="F473" s="667"/>
      <c r="G473" s="21">
        <f t="shared" si="71"/>
        <v>1</v>
      </c>
      <c r="H473" s="667"/>
      <c r="I473" s="21">
        <f t="shared" si="72"/>
        <v>1</v>
      </c>
      <c r="J473" s="667"/>
      <c r="K473" s="21">
        <f t="shared" si="73"/>
        <v>1</v>
      </c>
      <c r="L473" s="667"/>
      <c r="M473" s="21">
        <f t="shared" si="74"/>
        <v>1</v>
      </c>
      <c r="N473" s="667"/>
      <c r="O473" s="21">
        <f t="shared" si="75"/>
        <v>1</v>
      </c>
      <c r="P473" s="667"/>
      <c r="Q473" s="21">
        <f t="shared" si="76"/>
        <v>1</v>
      </c>
      <c r="R473" s="663">
        <f t="shared" si="77"/>
        <v>0</v>
      </c>
      <c r="S473" s="316">
        <f t="shared" si="79"/>
        <v>0</v>
      </c>
    </row>
    <row r="474" spans="1:19">
      <c r="A474" s="150"/>
      <c r="B474" s="54"/>
      <c r="C474" s="21">
        <f t="shared" ref="C474:C524" si="80">IF(B474="",1,(LOOKUP(B474,$3:$3,$4:$4)-LOOKUP($B$24,$3:$3,$4:$4)+100)/100)</f>
        <v>1</v>
      </c>
      <c r="D474" s="667"/>
      <c r="E474" s="21">
        <f t="shared" ref="E474:E524" si="81">(SUMIF($5:$5,D474,$6:$6)-SUMIF($5:$5,$D$24,$6:$6)+100)/100</f>
        <v>1</v>
      </c>
      <c r="F474" s="667"/>
      <c r="G474" s="21">
        <f t="shared" ref="G474:G524" si="82">(SUMIF($7:$7,F474,$8:$8)-SUMIF($7:$7,$F$24,$8:$8)+100)/100</f>
        <v>1</v>
      </c>
      <c r="H474" s="667"/>
      <c r="I474" s="21">
        <f t="shared" ref="I474:I524" si="83">(SUMIF($9:$9,H474,$10:$10)-SUMIF($9:$9,$H$24,$10:$10)+100)/100</f>
        <v>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c r="Q474" s="21">
        <f t="shared" ref="Q474:Q524" si="87">(SUMIF($17:$17,P474,$18:$18)-SUMIF($17:$17,$P$24,$18:$18)+100)/100</f>
        <v>1</v>
      </c>
      <c r="R474" s="663">
        <f t="shared" ref="R474:R524" si="88">IF(B474="",0,ROUND($R$24*C474*E474*G474*I474*K474*M474*O474*Q474,0))</f>
        <v>0</v>
      </c>
      <c r="S474" s="316">
        <f t="shared" si="79"/>
        <v>0</v>
      </c>
    </row>
    <row r="475" spans="1:19">
      <c r="A475" s="150"/>
      <c r="B475" s="54"/>
      <c r="C475" s="21">
        <f t="shared" si="80"/>
        <v>1</v>
      </c>
      <c r="D475" s="667"/>
      <c r="E475" s="21">
        <f t="shared" si="81"/>
        <v>1</v>
      </c>
      <c r="F475" s="667"/>
      <c r="G475" s="21">
        <f t="shared" si="82"/>
        <v>1</v>
      </c>
      <c r="H475" s="667"/>
      <c r="I475" s="21">
        <f t="shared" si="83"/>
        <v>1</v>
      </c>
      <c r="J475" s="667"/>
      <c r="K475" s="21">
        <f t="shared" si="84"/>
        <v>1</v>
      </c>
      <c r="L475" s="667"/>
      <c r="M475" s="21">
        <f t="shared" si="85"/>
        <v>1</v>
      </c>
      <c r="N475" s="667"/>
      <c r="O475" s="21">
        <f t="shared" si="86"/>
        <v>1</v>
      </c>
      <c r="P475" s="667"/>
      <c r="Q475" s="21">
        <f t="shared" si="87"/>
        <v>1</v>
      </c>
      <c r="R475" s="663">
        <f t="shared" si="88"/>
        <v>0</v>
      </c>
      <c r="S475" s="316">
        <f t="shared" si="79"/>
        <v>0</v>
      </c>
    </row>
    <row r="476" spans="1:19">
      <c r="A476" s="150"/>
      <c r="B476" s="54"/>
      <c r="C476" s="21">
        <f t="shared" si="80"/>
        <v>1</v>
      </c>
      <c r="D476" s="667"/>
      <c r="E476" s="21">
        <f t="shared" si="81"/>
        <v>1</v>
      </c>
      <c r="F476" s="667"/>
      <c r="G476" s="21">
        <f t="shared" si="82"/>
        <v>1</v>
      </c>
      <c r="H476" s="667"/>
      <c r="I476" s="21">
        <f t="shared" si="83"/>
        <v>1</v>
      </c>
      <c r="J476" s="667"/>
      <c r="K476" s="21">
        <f t="shared" si="84"/>
        <v>1</v>
      </c>
      <c r="L476" s="667"/>
      <c r="M476" s="21">
        <f t="shared" si="85"/>
        <v>1</v>
      </c>
      <c r="N476" s="667"/>
      <c r="O476" s="21">
        <f t="shared" si="86"/>
        <v>1</v>
      </c>
      <c r="P476" s="667"/>
      <c r="Q476" s="21">
        <f t="shared" si="87"/>
        <v>1</v>
      </c>
      <c r="R476" s="663">
        <f t="shared" si="88"/>
        <v>0</v>
      </c>
      <c r="S476" s="316">
        <f t="shared" si="79"/>
        <v>0</v>
      </c>
    </row>
    <row r="477" spans="1:19">
      <c r="A477" s="150"/>
      <c r="B477" s="54"/>
      <c r="C477" s="21">
        <f t="shared" si="80"/>
        <v>1</v>
      </c>
      <c r="D477" s="667"/>
      <c r="E477" s="21">
        <f t="shared" si="81"/>
        <v>1</v>
      </c>
      <c r="F477" s="667"/>
      <c r="G477" s="21">
        <f t="shared" si="82"/>
        <v>1</v>
      </c>
      <c r="H477" s="667"/>
      <c r="I477" s="21">
        <f t="shared" si="83"/>
        <v>1</v>
      </c>
      <c r="J477" s="667"/>
      <c r="K477" s="21">
        <f t="shared" si="84"/>
        <v>1</v>
      </c>
      <c r="L477" s="667"/>
      <c r="M477" s="21">
        <f t="shared" si="85"/>
        <v>1</v>
      </c>
      <c r="N477" s="667"/>
      <c r="O477" s="21">
        <f t="shared" si="86"/>
        <v>1</v>
      </c>
      <c r="P477" s="667"/>
      <c r="Q477" s="21">
        <f t="shared" si="87"/>
        <v>1</v>
      </c>
      <c r="R477" s="663">
        <f t="shared" si="88"/>
        <v>0</v>
      </c>
      <c r="S477" s="316">
        <f t="shared" si="79"/>
        <v>0</v>
      </c>
    </row>
    <row r="478" spans="1:19">
      <c r="A478" s="150"/>
      <c r="B478" s="54"/>
      <c r="C478" s="21">
        <f t="shared" si="80"/>
        <v>1</v>
      </c>
      <c r="D478" s="667"/>
      <c r="E478" s="21">
        <f t="shared" si="81"/>
        <v>1</v>
      </c>
      <c r="F478" s="667"/>
      <c r="G478" s="21">
        <f t="shared" si="82"/>
        <v>1</v>
      </c>
      <c r="H478" s="667"/>
      <c r="I478" s="21">
        <f t="shared" si="83"/>
        <v>1</v>
      </c>
      <c r="J478" s="667"/>
      <c r="K478" s="21">
        <f t="shared" si="84"/>
        <v>1</v>
      </c>
      <c r="L478" s="667"/>
      <c r="M478" s="21">
        <f t="shared" si="85"/>
        <v>1</v>
      </c>
      <c r="N478" s="667"/>
      <c r="O478" s="21">
        <f t="shared" si="86"/>
        <v>1</v>
      </c>
      <c r="P478" s="667"/>
      <c r="Q478" s="21">
        <f t="shared" si="87"/>
        <v>1</v>
      </c>
      <c r="R478" s="663">
        <f t="shared" si="88"/>
        <v>0</v>
      </c>
      <c r="S478" s="316">
        <f t="shared" si="79"/>
        <v>0</v>
      </c>
    </row>
    <row r="479" spans="1:19">
      <c r="A479" s="150"/>
      <c r="B479" s="54"/>
      <c r="C479" s="21">
        <f t="shared" si="80"/>
        <v>1</v>
      </c>
      <c r="D479" s="667"/>
      <c r="E479" s="21">
        <f t="shared" si="81"/>
        <v>1</v>
      </c>
      <c r="F479" s="667"/>
      <c r="G479" s="21">
        <f t="shared" si="82"/>
        <v>1</v>
      </c>
      <c r="H479" s="667"/>
      <c r="I479" s="21">
        <f t="shared" si="83"/>
        <v>1</v>
      </c>
      <c r="J479" s="667"/>
      <c r="K479" s="21">
        <f t="shared" si="84"/>
        <v>1</v>
      </c>
      <c r="L479" s="667"/>
      <c r="M479" s="21">
        <f t="shared" si="85"/>
        <v>1</v>
      </c>
      <c r="N479" s="667"/>
      <c r="O479" s="21">
        <f t="shared" si="86"/>
        <v>1</v>
      </c>
      <c r="P479" s="667"/>
      <c r="Q479" s="21">
        <f t="shared" si="87"/>
        <v>1</v>
      </c>
      <c r="R479" s="663">
        <f t="shared" si="88"/>
        <v>0</v>
      </c>
      <c r="S479" s="316">
        <f t="shared" si="79"/>
        <v>0</v>
      </c>
    </row>
    <row r="480" spans="1:19">
      <c r="A480" s="150"/>
      <c r="B480" s="54"/>
      <c r="C480" s="21">
        <f t="shared" si="80"/>
        <v>1</v>
      </c>
      <c r="D480" s="667"/>
      <c r="E480" s="21">
        <f t="shared" si="81"/>
        <v>1</v>
      </c>
      <c r="F480" s="667"/>
      <c r="G480" s="21">
        <f t="shared" si="82"/>
        <v>1</v>
      </c>
      <c r="H480" s="667"/>
      <c r="I480" s="21">
        <f t="shared" si="83"/>
        <v>1</v>
      </c>
      <c r="J480" s="667"/>
      <c r="K480" s="21">
        <f t="shared" si="84"/>
        <v>1</v>
      </c>
      <c r="L480" s="667"/>
      <c r="M480" s="21">
        <f t="shared" si="85"/>
        <v>1</v>
      </c>
      <c r="N480" s="667"/>
      <c r="O480" s="21">
        <f t="shared" si="86"/>
        <v>1</v>
      </c>
      <c r="P480" s="667"/>
      <c r="Q480" s="21">
        <f t="shared" si="87"/>
        <v>1</v>
      </c>
      <c r="R480" s="663">
        <f t="shared" si="88"/>
        <v>0</v>
      </c>
      <c r="S480" s="316">
        <f t="shared" si="79"/>
        <v>0</v>
      </c>
    </row>
    <row r="481" spans="1:19">
      <c r="A481" s="150"/>
      <c r="B481" s="54"/>
      <c r="C481" s="21">
        <f t="shared" si="80"/>
        <v>1</v>
      </c>
      <c r="D481" s="667"/>
      <c r="E481" s="21">
        <f t="shared" si="81"/>
        <v>1</v>
      </c>
      <c r="F481" s="667"/>
      <c r="G481" s="21">
        <f t="shared" si="82"/>
        <v>1</v>
      </c>
      <c r="H481" s="667"/>
      <c r="I481" s="21">
        <f t="shared" si="83"/>
        <v>1</v>
      </c>
      <c r="J481" s="667"/>
      <c r="K481" s="21">
        <f t="shared" si="84"/>
        <v>1</v>
      </c>
      <c r="L481" s="667"/>
      <c r="M481" s="21">
        <f t="shared" si="85"/>
        <v>1</v>
      </c>
      <c r="N481" s="667"/>
      <c r="O481" s="21">
        <f t="shared" si="86"/>
        <v>1</v>
      </c>
      <c r="P481" s="667"/>
      <c r="Q481" s="21">
        <f t="shared" si="87"/>
        <v>1</v>
      </c>
      <c r="R481" s="663">
        <f t="shared" si="88"/>
        <v>0</v>
      </c>
      <c r="S481" s="316">
        <f t="shared" si="79"/>
        <v>0</v>
      </c>
    </row>
    <row r="482" spans="1:19">
      <c r="A482" s="150"/>
      <c r="B482" s="54"/>
      <c r="C482" s="21">
        <f t="shared" si="80"/>
        <v>1</v>
      </c>
      <c r="D482" s="667"/>
      <c r="E482" s="21">
        <f t="shared" si="81"/>
        <v>1</v>
      </c>
      <c r="F482" s="667"/>
      <c r="G482" s="21">
        <f t="shared" si="82"/>
        <v>1</v>
      </c>
      <c r="H482" s="667"/>
      <c r="I482" s="21">
        <f t="shared" si="83"/>
        <v>1</v>
      </c>
      <c r="J482" s="667"/>
      <c r="K482" s="21">
        <f t="shared" si="84"/>
        <v>1</v>
      </c>
      <c r="L482" s="667"/>
      <c r="M482" s="21">
        <f t="shared" si="85"/>
        <v>1</v>
      </c>
      <c r="N482" s="667"/>
      <c r="O482" s="21">
        <f t="shared" si="86"/>
        <v>1</v>
      </c>
      <c r="P482" s="667"/>
      <c r="Q482" s="21">
        <f t="shared" si="87"/>
        <v>1</v>
      </c>
      <c r="R482" s="663">
        <f t="shared" si="88"/>
        <v>0</v>
      </c>
      <c r="S482" s="316">
        <f t="shared" si="79"/>
        <v>0</v>
      </c>
    </row>
    <row r="483" spans="1:19">
      <c r="A483" s="150"/>
      <c r="B483" s="54"/>
      <c r="C483" s="21">
        <f t="shared" si="80"/>
        <v>1</v>
      </c>
      <c r="D483" s="667"/>
      <c r="E483" s="21">
        <f t="shared" si="81"/>
        <v>1</v>
      </c>
      <c r="F483" s="667"/>
      <c r="G483" s="21">
        <f t="shared" si="82"/>
        <v>1</v>
      </c>
      <c r="H483" s="667"/>
      <c r="I483" s="21">
        <f t="shared" si="83"/>
        <v>1</v>
      </c>
      <c r="J483" s="667"/>
      <c r="K483" s="21">
        <f t="shared" si="84"/>
        <v>1</v>
      </c>
      <c r="L483" s="667"/>
      <c r="M483" s="21">
        <f t="shared" si="85"/>
        <v>1</v>
      </c>
      <c r="N483" s="667"/>
      <c r="O483" s="21">
        <f t="shared" si="86"/>
        <v>1</v>
      </c>
      <c r="P483" s="667"/>
      <c r="Q483" s="21">
        <f t="shared" si="87"/>
        <v>1</v>
      </c>
      <c r="R483" s="663">
        <f t="shared" si="88"/>
        <v>0</v>
      </c>
      <c r="S483" s="316">
        <f t="shared" si="79"/>
        <v>0</v>
      </c>
    </row>
    <row r="484" spans="1:19">
      <c r="A484" s="150"/>
      <c r="B484" s="54"/>
      <c r="C484" s="21">
        <f t="shared" si="80"/>
        <v>1</v>
      </c>
      <c r="D484" s="667"/>
      <c r="E484" s="21">
        <f t="shared" si="81"/>
        <v>1</v>
      </c>
      <c r="F484" s="667"/>
      <c r="G484" s="21">
        <f t="shared" si="82"/>
        <v>1</v>
      </c>
      <c r="H484" s="667"/>
      <c r="I484" s="21">
        <f t="shared" si="83"/>
        <v>1</v>
      </c>
      <c r="J484" s="667"/>
      <c r="K484" s="21">
        <f t="shared" si="84"/>
        <v>1</v>
      </c>
      <c r="L484" s="667"/>
      <c r="M484" s="21">
        <f t="shared" si="85"/>
        <v>1</v>
      </c>
      <c r="N484" s="667"/>
      <c r="O484" s="21">
        <f t="shared" si="86"/>
        <v>1</v>
      </c>
      <c r="P484" s="667"/>
      <c r="Q484" s="21">
        <f t="shared" si="87"/>
        <v>1</v>
      </c>
      <c r="R484" s="663">
        <f t="shared" si="88"/>
        <v>0</v>
      </c>
      <c r="S484" s="316">
        <f t="shared" si="79"/>
        <v>0</v>
      </c>
    </row>
    <row r="485" spans="1:19">
      <c r="A485" s="150"/>
      <c r="B485" s="54"/>
      <c r="C485" s="21">
        <f t="shared" si="80"/>
        <v>1</v>
      </c>
      <c r="D485" s="667"/>
      <c r="E485" s="21">
        <f t="shared" si="81"/>
        <v>1</v>
      </c>
      <c r="F485" s="667"/>
      <c r="G485" s="21">
        <f t="shared" si="82"/>
        <v>1</v>
      </c>
      <c r="H485" s="667"/>
      <c r="I485" s="21">
        <f t="shared" si="83"/>
        <v>1</v>
      </c>
      <c r="J485" s="667"/>
      <c r="K485" s="21">
        <f t="shared" si="84"/>
        <v>1</v>
      </c>
      <c r="L485" s="667"/>
      <c r="M485" s="21">
        <f t="shared" si="85"/>
        <v>1</v>
      </c>
      <c r="N485" s="667"/>
      <c r="O485" s="21">
        <f t="shared" si="86"/>
        <v>1</v>
      </c>
      <c r="P485" s="667"/>
      <c r="Q485" s="21">
        <f t="shared" si="87"/>
        <v>1</v>
      </c>
      <c r="R485" s="663">
        <f t="shared" si="88"/>
        <v>0</v>
      </c>
      <c r="S485" s="316">
        <f t="shared" si="79"/>
        <v>0</v>
      </c>
    </row>
    <row r="486" spans="1:19">
      <c r="A486" s="150"/>
      <c r="B486" s="54"/>
      <c r="C486" s="21">
        <f t="shared" si="80"/>
        <v>1</v>
      </c>
      <c r="D486" s="667"/>
      <c r="E486" s="21">
        <f t="shared" si="81"/>
        <v>1</v>
      </c>
      <c r="F486" s="667"/>
      <c r="G486" s="21">
        <f t="shared" si="82"/>
        <v>1</v>
      </c>
      <c r="H486" s="667"/>
      <c r="I486" s="21">
        <f t="shared" si="83"/>
        <v>1</v>
      </c>
      <c r="J486" s="667"/>
      <c r="K486" s="21">
        <f t="shared" si="84"/>
        <v>1</v>
      </c>
      <c r="L486" s="667"/>
      <c r="M486" s="21">
        <f t="shared" si="85"/>
        <v>1</v>
      </c>
      <c r="N486" s="667"/>
      <c r="O486" s="21">
        <f t="shared" si="86"/>
        <v>1</v>
      </c>
      <c r="P486" s="667"/>
      <c r="Q486" s="21">
        <f t="shared" si="87"/>
        <v>1</v>
      </c>
      <c r="R486" s="663">
        <f t="shared" si="88"/>
        <v>0</v>
      </c>
      <c r="S486" s="316">
        <f t="shared" si="79"/>
        <v>0</v>
      </c>
    </row>
    <row r="487" spans="1:19">
      <c r="A487" s="150"/>
      <c r="B487" s="54"/>
      <c r="C487" s="21">
        <f t="shared" si="80"/>
        <v>1</v>
      </c>
      <c r="D487" s="667"/>
      <c r="E487" s="21">
        <f t="shared" si="81"/>
        <v>1</v>
      </c>
      <c r="F487" s="667"/>
      <c r="G487" s="21">
        <f t="shared" si="82"/>
        <v>1</v>
      </c>
      <c r="H487" s="667"/>
      <c r="I487" s="21">
        <f t="shared" si="83"/>
        <v>1</v>
      </c>
      <c r="J487" s="667"/>
      <c r="K487" s="21">
        <f t="shared" si="84"/>
        <v>1</v>
      </c>
      <c r="L487" s="667"/>
      <c r="M487" s="21">
        <f t="shared" si="85"/>
        <v>1</v>
      </c>
      <c r="N487" s="667"/>
      <c r="O487" s="21">
        <f t="shared" si="86"/>
        <v>1</v>
      </c>
      <c r="P487" s="667"/>
      <c r="Q487" s="21">
        <f t="shared" si="87"/>
        <v>1</v>
      </c>
      <c r="R487" s="663">
        <f t="shared" si="88"/>
        <v>0</v>
      </c>
      <c r="S487" s="316">
        <f t="shared" si="79"/>
        <v>0</v>
      </c>
    </row>
    <row r="488" spans="1:19">
      <c r="A488" s="150"/>
      <c r="B488" s="54"/>
      <c r="C488" s="21">
        <f t="shared" si="80"/>
        <v>1</v>
      </c>
      <c r="D488" s="667"/>
      <c r="E488" s="21">
        <f t="shared" si="81"/>
        <v>1</v>
      </c>
      <c r="F488" s="667"/>
      <c r="G488" s="21">
        <f t="shared" si="82"/>
        <v>1</v>
      </c>
      <c r="H488" s="667"/>
      <c r="I488" s="21">
        <f t="shared" si="83"/>
        <v>1</v>
      </c>
      <c r="J488" s="667"/>
      <c r="K488" s="21">
        <f t="shared" si="84"/>
        <v>1</v>
      </c>
      <c r="L488" s="667"/>
      <c r="M488" s="21">
        <f t="shared" si="85"/>
        <v>1</v>
      </c>
      <c r="N488" s="667"/>
      <c r="O488" s="21">
        <f t="shared" si="86"/>
        <v>1</v>
      </c>
      <c r="P488" s="667"/>
      <c r="Q488" s="21">
        <f t="shared" si="87"/>
        <v>1</v>
      </c>
      <c r="R488" s="663">
        <f t="shared" si="88"/>
        <v>0</v>
      </c>
      <c r="S488" s="316">
        <f t="shared" si="79"/>
        <v>0</v>
      </c>
    </row>
    <row r="489" spans="1:19">
      <c r="A489" s="150"/>
      <c r="B489" s="54"/>
      <c r="C489" s="21">
        <f t="shared" si="80"/>
        <v>1</v>
      </c>
      <c r="D489" s="667"/>
      <c r="E489" s="21">
        <f t="shared" si="81"/>
        <v>1</v>
      </c>
      <c r="F489" s="667"/>
      <c r="G489" s="21">
        <f t="shared" si="82"/>
        <v>1</v>
      </c>
      <c r="H489" s="667"/>
      <c r="I489" s="21">
        <f t="shared" si="83"/>
        <v>1</v>
      </c>
      <c r="J489" s="667"/>
      <c r="K489" s="21">
        <f t="shared" si="84"/>
        <v>1</v>
      </c>
      <c r="L489" s="667"/>
      <c r="M489" s="21">
        <f t="shared" si="85"/>
        <v>1</v>
      </c>
      <c r="N489" s="667"/>
      <c r="O489" s="21">
        <f t="shared" si="86"/>
        <v>1</v>
      </c>
      <c r="P489" s="667"/>
      <c r="Q489" s="21">
        <f t="shared" si="87"/>
        <v>1</v>
      </c>
      <c r="R489" s="663">
        <f t="shared" si="88"/>
        <v>0</v>
      </c>
      <c r="S489" s="316">
        <f t="shared" si="79"/>
        <v>0</v>
      </c>
    </row>
    <row r="490" spans="1:19">
      <c r="A490" s="150"/>
      <c r="B490" s="54"/>
      <c r="C490" s="21">
        <f t="shared" si="80"/>
        <v>1</v>
      </c>
      <c r="D490" s="667"/>
      <c r="E490" s="21">
        <f t="shared" si="81"/>
        <v>1</v>
      </c>
      <c r="F490" s="667"/>
      <c r="G490" s="21">
        <f t="shared" si="82"/>
        <v>1</v>
      </c>
      <c r="H490" s="667"/>
      <c r="I490" s="21">
        <f t="shared" si="83"/>
        <v>1</v>
      </c>
      <c r="J490" s="667"/>
      <c r="K490" s="21">
        <f t="shared" si="84"/>
        <v>1</v>
      </c>
      <c r="L490" s="667"/>
      <c r="M490" s="21">
        <f t="shared" si="85"/>
        <v>1</v>
      </c>
      <c r="N490" s="667"/>
      <c r="O490" s="21">
        <f t="shared" si="86"/>
        <v>1</v>
      </c>
      <c r="P490" s="667"/>
      <c r="Q490" s="21">
        <f t="shared" si="87"/>
        <v>1</v>
      </c>
      <c r="R490" s="663">
        <f t="shared" si="88"/>
        <v>0</v>
      </c>
      <c r="S490" s="316">
        <f t="shared" si="79"/>
        <v>0</v>
      </c>
    </row>
    <row r="491" spans="1:19">
      <c r="A491" s="150"/>
      <c r="B491" s="54"/>
      <c r="C491" s="21">
        <f t="shared" si="80"/>
        <v>1</v>
      </c>
      <c r="D491" s="667"/>
      <c r="E491" s="21">
        <f t="shared" si="81"/>
        <v>1</v>
      </c>
      <c r="F491" s="667"/>
      <c r="G491" s="21">
        <f t="shared" si="82"/>
        <v>1</v>
      </c>
      <c r="H491" s="667"/>
      <c r="I491" s="21">
        <f t="shared" si="83"/>
        <v>1</v>
      </c>
      <c r="J491" s="667"/>
      <c r="K491" s="21">
        <f t="shared" si="84"/>
        <v>1</v>
      </c>
      <c r="L491" s="667"/>
      <c r="M491" s="21">
        <f t="shared" si="85"/>
        <v>1</v>
      </c>
      <c r="N491" s="667"/>
      <c r="O491" s="21">
        <f t="shared" si="86"/>
        <v>1</v>
      </c>
      <c r="P491" s="667"/>
      <c r="Q491" s="21">
        <f t="shared" si="87"/>
        <v>1</v>
      </c>
      <c r="R491" s="663">
        <f t="shared" si="88"/>
        <v>0</v>
      </c>
      <c r="S491" s="316">
        <f t="shared" si="79"/>
        <v>0</v>
      </c>
    </row>
    <row r="492" spans="1:19">
      <c r="A492" s="150"/>
      <c r="B492" s="54"/>
      <c r="C492" s="21">
        <f t="shared" si="80"/>
        <v>1</v>
      </c>
      <c r="D492" s="667"/>
      <c r="E492" s="21">
        <f t="shared" si="81"/>
        <v>1</v>
      </c>
      <c r="F492" s="667"/>
      <c r="G492" s="21">
        <f t="shared" si="82"/>
        <v>1</v>
      </c>
      <c r="H492" s="667"/>
      <c r="I492" s="21">
        <f t="shared" si="83"/>
        <v>1</v>
      </c>
      <c r="J492" s="667"/>
      <c r="K492" s="21">
        <f t="shared" si="84"/>
        <v>1</v>
      </c>
      <c r="L492" s="667"/>
      <c r="M492" s="21">
        <f t="shared" si="85"/>
        <v>1</v>
      </c>
      <c r="N492" s="667"/>
      <c r="O492" s="21">
        <f t="shared" si="86"/>
        <v>1</v>
      </c>
      <c r="P492" s="667"/>
      <c r="Q492" s="21">
        <f t="shared" si="87"/>
        <v>1</v>
      </c>
      <c r="R492" s="663">
        <f t="shared" si="88"/>
        <v>0</v>
      </c>
      <c r="S492" s="316">
        <f t="shared" si="79"/>
        <v>0</v>
      </c>
    </row>
    <row r="493" spans="1:19">
      <c r="A493" s="150"/>
      <c r="B493" s="54"/>
      <c r="C493" s="21">
        <f t="shared" si="80"/>
        <v>1</v>
      </c>
      <c r="D493" s="667"/>
      <c r="E493" s="21">
        <f t="shared" si="81"/>
        <v>1</v>
      </c>
      <c r="F493" s="667"/>
      <c r="G493" s="21">
        <f t="shared" si="82"/>
        <v>1</v>
      </c>
      <c r="H493" s="667"/>
      <c r="I493" s="21">
        <f t="shared" si="83"/>
        <v>1</v>
      </c>
      <c r="J493" s="667"/>
      <c r="K493" s="21">
        <f t="shared" si="84"/>
        <v>1</v>
      </c>
      <c r="L493" s="667"/>
      <c r="M493" s="21">
        <f t="shared" si="85"/>
        <v>1</v>
      </c>
      <c r="N493" s="667"/>
      <c r="O493" s="21">
        <f t="shared" si="86"/>
        <v>1</v>
      </c>
      <c r="P493" s="667"/>
      <c r="Q493" s="21">
        <f t="shared" si="87"/>
        <v>1</v>
      </c>
      <c r="R493" s="663">
        <f t="shared" si="88"/>
        <v>0</v>
      </c>
      <c r="S493" s="316">
        <f t="shared" si="79"/>
        <v>0</v>
      </c>
    </row>
    <row r="494" spans="1:19">
      <c r="A494" s="150"/>
      <c r="B494" s="54"/>
      <c r="C494" s="21">
        <f t="shared" si="80"/>
        <v>1</v>
      </c>
      <c r="D494" s="667"/>
      <c r="E494" s="21">
        <f t="shared" si="81"/>
        <v>1</v>
      </c>
      <c r="F494" s="667"/>
      <c r="G494" s="21">
        <f t="shared" si="82"/>
        <v>1</v>
      </c>
      <c r="H494" s="667"/>
      <c r="I494" s="21">
        <f t="shared" si="83"/>
        <v>1</v>
      </c>
      <c r="J494" s="667"/>
      <c r="K494" s="21">
        <f t="shared" si="84"/>
        <v>1</v>
      </c>
      <c r="L494" s="667"/>
      <c r="M494" s="21">
        <f t="shared" si="85"/>
        <v>1</v>
      </c>
      <c r="N494" s="667"/>
      <c r="O494" s="21">
        <f t="shared" si="86"/>
        <v>1</v>
      </c>
      <c r="P494" s="667"/>
      <c r="Q494" s="21">
        <f t="shared" si="87"/>
        <v>1</v>
      </c>
      <c r="R494" s="663">
        <f t="shared" si="88"/>
        <v>0</v>
      </c>
      <c r="S494" s="316">
        <f t="shared" si="79"/>
        <v>0</v>
      </c>
    </row>
    <row r="495" spans="1:19">
      <c r="A495" s="150"/>
      <c r="B495" s="54"/>
      <c r="C495" s="21">
        <f t="shared" si="80"/>
        <v>1</v>
      </c>
      <c r="D495" s="667"/>
      <c r="E495" s="21">
        <f t="shared" si="81"/>
        <v>1</v>
      </c>
      <c r="F495" s="667"/>
      <c r="G495" s="21">
        <f t="shared" si="82"/>
        <v>1</v>
      </c>
      <c r="H495" s="667"/>
      <c r="I495" s="21">
        <f t="shared" si="83"/>
        <v>1</v>
      </c>
      <c r="J495" s="667"/>
      <c r="K495" s="21">
        <f t="shared" si="84"/>
        <v>1</v>
      </c>
      <c r="L495" s="667"/>
      <c r="M495" s="21">
        <f t="shared" si="85"/>
        <v>1</v>
      </c>
      <c r="N495" s="667"/>
      <c r="O495" s="21">
        <f t="shared" si="86"/>
        <v>1</v>
      </c>
      <c r="P495" s="667"/>
      <c r="Q495" s="21">
        <f t="shared" si="87"/>
        <v>1</v>
      </c>
      <c r="R495" s="663">
        <f t="shared" si="88"/>
        <v>0</v>
      </c>
      <c r="S495" s="316">
        <f t="shared" si="79"/>
        <v>0</v>
      </c>
    </row>
    <row r="496" spans="1:19">
      <c r="A496" s="150"/>
      <c r="B496" s="54"/>
      <c r="C496" s="21">
        <f t="shared" si="80"/>
        <v>1</v>
      </c>
      <c r="D496" s="667"/>
      <c r="E496" s="21">
        <f t="shared" si="81"/>
        <v>1</v>
      </c>
      <c r="F496" s="667"/>
      <c r="G496" s="21">
        <f t="shared" si="82"/>
        <v>1</v>
      </c>
      <c r="H496" s="667"/>
      <c r="I496" s="21">
        <f t="shared" si="83"/>
        <v>1</v>
      </c>
      <c r="J496" s="667"/>
      <c r="K496" s="21">
        <f t="shared" si="84"/>
        <v>1</v>
      </c>
      <c r="L496" s="667"/>
      <c r="M496" s="21">
        <f t="shared" si="85"/>
        <v>1</v>
      </c>
      <c r="N496" s="667"/>
      <c r="O496" s="21">
        <f t="shared" si="86"/>
        <v>1</v>
      </c>
      <c r="P496" s="667"/>
      <c r="Q496" s="21">
        <f t="shared" si="87"/>
        <v>1</v>
      </c>
      <c r="R496" s="663">
        <f t="shared" si="88"/>
        <v>0</v>
      </c>
      <c r="S496" s="316">
        <f t="shared" si="79"/>
        <v>0</v>
      </c>
    </row>
    <row r="497" spans="1:19">
      <c r="A497" s="150"/>
      <c r="B497" s="54"/>
      <c r="C497" s="21">
        <f t="shared" si="80"/>
        <v>1</v>
      </c>
      <c r="D497" s="667"/>
      <c r="E497" s="21">
        <f t="shared" si="81"/>
        <v>1</v>
      </c>
      <c r="F497" s="667"/>
      <c r="G497" s="21">
        <f t="shared" si="82"/>
        <v>1</v>
      </c>
      <c r="H497" s="667"/>
      <c r="I497" s="21">
        <f t="shared" si="83"/>
        <v>1</v>
      </c>
      <c r="J497" s="667"/>
      <c r="K497" s="21">
        <f t="shared" si="84"/>
        <v>1</v>
      </c>
      <c r="L497" s="667"/>
      <c r="M497" s="21">
        <f t="shared" si="85"/>
        <v>1</v>
      </c>
      <c r="N497" s="667"/>
      <c r="O497" s="21">
        <f t="shared" si="86"/>
        <v>1</v>
      </c>
      <c r="P497" s="667"/>
      <c r="Q497" s="21">
        <f t="shared" si="87"/>
        <v>1</v>
      </c>
      <c r="R497" s="663">
        <f t="shared" si="88"/>
        <v>0</v>
      </c>
      <c r="S497" s="316">
        <f t="shared" si="79"/>
        <v>0</v>
      </c>
    </row>
    <row r="498" spans="1:19">
      <c r="A498" s="150"/>
      <c r="B498" s="54"/>
      <c r="C498" s="21">
        <f t="shared" si="80"/>
        <v>1</v>
      </c>
      <c r="D498" s="667"/>
      <c r="E498" s="21">
        <f t="shared" si="81"/>
        <v>1</v>
      </c>
      <c r="F498" s="667"/>
      <c r="G498" s="21">
        <f t="shared" si="82"/>
        <v>1</v>
      </c>
      <c r="H498" s="667"/>
      <c r="I498" s="21">
        <f t="shared" si="83"/>
        <v>1</v>
      </c>
      <c r="J498" s="667"/>
      <c r="K498" s="21">
        <f t="shared" si="84"/>
        <v>1</v>
      </c>
      <c r="L498" s="667"/>
      <c r="M498" s="21">
        <f t="shared" si="85"/>
        <v>1</v>
      </c>
      <c r="N498" s="667"/>
      <c r="O498" s="21">
        <f t="shared" si="86"/>
        <v>1</v>
      </c>
      <c r="P498" s="667"/>
      <c r="Q498" s="21">
        <f t="shared" si="87"/>
        <v>1</v>
      </c>
      <c r="R498" s="663">
        <f t="shared" si="88"/>
        <v>0</v>
      </c>
      <c r="S498" s="316">
        <f t="shared" ref="S498:S524" si="89">ROUND(R498*B498/10000,0)</f>
        <v>0</v>
      </c>
    </row>
    <row r="499" spans="1:19">
      <c r="A499" s="150"/>
      <c r="B499" s="54"/>
      <c r="C499" s="21">
        <f t="shared" si="80"/>
        <v>1</v>
      </c>
      <c r="D499" s="667"/>
      <c r="E499" s="21">
        <f t="shared" si="81"/>
        <v>1</v>
      </c>
      <c r="F499" s="667"/>
      <c r="G499" s="21">
        <f t="shared" si="82"/>
        <v>1</v>
      </c>
      <c r="H499" s="667"/>
      <c r="I499" s="21">
        <f t="shared" si="83"/>
        <v>1</v>
      </c>
      <c r="J499" s="667"/>
      <c r="K499" s="21">
        <f t="shared" si="84"/>
        <v>1</v>
      </c>
      <c r="L499" s="667"/>
      <c r="M499" s="21">
        <f t="shared" si="85"/>
        <v>1</v>
      </c>
      <c r="N499" s="667"/>
      <c r="O499" s="21">
        <f t="shared" si="86"/>
        <v>1</v>
      </c>
      <c r="P499" s="667"/>
      <c r="Q499" s="21">
        <f t="shared" si="87"/>
        <v>1</v>
      </c>
      <c r="R499" s="663">
        <f t="shared" si="88"/>
        <v>0</v>
      </c>
      <c r="S499" s="316">
        <f t="shared" si="89"/>
        <v>0</v>
      </c>
    </row>
    <row r="500" spans="1:19">
      <c r="A500" s="150"/>
      <c r="B500" s="54"/>
      <c r="C500" s="21">
        <f t="shared" si="80"/>
        <v>1</v>
      </c>
      <c r="D500" s="667"/>
      <c r="E500" s="21">
        <f t="shared" si="81"/>
        <v>1</v>
      </c>
      <c r="F500" s="667"/>
      <c r="G500" s="21">
        <f t="shared" si="82"/>
        <v>1</v>
      </c>
      <c r="H500" s="667"/>
      <c r="I500" s="21">
        <f t="shared" si="83"/>
        <v>1</v>
      </c>
      <c r="J500" s="667"/>
      <c r="K500" s="21">
        <f t="shared" si="84"/>
        <v>1</v>
      </c>
      <c r="L500" s="667"/>
      <c r="M500" s="21">
        <f t="shared" si="85"/>
        <v>1</v>
      </c>
      <c r="N500" s="667"/>
      <c r="O500" s="21">
        <f t="shared" si="86"/>
        <v>1</v>
      </c>
      <c r="P500" s="667"/>
      <c r="Q500" s="21">
        <f t="shared" si="87"/>
        <v>1</v>
      </c>
      <c r="R500" s="663">
        <f t="shared" si="88"/>
        <v>0</v>
      </c>
      <c r="S500" s="316">
        <f t="shared" si="89"/>
        <v>0</v>
      </c>
    </row>
    <row r="501" spans="1:19">
      <c r="A501" s="150"/>
      <c r="B501" s="54"/>
      <c r="C501" s="21">
        <f t="shared" si="80"/>
        <v>1</v>
      </c>
      <c r="D501" s="667"/>
      <c r="E501" s="21">
        <f t="shared" si="81"/>
        <v>1</v>
      </c>
      <c r="F501" s="667"/>
      <c r="G501" s="21">
        <f t="shared" si="82"/>
        <v>1</v>
      </c>
      <c r="H501" s="667"/>
      <c r="I501" s="21">
        <f t="shared" si="83"/>
        <v>1</v>
      </c>
      <c r="J501" s="667"/>
      <c r="K501" s="21">
        <f t="shared" si="84"/>
        <v>1</v>
      </c>
      <c r="L501" s="667"/>
      <c r="M501" s="21">
        <f t="shared" si="85"/>
        <v>1</v>
      </c>
      <c r="N501" s="667"/>
      <c r="O501" s="21">
        <f t="shared" si="86"/>
        <v>1</v>
      </c>
      <c r="P501" s="667"/>
      <c r="Q501" s="21">
        <f t="shared" si="87"/>
        <v>1</v>
      </c>
      <c r="R501" s="663">
        <f t="shared" si="88"/>
        <v>0</v>
      </c>
      <c r="S501" s="316">
        <f t="shared" si="89"/>
        <v>0</v>
      </c>
    </row>
    <row r="502" spans="1:19">
      <c r="A502" s="150"/>
      <c r="B502" s="54"/>
      <c r="C502" s="21">
        <f t="shared" si="80"/>
        <v>1</v>
      </c>
      <c r="D502" s="667"/>
      <c r="E502" s="21">
        <f t="shared" si="81"/>
        <v>1</v>
      </c>
      <c r="F502" s="667"/>
      <c r="G502" s="21">
        <f t="shared" si="82"/>
        <v>1</v>
      </c>
      <c r="H502" s="667"/>
      <c r="I502" s="21">
        <f t="shared" si="83"/>
        <v>1</v>
      </c>
      <c r="J502" s="667"/>
      <c r="K502" s="21">
        <f t="shared" si="84"/>
        <v>1</v>
      </c>
      <c r="L502" s="667"/>
      <c r="M502" s="21">
        <f t="shared" si="85"/>
        <v>1</v>
      </c>
      <c r="N502" s="667"/>
      <c r="O502" s="21">
        <f t="shared" si="86"/>
        <v>1</v>
      </c>
      <c r="P502" s="667"/>
      <c r="Q502" s="21">
        <f t="shared" si="87"/>
        <v>1</v>
      </c>
      <c r="R502" s="663">
        <f t="shared" si="88"/>
        <v>0</v>
      </c>
      <c r="S502" s="316">
        <f t="shared" si="89"/>
        <v>0</v>
      </c>
    </row>
    <row r="503" spans="1:19">
      <c r="A503" s="150"/>
      <c r="B503" s="54"/>
      <c r="C503" s="21">
        <f t="shared" si="80"/>
        <v>1</v>
      </c>
      <c r="D503" s="667"/>
      <c r="E503" s="21">
        <f t="shared" si="81"/>
        <v>1</v>
      </c>
      <c r="F503" s="667"/>
      <c r="G503" s="21">
        <f t="shared" si="82"/>
        <v>1</v>
      </c>
      <c r="H503" s="667"/>
      <c r="I503" s="21">
        <f t="shared" si="83"/>
        <v>1</v>
      </c>
      <c r="J503" s="667"/>
      <c r="K503" s="21">
        <f t="shared" si="84"/>
        <v>1</v>
      </c>
      <c r="L503" s="667"/>
      <c r="M503" s="21">
        <f t="shared" si="85"/>
        <v>1</v>
      </c>
      <c r="N503" s="667"/>
      <c r="O503" s="21">
        <f t="shared" si="86"/>
        <v>1</v>
      </c>
      <c r="P503" s="667"/>
      <c r="Q503" s="21">
        <f t="shared" si="87"/>
        <v>1</v>
      </c>
      <c r="R503" s="663">
        <f t="shared" si="88"/>
        <v>0</v>
      </c>
      <c r="S503" s="316">
        <f t="shared" si="89"/>
        <v>0</v>
      </c>
    </row>
    <row r="504" spans="1:19">
      <c r="A504" s="150"/>
      <c r="B504" s="54"/>
      <c r="C504" s="21">
        <f t="shared" si="80"/>
        <v>1</v>
      </c>
      <c r="D504" s="667"/>
      <c r="E504" s="21">
        <f t="shared" si="81"/>
        <v>1</v>
      </c>
      <c r="F504" s="667"/>
      <c r="G504" s="21">
        <f t="shared" si="82"/>
        <v>1</v>
      </c>
      <c r="H504" s="667"/>
      <c r="I504" s="21">
        <f t="shared" si="83"/>
        <v>1</v>
      </c>
      <c r="J504" s="667"/>
      <c r="K504" s="21">
        <f t="shared" si="84"/>
        <v>1</v>
      </c>
      <c r="L504" s="667"/>
      <c r="M504" s="21">
        <f t="shared" si="85"/>
        <v>1</v>
      </c>
      <c r="N504" s="667"/>
      <c r="O504" s="21">
        <f t="shared" si="86"/>
        <v>1</v>
      </c>
      <c r="P504" s="667"/>
      <c r="Q504" s="21">
        <f t="shared" si="87"/>
        <v>1</v>
      </c>
      <c r="R504" s="663">
        <f t="shared" si="88"/>
        <v>0</v>
      </c>
      <c r="S504" s="316">
        <f t="shared" si="89"/>
        <v>0</v>
      </c>
    </row>
    <row r="505" spans="1:19">
      <c r="A505" s="150"/>
      <c r="B505" s="54"/>
      <c r="C505" s="21">
        <f t="shared" si="80"/>
        <v>1</v>
      </c>
      <c r="D505" s="667"/>
      <c r="E505" s="21">
        <f t="shared" si="81"/>
        <v>1</v>
      </c>
      <c r="F505" s="667"/>
      <c r="G505" s="21">
        <f t="shared" si="82"/>
        <v>1</v>
      </c>
      <c r="H505" s="667"/>
      <c r="I505" s="21">
        <f t="shared" si="83"/>
        <v>1</v>
      </c>
      <c r="J505" s="667"/>
      <c r="K505" s="21">
        <f t="shared" si="84"/>
        <v>1</v>
      </c>
      <c r="L505" s="667"/>
      <c r="M505" s="21">
        <f t="shared" si="85"/>
        <v>1</v>
      </c>
      <c r="N505" s="667"/>
      <c r="O505" s="21">
        <f t="shared" si="86"/>
        <v>1</v>
      </c>
      <c r="P505" s="667"/>
      <c r="Q505" s="21">
        <f t="shared" si="87"/>
        <v>1</v>
      </c>
      <c r="R505" s="663">
        <f t="shared" si="88"/>
        <v>0</v>
      </c>
      <c r="S505" s="316">
        <f t="shared" si="89"/>
        <v>0</v>
      </c>
    </row>
    <row r="506" spans="1:19">
      <c r="A506" s="150"/>
      <c r="B506" s="54"/>
      <c r="C506" s="21">
        <f t="shared" si="80"/>
        <v>1</v>
      </c>
      <c r="D506" s="667"/>
      <c r="E506" s="21">
        <f t="shared" si="81"/>
        <v>1</v>
      </c>
      <c r="F506" s="667"/>
      <c r="G506" s="21">
        <f t="shared" si="82"/>
        <v>1</v>
      </c>
      <c r="H506" s="667"/>
      <c r="I506" s="21">
        <f t="shared" si="83"/>
        <v>1</v>
      </c>
      <c r="J506" s="667"/>
      <c r="K506" s="21">
        <f t="shared" si="84"/>
        <v>1</v>
      </c>
      <c r="L506" s="667"/>
      <c r="M506" s="21">
        <f t="shared" si="85"/>
        <v>1</v>
      </c>
      <c r="N506" s="667"/>
      <c r="O506" s="21">
        <f t="shared" si="86"/>
        <v>1</v>
      </c>
      <c r="P506" s="667"/>
      <c r="Q506" s="21">
        <f t="shared" si="87"/>
        <v>1</v>
      </c>
      <c r="R506" s="663">
        <f t="shared" si="88"/>
        <v>0</v>
      </c>
      <c r="S506" s="316">
        <f t="shared" si="89"/>
        <v>0</v>
      </c>
    </row>
    <row r="507" spans="1:19">
      <c r="A507" s="150"/>
      <c r="B507" s="54"/>
      <c r="C507" s="21">
        <f t="shared" si="80"/>
        <v>1</v>
      </c>
      <c r="D507" s="667"/>
      <c r="E507" s="21">
        <f t="shared" si="81"/>
        <v>1</v>
      </c>
      <c r="F507" s="667"/>
      <c r="G507" s="21">
        <f t="shared" si="82"/>
        <v>1</v>
      </c>
      <c r="H507" s="667"/>
      <c r="I507" s="21">
        <f t="shared" si="83"/>
        <v>1</v>
      </c>
      <c r="J507" s="667"/>
      <c r="K507" s="21">
        <f t="shared" si="84"/>
        <v>1</v>
      </c>
      <c r="L507" s="667"/>
      <c r="M507" s="21">
        <f t="shared" si="85"/>
        <v>1</v>
      </c>
      <c r="N507" s="667"/>
      <c r="O507" s="21">
        <f t="shared" si="86"/>
        <v>1</v>
      </c>
      <c r="P507" s="667"/>
      <c r="Q507" s="21">
        <f t="shared" si="87"/>
        <v>1</v>
      </c>
      <c r="R507" s="663">
        <f t="shared" si="88"/>
        <v>0</v>
      </c>
      <c r="S507" s="316">
        <f t="shared" si="89"/>
        <v>0</v>
      </c>
    </row>
    <row r="508" spans="1:19">
      <c r="A508" s="150"/>
      <c r="B508" s="54"/>
      <c r="C508" s="21">
        <f t="shared" si="80"/>
        <v>1</v>
      </c>
      <c r="D508" s="667"/>
      <c r="E508" s="21">
        <f t="shared" si="81"/>
        <v>1</v>
      </c>
      <c r="F508" s="667"/>
      <c r="G508" s="21">
        <f t="shared" si="82"/>
        <v>1</v>
      </c>
      <c r="H508" s="667"/>
      <c r="I508" s="21">
        <f t="shared" si="83"/>
        <v>1</v>
      </c>
      <c r="J508" s="667"/>
      <c r="K508" s="21">
        <f t="shared" si="84"/>
        <v>1</v>
      </c>
      <c r="L508" s="667"/>
      <c r="M508" s="21">
        <f t="shared" si="85"/>
        <v>1</v>
      </c>
      <c r="N508" s="667"/>
      <c r="O508" s="21">
        <f t="shared" si="86"/>
        <v>1</v>
      </c>
      <c r="P508" s="667"/>
      <c r="Q508" s="21">
        <f t="shared" si="87"/>
        <v>1</v>
      </c>
      <c r="R508" s="663">
        <f t="shared" si="88"/>
        <v>0</v>
      </c>
      <c r="S508" s="316">
        <f t="shared" si="89"/>
        <v>0</v>
      </c>
    </row>
    <row r="509" spans="1:19">
      <c r="A509" s="150"/>
      <c r="B509" s="54"/>
      <c r="C509" s="21">
        <f t="shared" si="80"/>
        <v>1</v>
      </c>
      <c r="D509" s="667"/>
      <c r="E509" s="21">
        <f t="shared" si="81"/>
        <v>1</v>
      </c>
      <c r="F509" s="667"/>
      <c r="G509" s="21">
        <f t="shared" si="82"/>
        <v>1</v>
      </c>
      <c r="H509" s="667"/>
      <c r="I509" s="21">
        <f t="shared" si="83"/>
        <v>1</v>
      </c>
      <c r="J509" s="667"/>
      <c r="K509" s="21">
        <f t="shared" si="84"/>
        <v>1</v>
      </c>
      <c r="L509" s="667"/>
      <c r="M509" s="21">
        <f t="shared" si="85"/>
        <v>1</v>
      </c>
      <c r="N509" s="667"/>
      <c r="O509" s="21">
        <f t="shared" si="86"/>
        <v>1</v>
      </c>
      <c r="P509" s="667"/>
      <c r="Q509" s="21">
        <f t="shared" si="87"/>
        <v>1</v>
      </c>
      <c r="R509" s="663">
        <f t="shared" si="88"/>
        <v>0</v>
      </c>
      <c r="S509" s="316">
        <f t="shared" si="89"/>
        <v>0</v>
      </c>
    </row>
    <row r="510" spans="1:19">
      <c r="A510" s="150"/>
      <c r="B510" s="54"/>
      <c r="C510" s="21">
        <f t="shared" si="80"/>
        <v>1</v>
      </c>
      <c r="D510" s="667"/>
      <c r="E510" s="21">
        <f t="shared" si="81"/>
        <v>1</v>
      </c>
      <c r="F510" s="667"/>
      <c r="G510" s="21">
        <f t="shared" si="82"/>
        <v>1</v>
      </c>
      <c r="H510" s="667"/>
      <c r="I510" s="21">
        <f t="shared" si="83"/>
        <v>1</v>
      </c>
      <c r="J510" s="667"/>
      <c r="K510" s="21">
        <f t="shared" si="84"/>
        <v>1</v>
      </c>
      <c r="L510" s="667"/>
      <c r="M510" s="21">
        <f t="shared" si="85"/>
        <v>1</v>
      </c>
      <c r="N510" s="667"/>
      <c r="O510" s="21">
        <f t="shared" si="86"/>
        <v>1</v>
      </c>
      <c r="P510" s="667"/>
      <c r="Q510" s="21">
        <f t="shared" si="87"/>
        <v>1</v>
      </c>
      <c r="R510" s="663">
        <f t="shared" si="88"/>
        <v>0</v>
      </c>
      <c r="S510" s="316">
        <f t="shared" si="89"/>
        <v>0</v>
      </c>
    </row>
    <row r="511" spans="1:19">
      <c r="A511" s="150"/>
      <c r="B511" s="54"/>
      <c r="C511" s="21">
        <f t="shared" si="80"/>
        <v>1</v>
      </c>
      <c r="D511" s="667"/>
      <c r="E511" s="21">
        <f t="shared" si="81"/>
        <v>1</v>
      </c>
      <c r="F511" s="667"/>
      <c r="G511" s="21">
        <f t="shared" si="82"/>
        <v>1</v>
      </c>
      <c r="H511" s="667"/>
      <c r="I511" s="21">
        <f t="shared" si="83"/>
        <v>1</v>
      </c>
      <c r="J511" s="667"/>
      <c r="K511" s="21">
        <f t="shared" si="84"/>
        <v>1</v>
      </c>
      <c r="L511" s="667"/>
      <c r="M511" s="21">
        <f t="shared" si="85"/>
        <v>1</v>
      </c>
      <c r="N511" s="667"/>
      <c r="O511" s="21">
        <f t="shared" si="86"/>
        <v>1</v>
      </c>
      <c r="P511" s="667"/>
      <c r="Q511" s="21">
        <f t="shared" si="87"/>
        <v>1</v>
      </c>
      <c r="R511" s="663">
        <f t="shared" si="88"/>
        <v>0</v>
      </c>
      <c r="S511" s="316">
        <f t="shared" si="89"/>
        <v>0</v>
      </c>
    </row>
    <row r="512" spans="1:19">
      <c r="A512" s="150"/>
      <c r="B512" s="54"/>
      <c r="C512" s="21">
        <f t="shared" si="80"/>
        <v>1</v>
      </c>
      <c r="D512" s="667"/>
      <c r="E512" s="21">
        <f t="shared" si="81"/>
        <v>1</v>
      </c>
      <c r="F512" s="667"/>
      <c r="G512" s="21">
        <f t="shared" si="82"/>
        <v>1</v>
      </c>
      <c r="H512" s="667"/>
      <c r="I512" s="21">
        <f t="shared" si="83"/>
        <v>1</v>
      </c>
      <c r="J512" s="667"/>
      <c r="K512" s="21">
        <f t="shared" si="84"/>
        <v>1</v>
      </c>
      <c r="L512" s="667"/>
      <c r="M512" s="21">
        <f t="shared" si="85"/>
        <v>1</v>
      </c>
      <c r="N512" s="667"/>
      <c r="O512" s="21">
        <f t="shared" si="86"/>
        <v>1</v>
      </c>
      <c r="P512" s="667"/>
      <c r="Q512" s="21">
        <f t="shared" si="87"/>
        <v>1</v>
      </c>
      <c r="R512" s="663">
        <f t="shared" si="88"/>
        <v>0</v>
      </c>
      <c r="S512" s="316">
        <f t="shared" si="89"/>
        <v>0</v>
      </c>
    </row>
    <row r="513" spans="1:19">
      <c r="A513" s="150"/>
      <c r="B513" s="54"/>
      <c r="C513" s="21">
        <f t="shared" si="80"/>
        <v>1</v>
      </c>
      <c r="D513" s="667"/>
      <c r="E513" s="21">
        <f t="shared" si="81"/>
        <v>1</v>
      </c>
      <c r="F513" s="667"/>
      <c r="G513" s="21">
        <f t="shared" si="82"/>
        <v>1</v>
      </c>
      <c r="H513" s="667"/>
      <c r="I513" s="21">
        <f t="shared" si="83"/>
        <v>1</v>
      </c>
      <c r="J513" s="667"/>
      <c r="K513" s="21">
        <f t="shared" si="84"/>
        <v>1</v>
      </c>
      <c r="L513" s="667"/>
      <c r="M513" s="21">
        <f t="shared" si="85"/>
        <v>1</v>
      </c>
      <c r="N513" s="667"/>
      <c r="O513" s="21">
        <f t="shared" si="86"/>
        <v>1</v>
      </c>
      <c r="P513" s="667"/>
      <c r="Q513" s="21">
        <f t="shared" si="87"/>
        <v>1</v>
      </c>
      <c r="R513" s="663">
        <f t="shared" si="88"/>
        <v>0</v>
      </c>
      <c r="S513" s="316">
        <f t="shared" si="89"/>
        <v>0</v>
      </c>
    </row>
    <row r="514" spans="1:19">
      <c r="A514" s="150"/>
      <c r="B514" s="54"/>
      <c r="C514" s="21">
        <f t="shared" si="80"/>
        <v>1</v>
      </c>
      <c r="D514" s="667"/>
      <c r="E514" s="21">
        <f t="shared" si="81"/>
        <v>1</v>
      </c>
      <c r="F514" s="667"/>
      <c r="G514" s="21">
        <f t="shared" si="82"/>
        <v>1</v>
      </c>
      <c r="H514" s="667"/>
      <c r="I514" s="21">
        <f t="shared" si="83"/>
        <v>1</v>
      </c>
      <c r="J514" s="667"/>
      <c r="K514" s="21">
        <f t="shared" si="84"/>
        <v>1</v>
      </c>
      <c r="L514" s="667"/>
      <c r="M514" s="21">
        <f t="shared" si="85"/>
        <v>1</v>
      </c>
      <c r="N514" s="667"/>
      <c r="O514" s="21">
        <f t="shared" si="86"/>
        <v>1</v>
      </c>
      <c r="P514" s="667"/>
      <c r="Q514" s="21">
        <f t="shared" si="87"/>
        <v>1</v>
      </c>
      <c r="R514" s="663">
        <f t="shared" si="88"/>
        <v>0</v>
      </c>
      <c r="S514" s="316">
        <f t="shared" si="89"/>
        <v>0</v>
      </c>
    </row>
    <row r="515" spans="1:19">
      <c r="A515" s="150"/>
      <c r="B515" s="54"/>
      <c r="C515" s="21">
        <f t="shared" si="80"/>
        <v>1</v>
      </c>
      <c r="D515" s="667"/>
      <c r="E515" s="21">
        <f t="shared" si="81"/>
        <v>1</v>
      </c>
      <c r="F515" s="667"/>
      <c r="G515" s="21">
        <f t="shared" si="82"/>
        <v>1</v>
      </c>
      <c r="H515" s="667"/>
      <c r="I515" s="21">
        <f t="shared" si="83"/>
        <v>1</v>
      </c>
      <c r="J515" s="667"/>
      <c r="K515" s="21">
        <f t="shared" si="84"/>
        <v>1</v>
      </c>
      <c r="L515" s="667"/>
      <c r="M515" s="21">
        <f t="shared" si="85"/>
        <v>1</v>
      </c>
      <c r="N515" s="667"/>
      <c r="O515" s="21">
        <f t="shared" si="86"/>
        <v>1</v>
      </c>
      <c r="P515" s="667"/>
      <c r="Q515" s="21">
        <f t="shared" si="87"/>
        <v>1</v>
      </c>
      <c r="R515" s="663">
        <f t="shared" si="88"/>
        <v>0</v>
      </c>
      <c r="S515" s="316">
        <f t="shared" si="89"/>
        <v>0</v>
      </c>
    </row>
    <row r="516" spans="1:19">
      <c r="A516" s="150"/>
      <c r="B516" s="54"/>
      <c r="C516" s="21">
        <f t="shared" si="80"/>
        <v>1</v>
      </c>
      <c r="D516" s="667"/>
      <c r="E516" s="21">
        <f t="shared" si="81"/>
        <v>1</v>
      </c>
      <c r="F516" s="667"/>
      <c r="G516" s="21">
        <f t="shared" si="82"/>
        <v>1</v>
      </c>
      <c r="H516" s="667"/>
      <c r="I516" s="21">
        <f t="shared" si="83"/>
        <v>1</v>
      </c>
      <c r="J516" s="667"/>
      <c r="K516" s="21">
        <f t="shared" si="84"/>
        <v>1</v>
      </c>
      <c r="L516" s="667"/>
      <c r="M516" s="21">
        <f t="shared" si="85"/>
        <v>1</v>
      </c>
      <c r="N516" s="667"/>
      <c r="O516" s="21">
        <f t="shared" si="86"/>
        <v>1</v>
      </c>
      <c r="P516" s="667"/>
      <c r="Q516" s="21">
        <f t="shared" si="87"/>
        <v>1</v>
      </c>
      <c r="R516" s="663">
        <f t="shared" si="88"/>
        <v>0</v>
      </c>
      <c r="S516" s="316">
        <f t="shared" si="89"/>
        <v>0</v>
      </c>
    </row>
    <row r="517" spans="1:19">
      <c r="A517" s="150"/>
      <c r="B517" s="54"/>
      <c r="C517" s="21">
        <f t="shared" si="80"/>
        <v>1</v>
      </c>
      <c r="D517" s="667"/>
      <c r="E517" s="21">
        <f t="shared" si="81"/>
        <v>1</v>
      </c>
      <c r="F517" s="667"/>
      <c r="G517" s="21">
        <f t="shared" si="82"/>
        <v>1</v>
      </c>
      <c r="H517" s="667"/>
      <c r="I517" s="21">
        <f t="shared" si="83"/>
        <v>1</v>
      </c>
      <c r="J517" s="667"/>
      <c r="K517" s="21">
        <f t="shared" si="84"/>
        <v>1</v>
      </c>
      <c r="L517" s="667"/>
      <c r="M517" s="21">
        <f t="shared" si="85"/>
        <v>1</v>
      </c>
      <c r="N517" s="667"/>
      <c r="O517" s="21">
        <f t="shared" si="86"/>
        <v>1</v>
      </c>
      <c r="P517" s="667"/>
      <c r="Q517" s="21">
        <f t="shared" si="87"/>
        <v>1</v>
      </c>
      <c r="R517" s="663">
        <f t="shared" si="88"/>
        <v>0</v>
      </c>
      <c r="S517" s="316">
        <f t="shared" si="89"/>
        <v>0</v>
      </c>
    </row>
    <row r="518" spans="1:19">
      <c r="A518" s="150"/>
      <c r="B518" s="54"/>
      <c r="C518" s="21">
        <f t="shared" si="80"/>
        <v>1</v>
      </c>
      <c r="D518" s="667"/>
      <c r="E518" s="21">
        <f t="shared" si="81"/>
        <v>1</v>
      </c>
      <c r="F518" s="667"/>
      <c r="G518" s="21">
        <f t="shared" si="82"/>
        <v>1</v>
      </c>
      <c r="H518" s="667"/>
      <c r="I518" s="21">
        <f t="shared" si="83"/>
        <v>1</v>
      </c>
      <c r="J518" s="667"/>
      <c r="K518" s="21">
        <f t="shared" si="84"/>
        <v>1</v>
      </c>
      <c r="L518" s="667"/>
      <c r="M518" s="21">
        <f t="shared" si="85"/>
        <v>1</v>
      </c>
      <c r="N518" s="667"/>
      <c r="O518" s="21">
        <f t="shared" si="86"/>
        <v>1</v>
      </c>
      <c r="P518" s="667"/>
      <c r="Q518" s="21">
        <f t="shared" si="87"/>
        <v>1</v>
      </c>
      <c r="R518" s="663">
        <f t="shared" si="88"/>
        <v>0</v>
      </c>
      <c r="S518" s="316">
        <f t="shared" si="89"/>
        <v>0</v>
      </c>
    </row>
    <row r="519" spans="1:19">
      <c r="A519" s="150"/>
      <c r="B519" s="54"/>
      <c r="C519" s="21">
        <f t="shared" si="80"/>
        <v>1</v>
      </c>
      <c r="D519" s="667"/>
      <c r="E519" s="21">
        <f t="shared" si="81"/>
        <v>1</v>
      </c>
      <c r="F519" s="667"/>
      <c r="G519" s="21">
        <f t="shared" si="82"/>
        <v>1</v>
      </c>
      <c r="H519" s="667"/>
      <c r="I519" s="21">
        <f t="shared" si="83"/>
        <v>1</v>
      </c>
      <c r="J519" s="667"/>
      <c r="K519" s="21">
        <f t="shared" si="84"/>
        <v>1</v>
      </c>
      <c r="L519" s="667"/>
      <c r="M519" s="21">
        <f t="shared" si="85"/>
        <v>1</v>
      </c>
      <c r="N519" s="667"/>
      <c r="O519" s="21">
        <f t="shared" si="86"/>
        <v>1</v>
      </c>
      <c r="P519" s="667"/>
      <c r="Q519" s="21">
        <f t="shared" si="87"/>
        <v>1</v>
      </c>
      <c r="R519" s="663">
        <f t="shared" si="88"/>
        <v>0</v>
      </c>
      <c r="S519" s="316">
        <f t="shared" si="89"/>
        <v>0</v>
      </c>
    </row>
    <row r="520" spans="1:19">
      <c r="A520" s="150"/>
      <c r="B520" s="54"/>
      <c r="C520" s="21">
        <f t="shared" si="80"/>
        <v>1</v>
      </c>
      <c r="D520" s="667"/>
      <c r="E520" s="21">
        <f t="shared" si="81"/>
        <v>1</v>
      </c>
      <c r="F520" s="667"/>
      <c r="G520" s="21">
        <f t="shared" si="82"/>
        <v>1</v>
      </c>
      <c r="H520" s="667"/>
      <c r="I520" s="21">
        <f t="shared" si="83"/>
        <v>1</v>
      </c>
      <c r="J520" s="667"/>
      <c r="K520" s="21">
        <f t="shared" si="84"/>
        <v>1</v>
      </c>
      <c r="L520" s="667"/>
      <c r="M520" s="21">
        <f t="shared" si="85"/>
        <v>1</v>
      </c>
      <c r="N520" s="667"/>
      <c r="O520" s="21">
        <f t="shared" si="86"/>
        <v>1</v>
      </c>
      <c r="P520" s="667"/>
      <c r="Q520" s="21">
        <f t="shared" si="87"/>
        <v>1</v>
      </c>
      <c r="R520" s="663">
        <f t="shared" si="88"/>
        <v>0</v>
      </c>
      <c r="S520" s="316">
        <f t="shared" si="89"/>
        <v>0</v>
      </c>
    </row>
    <row r="521" spans="1:19">
      <c r="A521" s="150"/>
      <c r="B521" s="54"/>
      <c r="C521" s="21">
        <f t="shared" si="80"/>
        <v>1</v>
      </c>
      <c r="D521" s="667"/>
      <c r="E521" s="21">
        <f t="shared" si="81"/>
        <v>1</v>
      </c>
      <c r="F521" s="667"/>
      <c r="G521" s="21">
        <f t="shared" si="82"/>
        <v>1</v>
      </c>
      <c r="H521" s="667"/>
      <c r="I521" s="21">
        <f t="shared" si="83"/>
        <v>1</v>
      </c>
      <c r="J521" s="667"/>
      <c r="K521" s="21">
        <f t="shared" si="84"/>
        <v>1</v>
      </c>
      <c r="L521" s="667"/>
      <c r="M521" s="21">
        <f t="shared" si="85"/>
        <v>1</v>
      </c>
      <c r="N521" s="667"/>
      <c r="O521" s="21">
        <f t="shared" si="86"/>
        <v>1</v>
      </c>
      <c r="P521" s="667"/>
      <c r="Q521" s="21">
        <f t="shared" si="87"/>
        <v>1</v>
      </c>
      <c r="R521" s="663">
        <f t="shared" si="88"/>
        <v>0</v>
      </c>
      <c r="S521" s="316">
        <f t="shared" si="89"/>
        <v>0</v>
      </c>
    </row>
    <row r="522" spans="1:19">
      <c r="A522" s="150"/>
      <c r="B522" s="54"/>
      <c r="C522" s="21">
        <f t="shared" si="80"/>
        <v>1</v>
      </c>
      <c r="D522" s="667"/>
      <c r="E522" s="21">
        <f t="shared" si="81"/>
        <v>1</v>
      </c>
      <c r="F522" s="667"/>
      <c r="G522" s="21">
        <f t="shared" si="82"/>
        <v>1</v>
      </c>
      <c r="H522" s="667"/>
      <c r="I522" s="21">
        <f t="shared" si="83"/>
        <v>1</v>
      </c>
      <c r="J522" s="667"/>
      <c r="K522" s="21">
        <f t="shared" si="84"/>
        <v>1</v>
      </c>
      <c r="L522" s="667"/>
      <c r="M522" s="21">
        <f t="shared" si="85"/>
        <v>1</v>
      </c>
      <c r="N522" s="667"/>
      <c r="O522" s="21">
        <f t="shared" si="86"/>
        <v>1</v>
      </c>
      <c r="P522" s="667"/>
      <c r="Q522" s="21">
        <f t="shared" si="87"/>
        <v>1</v>
      </c>
      <c r="R522" s="663">
        <f t="shared" si="88"/>
        <v>0</v>
      </c>
      <c r="S522" s="316">
        <f t="shared" si="89"/>
        <v>0</v>
      </c>
    </row>
    <row r="523" spans="1:19">
      <c r="A523" s="150"/>
      <c r="B523" s="54"/>
      <c r="C523" s="21">
        <f t="shared" si="80"/>
        <v>1</v>
      </c>
      <c r="D523" s="667"/>
      <c r="E523" s="21">
        <f t="shared" si="81"/>
        <v>1</v>
      </c>
      <c r="F523" s="667"/>
      <c r="G523" s="21">
        <f t="shared" si="82"/>
        <v>1</v>
      </c>
      <c r="H523" s="667"/>
      <c r="I523" s="21">
        <f t="shared" si="83"/>
        <v>1</v>
      </c>
      <c r="J523" s="667"/>
      <c r="K523" s="21">
        <f t="shared" si="84"/>
        <v>1</v>
      </c>
      <c r="L523" s="667"/>
      <c r="M523" s="21">
        <f t="shared" si="85"/>
        <v>1</v>
      </c>
      <c r="N523" s="667"/>
      <c r="O523" s="21">
        <f t="shared" si="86"/>
        <v>1</v>
      </c>
      <c r="P523" s="667"/>
      <c r="Q523" s="21">
        <f t="shared" si="87"/>
        <v>1</v>
      </c>
      <c r="R523" s="663">
        <f t="shared" si="88"/>
        <v>0</v>
      </c>
      <c r="S523" s="316">
        <f t="shared" si="89"/>
        <v>0</v>
      </c>
    </row>
    <row r="524" spans="1:19">
      <c r="A524" s="150"/>
      <c r="B524" s="54"/>
      <c r="C524" s="21">
        <f t="shared" si="80"/>
        <v>1</v>
      </c>
      <c r="D524" s="667"/>
      <c r="E524" s="21">
        <f t="shared" si="81"/>
        <v>1</v>
      </c>
      <c r="F524" s="667"/>
      <c r="G524" s="21">
        <f t="shared" si="82"/>
        <v>1</v>
      </c>
      <c r="H524" s="667"/>
      <c r="I524" s="21">
        <f t="shared" si="83"/>
        <v>1</v>
      </c>
      <c r="J524" s="667"/>
      <c r="K524" s="21">
        <f t="shared" si="84"/>
        <v>1</v>
      </c>
      <c r="L524" s="667"/>
      <c r="M524" s="21">
        <f t="shared" si="85"/>
        <v>1</v>
      </c>
      <c r="N524" s="667"/>
      <c r="O524" s="21">
        <f t="shared" si="86"/>
        <v>1</v>
      </c>
      <c r="P524" s="667"/>
      <c r="Q524" s="21">
        <f t="shared" si="87"/>
        <v>1</v>
      </c>
      <c r="R524" s="663">
        <f t="shared" si="88"/>
        <v>0</v>
      </c>
      <c r="S524" s="31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3"/>
      <c r="C1" s="2143"/>
      <c r="D1" s="2143"/>
      <c r="E1" s="2143"/>
      <c r="F1" s="2788"/>
      <c r="G1" s="2788"/>
      <c r="H1" s="2788"/>
      <c r="I1" s="2788"/>
      <c r="J1" s="2788"/>
      <c r="K1" s="2788"/>
      <c r="L1" s="2788"/>
      <c r="M1" s="2788"/>
      <c r="N1" s="2788"/>
      <c r="O1" s="2788"/>
      <c r="P1" s="2788"/>
    </row>
    <row r="2" spans="1:16" ht="15.75">
      <c r="A2" s="2141" t="s">
        <v>2070</v>
      </c>
      <c r="B2" s="2597">
        <f ca="1">SUMIF(B6:B13,"&lt;&gt;#ref!",B6:B13)</f>
        <v>248</v>
      </c>
      <c r="C2" s="2141" t="s">
        <v>2071</v>
      </c>
      <c r="D2" s="2141" t="s">
        <v>2072</v>
      </c>
      <c r="E2" s="2607">
        <f ca="1">SUMIF(E6:E13,"&lt;&gt;#ref!",E6:E13)</f>
        <v>69.099999999999994</v>
      </c>
      <c r="F2" s="2788"/>
      <c r="G2" s="2788"/>
      <c r="H2" s="2788"/>
      <c r="I2" s="2788"/>
      <c r="J2" s="2788"/>
      <c r="K2" s="2788"/>
      <c r="L2" s="2788"/>
      <c r="M2" s="2788"/>
      <c r="N2" s="2788"/>
      <c r="O2" s="2788"/>
      <c r="P2" s="2788"/>
    </row>
    <row r="3" spans="1:16" ht="15.75">
      <c r="A3" s="2141" t="s">
        <v>2073</v>
      </c>
      <c r="B3" s="2597">
        <f ca="1">ROUND(B2*10000/E2,0)</f>
        <v>35890</v>
      </c>
      <c r="C3" s="2141"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2"/>
      <c r="D5" s="2788"/>
      <c r="E5" s="2606" t="s">
        <v>2076</v>
      </c>
      <c r="F5" s="2788"/>
      <c r="G5" s="2788"/>
      <c r="H5" s="2788"/>
      <c r="I5" s="2788"/>
      <c r="J5" s="2788"/>
      <c r="K5" s="2788"/>
      <c r="L5" s="2788"/>
      <c r="M5" s="2788"/>
      <c r="N5" s="2788"/>
      <c r="O5" s="2788"/>
      <c r="P5" s="2788"/>
    </row>
    <row r="6" spans="1:16" ht="15.75">
      <c r="A6" s="2604" t="s">
        <v>2077</v>
      </c>
      <c r="B6" s="2597">
        <f ca="1">SUMIF(INDIRECT("'"&amp;A6&amp;"'"&amp;"!A:A"),"总价",INDIRECT("'"&amp;A6&amp;"'"&amp;"!B:B"))</f>
        <v>248</v>
      </c>
      <c r="C6" s="2141" t="s">
        <v>2071</v>
      </c>
      <c r="D6" s="2788"/>
      <c r="E6" s="2607">
        <f ca="1">SUMIF(INDIRECT("'"&amp;A6&amp;"'"&amp;"!C:C"),"建筑面积",INDIRECT("'"&amp;A6&amp;"'"&amp;"!D:D"))</f>
        <v>69.099999999999994</v>
      </c>
      <c r="F6" s="2788"/>
      <c r="G6" s="2788"/>
      <c r="H6" s="2788"/>
      <c r="I6" s="2788"/>
      <c r="J6" s="2788"/>
      <c r="K6" s="2788"/>
      <c r="L6" s="2788"/>
      <c r="M6" s="2788"/>
      <c r="N6" s="2788"/>
      <c r="O6" s="2788"/>
      <c r="P6" s="2788"/>
    </row>
    <row r="7" spans="1:16" ht="15.75">
      <c r="A7" s="2604"/>
      <c r="B7" s="2597" t="e">
        <f ca="1">SUMIF(INDIRECT("'"&amp;A7&amp;"'"&amp;"!A:A"),"总价",INDIRECT("'"&amp;A7&amp;"'"&amp;"!B:B"))</f>
        <v>#REF!</v>
      </c>
      <c r="C7" s="2141"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workbookViewId="0">
      <selection activeCell="K42" sqref="K42"/>
    </sheetView>
  </sheetViews>
  <sheetFormatPr defaultRowHeight="13.5"/>
  <cols>
    <col min="1" max="1" width="9" style="3449"/>
    <col min="2" max="2" width="34.25" style="3449" customWidth="1"/>
    <col min="3" max="3" width="14.375" style="3449" customWidth="1"/>
    <col min="4" max="5" width="9" style="3449"/>
    <col min="6" max="6" width="13.625" style="3449" customWidth="1"/>
    <col min="7" max="10" width="9" style="3449"/>
    <col min="11" max="11" width="11" style="3449" customWidth="1"/>
    <col min="12" max="12" width="11.625" style="3449" bestFit="1" customWidth="1"/>
    <col min="13" max="13" width="6.875" style="3449" customWidth="1"/>
    <col min="14" max="16" width="9" style="3449"/>
    <col min="17" max="17" width="15.5" style="3449" customWidth="1"/>
    <col min="18" max="18" width="9" style="3449"/>
    <col min="19" max="19" width="10.5" style="3449" bestFit="1" customWidth="1"/>
    <col min="20" max="20" width="9.5" style="3449" bestFit="1" customWidth="1"/>
    <col min="21" max="21" width="10.5" style="3449" bestFit="1" customWidth="1"/>
    <col min="22" max="16384" width="9" style="3449"/>
  </cols>
  <sheetData>
    <row r="1" spans="1:32">
      <c r="B1" s="3463" t="s">
        <v>3376</v>
      </c>
      <c r="C1" s="3463" t="s">
        <v>669</v>
      </c>
      <c r="D1" s="3463" t="s">
        <v>3377</v>
      </c>
      <c r="E1" s="3463" t="s">
        <v>3378</v>
      </c>
      <c r="F1" s="3463" t="s">
        <v>3457</v>
      </c>
      <c r="G1" s="3463" t="s">
        <v>3379</v>
      </c>
      <c r="H1" s="3463" t="s">
        <v>3380</v>
      </c>
      <c r="I1" s="3463" t="s">
        <v>3381</v>
      </c>
      <c r="J1" s="3463" t="s">
        <v>3382</v>
      </c>
      <c r="K1" s="3463" t="s">
        <v>3383</v>
      </c>
      <c r="L1" s="3463" t="s">
        <v>3384</v>
      </c>
      <c r="M1" s="3463" t="s">
        <v>3390</v>
      </c>
      <c r="N1" s="3463" t="s">
        <v>3391</v>
      </c>
      <c r="O1" s="3463" t="s">
        <v>3426</v>
      </c>
    </row>
    <row r="2" spans="1:32" s="3465" customFormat="1" ht="24.75" customHeight="1">
      <c r="A2" s="3454">
        <v>1</v>
      </c>
      <c r="B2" s="3464" t="s">
        <v>3464</v>
      </c>
      <c r="C2" s="3479" t="s">
        <v>3466</v>
      </c>
      <c r="D2" s="3464" t="s">
        <v>3424</v>
      </c>
      <c r="E2" s="3465">
        <v>65.7</v>
      </c>
      <c r="F2" s="3490" t="s">
        <v>3469</v>
      </c>
      <c r="G2" s="3465">
        <v>3</v>
      </c>
      <c r="H2" s="3465">
        <v>1</v>
      </c>
      <c r="I2" s="3479">
        <v>1954</v>
      </c>
      <c r="J2" s="3465">
        <v>127245</v>
      </c>
      <c r="K2" s="3465">
        <v>120432</v>
      </c>
      <c r="L2" s="3466">
        <v>45196</v>
      </c>
      <c r="M2" s="3464" t="s">
        <v>3467</v>
      </c>
      <c r="N2" s="3464" t="s">
        <v>3468</v>
      </c>
      <c r="O2" s="3464" t="s">
        <v>3427</v>
      </c>
    </row>
    <row r="3" spans="1:32" ht="34.5" customHeight="1">
      <c r="A3" s="3445">
        <v>2</v>
      </c>
      <c r="B3" s="3464" t="s">
        <v>3465</v>
      </c>
      <c r="C3" s="3490" t="s">
        <v>3466</v>
      </c>
      <c r="D3" s="3464" t="s">
        <v>3424</v>
      </c>
      <c r="E3" s="3449">
        <v>69.599999999999994</v>
      </c>
      <c r="F3" s="3490" t="s">
        <v>3469</v>
      </c>
      <c r="G3" s="3480">
        <v>3</v>
      </c>
      <c r="H3" s="3480">
        <v>3</v>
      </c>
      <c r="I3" s="3490">
        <v>1954</v>
      </c>
      <c r="J3" s="3449">
        <v>127299</v>
      </c>
      <c r="K3" s="3464">
        <v>124957</v>
      </c>
      <c r="L3" s="3466">
        <v>45185</v>
      </c>
      <c r="M3" s="3490" t="s">
        <v>3467</v>
      </c>
      <c r="N3" s="3464" t="s">
        <v>3425</v>
      </c>
      <c r="O3" s="3479" t="s">
        <v>3427</v>
      </c>
      <c r="P3" s="3465"/>
      <c r="Q3" s="3465"/>
      <c r="R3" s="3465"/>
      <c r="S3" s="3465"/>
      <c r="T3" s="3465"/>
      <c r="U3" s="3465"/>
      <c r="V3" s="3465"/>
      <c r="W3" s="3465"/>
      <c r="X3" s="3465"/>
      <c r="Y3" s="3465"/>
      <c r="Z3" s="3465"/>
      <c r="AA3" s="3465"/>
      <c r="AB3" s="3465"/>
      <c r="AC3" s="3465"/>
      <c r="AD3" s="3465"/>
      <c r="AE3" s="3465"/>
      <c r="AF3" s="3465"/>
    </row>
    <row r="4" spans="1:32">
      <c r="A4" s="3449">
        <v>3</v>
      </c>
      <c r="B4" s="3464" t="s">
        <v>3470</v>
      </c>
      <c r="C4" s="3490" t="s">
        <v>3466</v>
      </c>
      <c r="D4" s="3464" t="s">
        <v>3424</v>
      </c>
      <c r="E4" s="3449">
        <v>66.099999999999994</v>
      </c>
      <c r="F4" s="3490" t="s">
        <v>3469</v>
      </c>
      <c r="G4" s="3480">
        <v>3</v>
      </c>
      <c r="H4" s="3480">
        <v>1</v>
      </c>
      <c r="I4" s="3490">
        <v>1954</v>
      </c>
      <c r="J4" s="3449">
        <v>127080</v>
      </c>
      <c r="K4" s="3464">
        <v>127097</v>
      </c>
      <c r="L4" s="3466">
        <v>45043</v>
      </c>
      <c r="M4" s="3490" t="s">
        <v>3467</v>
      </c>
      <c r="N4" s="3490" t="s">
        <v>3468</v>
      </c>
      <c r="O4" s="3479" t="s">
        <v>3427</v>
      </c>
      <c r="P4" s="3465"/>
      <c r="Q4" s="3465"/>
      <c r="R4" s="3465"/>
      <c r="S4" s="3465"/>
      <c r="T4" s="3465"/>
      <c r="U4" s="3465"/>
      <c r="V4" s="3465"/>
      <c r="W4" s="3465"/>
      <c r="X4" s="3465"/>
      <c r="Y4" s="3465"/>
      <c r="Z4" s="3465"/>
      <c r="AA4" s="3465"/>
      <c r="AB4" s="3465"/>
      <c r="AC4" s="3465"/>
      <c r="AD4" s="3465"/>
      <c r="AE4" s="3465"/>
      <c r="AF4" s="3465"/>
    </row>
    <row r="5" spans="1:32">
      <c r="A5" s="3480"/>
      <c r="B5" s="3480"/>
      <c r="C5" s="3480"/>
      <c r="D5" s="3480"/>
      <c r="E5" s="3480"/>
      <c r="F5" s="3480"/>
      <c r="G5" s="3480"/>
      <c r="H5" s="3480"/>
      <c r="I5" s="3480"/>
      <c r="J5" s="3480"/>
      <c r="K5" s="3480"/>
      <c r="L5" s="3480"/>
      <c r="M5" s="3480"/>
      <c r="N5" s="3480"/>
      <c r="O5" s="3480"/>
      <c r="P5" s="3465"/>
      <c r="Q5" s="3465"/>
      <c r="R5" s="3465"/>
      <c r="S5" s="3465"/>
      <c r="T5" s="3465"/>
      <c r="U5" s="3465"/>
      <c r="V5" s="3465"/>
      <c r="W5" s="3465"/>
      <c r="X5" s="3465"/>
      <c r="Y5" s="3465"/>
      <c r="Z5" s="3465"/>
      <c r="AA5" s="3465"/>
      <c r="AB5" s="3465"/>
      <c r="AC5" s="3465"/>
      <c r="AD5" s="3465"/>
      <c r="AE5" s="3465"/>
      <c r="AF5" s="3465"/>
    </row>
    <row r="6" spans="1:32" s="3465" customFormat="1">
      <c r="A6" s="3454"/>
    </row>
    <row r="7" spans="1:32" ht="43.5" customHeight="1">
      <c r="A7" s="3445"/>
      <c r="B7" s="3465"/>
      <c r="C7" s="3465"/>
      <c r="D7" s="3465"/>
      <c r="E7" s="3465"/>
      <c r="F7" s="3465"/>
      <c r="G7" s="3465"/>
      <c r="H7" s="3465"/>
      <c r="I7" s="3465"/>
      <c r="J7" s="3465"/>
      <c r="K7" s="3465"/>
      <c r="L7" s="3465"/>
      <c r="M7" s="3465"/>
      <c r="N7" s="3465"/>
      <c r="O7" s="3465"/>
      <c r="P7" s="3465"/>
      <c r="Q7" s="3465"/>
      <c r="R7" s="3465"/>
      <c r="S7" s="3465"/>
      <c r="T7" s="3465"/>
      <c r="U7" s="3465"/>
      <c r="V7" s="3465"/>
      <c r="W7" s="3465"/>
      <c r="X7" s="3465"/>
      <c r="Y7" s="3465"/>
      <c r="Z7" s="3465"/>
      <c r="AA7" s="3465"/>
      <c r="AB7" s="3465"/>
      <c r="AC7" s="3465"/>
      <c r="AD7" s="3465"/>
      <c r="AE7" s="3465"/>
      <c r="AF7" s="3465"/>
    </row>
    <row r="8" spans="1:32">
      <c r="A8" s="3465"/>
      <c r="B8" s="3465"/>
      <c r="C8" s="3465"/>
      <c r="D8" s="3465"/>
      <c r="E8" s="3465"/>
      <c r="F8" s="3465"/>
      <c r="G8" s="3465"/>
      <c r="H8" s="3465"/>
      <c r="I8" s="3465"/>
      <c r="J8" s="3465"/>
      <c r="K8" s="3465"/>
      <c r="L8" s="3465"/>
      <c r="M8" s="3465"/>
      <c r="N8" s="3465"/>
      <c r="O8" s="3465"/>
      <c r="P8" s="3465"/>
      <c r="Q8" s="3465"/>
      <c r="R8" s="3465"/>
      <c r="S8" s="3465"/>
      <c r="T8" s="3465"/>
      <c r="U8" s="3465"/>
      <c r="V8" s="3465"/>
      <c r="W8" s="3465"/>
      <c r="X8" s="3465"/>
      <c r="Y8" s="3465"/>
      <c r="Z8" s="3465"/>
      <c r="AA8" s="3465"/>
      <c r="AB8" s="3465"/>
      <c r="AC8" s="3465"/>
      <c r="AD8" s="3465"/>
      <c r="AE8" s="3465"/>
      <c r="AF8" s="3465"/>
    </row>
    <row r="9" spans="1:32">
      <c r="A9" s="3465"/>
      <c r="B9" s="3465"/>
      <c r="C9" s="3465"/>
      <c r="D9" s="3465"/>
      <c r="E9" s="3465"/>
      <c r="F9" s="3465"/>
      <c r="G9" s="3465"/>
      <c r="H9" s="3465"/>
      <c r="I9" s="3465"/>
      <c r="J9" s="3465"/>
      <c r="K9" s="3465"/>
      <c r="L9" s="3465"/>
      <c r="M9" s="3465"/>
      <c r="N9" s="3465"/>
      <c r="O9" s="3465"/>
      <c r="P9" s="3465"/>
      <c r="Q9" s="3465"/>
      <c r="R9" s="3465"/>
      <c r="S9" s="3465"/>
      <c r="T9" s="3465"/>
      <c r="U9" s="3465"/>
      <c r="V9" s="3465"/>
      <c r="W9" s="3465"/>
      <c r="X9" s="3465"/>
      <c r="Y9" s="3465"/>
      <c r="Z9" s="3465"/>
      <c r="AA9" s="3465"/>
      <c r="AB9" s="3465"/>
      <c r="AC9" s="3465"/>
      <c r="AD9" s="3465"/>
      <c r="AE9" s="3465"/>
      <c r="AF9" s="3465"/>
    </row>
    <row r="10" spans="1:32">
      <c r="A10" s="3465"/>
      <c r="B10" s="3465"/>
      <c r="C10" s="3465"/>
      <c r="D10" s="3465"/>
      <c r="E10" s="3465"/>
      <c r="F10" s="3465"/>
      <c r="G10" s="3465"/>
      <c r="H10" s="3465"/>
      <c r="I10" s="3465"/>
      <c r="J10" s="3465"/>
      <c r="K10" s="3465"/>
      <c r="L10" s="3465"/>
      <c r="M10" s="3465"/>
      <c r="N10" s="3465"/>
      <c r="O10" s="3465"/>
      <c r="P10" s="3465"/>
      <c r="Q10" s="3465"/>
      <c r="R10" s="3465"/>
      <c r="S10" s="3465"/>
      <c r="T10" s="3465"/>
      <c r="U10" s="3465"/>
      <c r="V10" s="3465"/>
      <c r="W10" s="3465"/>
      <c r="X10" s="3465"/>
      <c r="Y10" s="3465"/>
      <c r="Z10" s="3465"/>
      <c r="AA10" s="3465"/>
      <c r="AB10" s="3465"/>
      <c r="AC10" s="3465"/>
      <c r="AD10" s="3465"/>
      <c r="AE10" s="3465"/>
      <c r="AF10" s="3465"/>
    </row>
    <row r="11" spans="1:32" s="3465" customFormat="1"/>
    <row r="12" spans="1:32">
      <c r="A12" s="3465"/>
      <c r="B12" s="3465"/>
      <c r="C12" s="3465"/>
      <c r="D12" s="3465"/>
      <c r="E12" s="3465"/>
      <c r="F12" s="3465"/>
      <c r="G12" s="3465"/>
      <c r="H12" s="3465"/>
      <c r="I12" s="3465"/>
      <c r="J12" s="3465"/>
      <c r="K12" s="3465"/>
      <c r="L12" s="3465"/>
      <c r="M12" s="3465"/>
      <c r="N12" s="3465"/>
      <c r="O12" s="3465"/>
      <c r="P12" s="3465"/>
      <c r="Q12" s="3465"/>
      <c r="R12" s="3465"/>
      <c r="S12" s="3465"/>
      <c r="T12" s="3465"/>
      <c r="U12" s="3465"/>
      <c r="V12" s="3465"/>
      <c r="W12" s="3465"/>
      <c r="X12" s="3465"/>
      <c r="Y12" s="3465"/>
      <c r="Z12" s="3465"/>
      <c r="AA12" s="3465"/>
      <c r="AB12" s="3465"/>
      <c r="AC12" s="3465"/>
      <c r="AD12" s="3465"/>
      <c r="AE12" s="3465"/>
      <c r="AF12" s="3465"/>
    </row>
    <row r="13" spans="1:32">
      <c r="A13" s="3465"/>
      <c r="B13" s="3465"/>
      <c r="C13" s="3465"/>
      <c r="D13" s="3465"/>
      <c r="E13" s="3465"/>
      <c r="F13" s="3465"/>
      <c r="G13" s="3465"/>
      <c r="H13" s="3465"/>
      <c r="I13" s="3465"/>
      <c r="J13" s="3465"/>
      <c r="K13" s="3465"/>
      <c r="L13" s="3465"/>
      <c r="M13" s="3465"/>
      <c r="N13" s="3465"/>
      <c r="O13" s="3465"/>
      <c r="P13" s="3465"/>
      <c r="Q13" s="3465"/>
      <c r="R13" s="3465"/>
      <c r="S13" s="3465"/>
      <c r="T13" s="3465"/>
      <c r="U13" s="3465"/>
      <c r="V13" s="3465"/>
      <c r="W13" s="3465"/>
      <c r="X13" s="3465"/>
      <c r="Y13" s="3465"/>
      <c r="Z13" s="3465"/>
      <c r="AA13" s="3465"/>
      <c r="AB13" s="3465"/>
      <c r="AC13" s="3465"/>
      <c r="AD13" s="3465"/>
      <c r="AE13" s="3465"/>
      <c r="AF13" s="3465"/>
    </row>
    <row r="14" spans="1:32" ht="24.75" customHeight="1">
      <c r="A14" s="3465"/>
      <c r="B14" s="3465"/>
      <c r="C14" s="3465"/>
      <c r="D14" s="3465"/>
      <c r="E14" s="3465"/>
      <c r="F14" s="3465"/>
      <c r="G14" s="3465"/>
      <c r="H14" s="3465"/>
      <c r="I14" s="3465"/>
      <c r="J14" s="3465"/>
      <c r="K14" s="3465"/>
      <c r="L14" s="3465"/>
      <c r="M14" s="3465"/>
      <c r="N14" s="3465"/>
      <c r="O14" s="3465"/>
      <c r="P14" s="3465"/>
      <c r="Q14" s="3465"/>
      <c r="R14" s="3465"/>
      <c r="S14" s="3465"/>
      <c r="T14" s="3465"/>
      <c r="U14" s="3465"/>
      <c r="V14" s="3465"/>
      <c r="W14" s="3465"/>
      <c r="X14" s="3465"/>
      <c r="Y14" s="3465"/>
      <c r="Z14" s="3465"/>
      <c r="AA14" s="3465"/>
      <c r="AB14" s="3465"/>
      <c r="AC14" s="3465"/>
      <c r="AD14" s="3465"/>
      <c r="AE14" s="3465"/>
      <c r="AF14" s="3465"/>
    </row>
    <row r="15" spans="1:32" ht="24.75" customHeight="1">
      <c r="A15" s="3465"/>
      <c r="B15" s="3465"/>
      <c r="C15" s="3465"/>
      <c r="D15" s="3465"/>
      <c r="E15" s="3465"/>
      <c r="F15" s="3465"/>
      <c r="G15" s="3465"/>
      <c r="H15" s="3465"/>
      <c r="I15" s="3465"/>
      <c r="J15" s="3465"/>
      <c r="K15" s="3465"/>
      <c r="L15" s="3465"/>
      <c r="M15" s="3465"/>
      <c r="N15" s="3465"/>
      <c r="O15" s="3465"/>
      <c r="P15" s="3465"/>
      <c r="Q15" s="3465"/>
      <c r="R15" s="3465"/>
      <c r="S15" s="3465"/>
      <c r="T15" s="3465"/>
      <c r="U15" s="3465"/>
      <c r="V15" s="3465"/>
      <c r="W15" s="3465"/>
      <c r="X15" s="3465"/>
      <c r="Y15" s="3465"/>
      <c r="Z15" s="3465"/>
      <c r="AA15" s="3465"/>
      <c r="AB15" s="3465"/>
      <c r="AC15" s="3465"/>
      <c r="AD15" s="3465"/>
      <c r="AE15" s="3465"/>
      <c r="AF15" s="3465"/>
    </row>
    <row r="16" spans="1:32" ht="24.75" customHeight="1">
      <c r="A16" s="3465"/>
      <c r="B16" s="3465"/>
      <c r="C16" s="3465"/>
      <c r="D16" s="3465"/>
      <c r="E16" s="3465"/>
      <c r="F16" s="3465"/>
      <c r="G16" s="3465"/>
      <c r="H16" s="3465"/>
      <c r="I16" s="3465"/>
      <c r="J16" s="3465"/>
      <c r="K16" s="3465"/>
      <c r="L16" s="3465"/>
      <c r="M16" s="3465"/>
      <c r="N16" s="3465"/>
      <c r="O16" s="3465"/>
      <c r="P16" s="3465"/>
      <c r="Q16" s="3465"/>
      <c r="R16" s="3465"/>
      <c r="S16" s="3465"/>
      <c r="T16" s="3465"/>
      <c r="U16" s="3465"/>
      <c r="V16" s="3465"/>
      <c r="W16" s="3465"/>
      <c r="X16" s="3465"/>
      <c r="Y16" s="3465"/>
      <c r="Z16" s="3465"/>
      <c r="AA16" s="3465"/>
      <c r="AB16" s="3465"/>
      <c r="AC16" s="3465"/>
      <c r="AD16" s="3465"/>
      <c r="AE16" s="3465"/>
      <c r="AF16" s="3465"/>
    </row>
    <row r="17" spans="1:32" ht="24.75" customHeight="1">
      <c r="A17" s="3465"/>
      <c r="B17" s="3465"/>
      <c r="C17" s="3465"/>
      <c r="D17" s="3465"/>
      <c r="E17" s="3465"/>
      <c r="F17" s="3465"/>
      <c r="G17" s="3465"/>
      <c r="H17" s="3465"/>
      <c r="I17" s="3465"/>
      <c r="J17" s="3465"/>
      <c r="K17" s="3465"/>
      <c r="L17" s="3465"/>
      <c r="M17" s="3465"/>
      <c r="N17" s="3465"/>
      <c r="O17" s="3465"/>
      <c r="P17" s="3465"/>
      <c r="Q17" s="3465"/>
      <c r="R17" s="3465"/>
      <c r="S17" s="3465"/>
      <c r="T17" s="3465"/>
      <c r="U17" s="3465"/>
      <c r="V17" s="3465"/>
      <c r="W17" s="3465"/>
      <c r="X17" s="3465"/>
      <c r="Y17" s="3465"/>
      <c r="Z17" s="3465"/>
      <c r="AA17" s="3465"/>
      <c r="AB17" s="3465"/>
      <c r="AC17" s="3465"/>
      <c r="AD17" s="3465"/>
      <c r="AE17" s="3465"/>
      <c r="AF17" s="3465"/>
    </row>
    <row r="18" spans="1:32" ht="24.75" customHeight="1">
      <c r="A18" s="3465"/>
      <c r="B18" s="3465"/>
      <c r="C18" s="3465"/>
      <c r="D18" s="3465"/>
      <c r="E18" s="3465"/>
      <c r="F18" s="3465"/>
      <c r="G18" s="3465"/>
      <c r="H18" s="3465"/>
      <c r="I18" s="3465"/>
      <c r="J18" s="3465"/>
      <c r="K18" s="3465"/>
      <c r="L18" s="3465"/>
      <c r="M18" s="3465"/>
      <c r="N18" s="3465"/>
      <c r="O18" s="3465"/>
      <c r="P18" s="3465"/>
      <c r="Q18" s="3465"/>
      <c r="R18" s="3465"/>
      <c r="S18" s="3465"/>
      <c r="T18" s="3465"/>
      <c r="U18" s="3465"/>
      <c r="V18" s="3465"/>
      <c r="W18" s="3465"/>
      <c r="X18" s="3465"/>
      <c r="Y18" s="3465"/>
      <c r="Z18" s="3465"/>
      <c r="AA18" s="3465"/>
      <c r="AB18" s="3465"/>
      <c r="AC18" s="3465"/>
      <c r="AD18" s="3465"/>
      <c r="AE18" s="3465"/>
      <c r="AF18" s="3465"/>
    </row>
    <row r="19" spans="1:32" ht="24.75" customHeight="1">
      <c r="A19" s="3465"/>
      <c r="B19" s="3465"/>
      <c r="C19" s="3465"/>
      <c r="D19" s="3465"/>
      <c r="E19" s="3465"/>
      <c r="F19" s="3465"/>
      <c r="G19" s="3465"/>
      <c r="H19" s="3465"/>
      <c r="I19" s="3465"/>
      <c r="J19" s="3465"/>
      <c r="K19" s="3465"/>
      <c r="L19" s="3465"/>
      <c r="M19" s="3465"/>
      <c r="N19" s="3465"/>
      <c r="O19" s="3465"/>
      <c r="P19" s="3465"/>
      <c r="Q19" s="3465"/>
      <c r="R19" s="3465"/>
      <c r="S19" s="3465"/>
      <c r="T19" s="3465"/>
      <c r="U19" s="3465"/>
      <c r="V19" s="3465"/>
      <c r="W19" s="3465"/>
      <c r="X19" s="3465"/>
      <c r="Y19" s="3465"/>
      <c r="Z19" s="3465"/>
      <c r="AA19" s="3465"/>
      <c r="AB19" s="3465"/>
      <c r="AC19" s="3465"/>
      <c r="AD19" s="3465"/>
      <c r="AE19" s="3465"/>
      <c r="AF19" s="3465"/>
    </row>
    <row r="20" spans="1:32" ht="24.75" customHeight="1">
      <c r="A20" s="3465"/>
      <c r="B20" s="3465"/>
      <c r="C20" s="3465"/>
      <c r="D20" s="3465"/>
      <c r="E20" s="3465"/>
      <c r="F20" s="3465"/>
      <c r="G20" s="3465"/>
      <c r="H20" s="3465"/>
      <c r="I20" s="3465"/>
      <c r="J20" s="3465"/>
      <c r="K20" s="3465"/>
      <c r="L20" s="3465"/>
      <c r="M20" s="3465"/>
      <c r="N20" s="3465"/>
      <c r="O20" s="3465"/>
      <c r="P20" s="3465"/>
      <c r="Q20" s="3465"/>
      <c r="R20" s="3465"/>
      <c r="S20" s="3465"/>
      <c r="T20" s="3465"/>
      <c r="U20" s="3465"/>
      <c r="V20" s="3465"/>
      <c r="W20" s="3465"/>
      <c r="X20" s="3465"/>
      <c r="Y20" s="3465"/>
      <c r="Z20" s="3465"/>
      <c r="AA20" s="3465"/>
      <c r="AB20" s="3465"/>
      <c r="AC20" s="3465"/>
      <c r="AD20" s="3465"/>
      <c r="AE20" s="3465"/>
      <c r="AF20" s="3465"/>
    </row>
    <row r="21" spans="1:32" ht="24.75" customHeight="1">
      <c r="A21" s="3465"/>
      <c r="B21" s="3465"/>
      <c r="C21" s="3465"/>
      <c r="D21" s="3465"/>
      <c r="E21" s="3465"/>
      <c r="F21" s="3465"/>
      <c r="G21" s="3465"/>
      <c r="H21" s="3465"/>
      <c r="I21" s="3465"/>
      <c r="J21" s="3465"/>
      <c r="K21" s="3465"/>
      <c r="L21" s="3465"/>
      <c r="M21" s="3465"/>
      <c r="N21" s="3465"/>
      <c r="O21" s="3465"/>
      <c r="P21" s="3465"/>
      <c r="Q21" s="3465"/>
      <c r="R21" s="3465"/>
      <c r="S21" s="3465"/>
      <c r="T21" s="3465"/>
      <c r="U21" s="3465"/>
      <c r="V21" s="3465"/>
      <c r="W21" s="3465"/>
      <c r="X21" s="3465"/>
      <c r="Y21" s="3465"/>
      <c r="Z21" s="3465"/>
      <c r="AA21" s="3465"/>
      <c r="AB21" s="3465"/>
      <c r="AC21" s="3465"/>
      <c r="AD21" s="3465"/>
      <c r="AE21" s="3465"/>
      <c r="AF21" s="3465"/>
    </row>
    <row r="22" spans="1:32" ht="24.75" customHeight="1">
      <c r="A22" s="3465"/>
      <c r="B22" s="3465"/>
      <c r="C22" s="3465"/>
      <c r="D22" s="3465"/>
      <c r="E22" s="3465"/>
      <c r="F22" s="3465"/>
      <c r="G22" s="3465"/>
      <c r="H22" s="3465"/>
      <c r="I22" s="3465"/>
      <c r="J22" s="3465"/>
      <c r="K22" s="3465"/>
      <c r="L22" s="3465"/>
      <c r="M22" s="3465"/>
      <c r="N22" s="3465"/>
      <c r="O22" s="3465"/>
      <c r="P22" s="3465"/>
    </row>
    <row r="23" spans="1:32" ht="24.75" customHeight="1">
      <c r="A23" s="3465"/>
      <c r="B23" s="3465"/>
      <c r="C23" s="3465"/>
      <c r="D23" s="3465"/>
      <c r="E23" s="3465"/>
      <c r="F23" s="3465"/>
      <c r="G23" s="3465"/>
      <c r="H23" s="3465"/>
      <c r="I23" s="3464" t="s">
        <v>3433</v>
      </c>
      <c r="J23" s="3465"/>
      <c r="K23" s="3465"/>
      <c r="L23" s="3465"/>
      <c r="M23" s="3465"/>
      <c r="N23" s="3465"/>
      <c r="O23" s="3465"/>
      <c r="P23" s="3465"/>
    </row>
    <row r="24" spans="1:32" ht="24.75" customHeight="1">
      <c r="A24" s="3465"/>
      <c r="B24" s="3465"/>
      <c r="C24" s="3465"/>
      <c r="D24" s="3465"/>
      <c r="E24" s="3465"/>
      <c r="F24" s="3465"/>
      <c r="G24" s="3465"/>
      <c r="H24" s="3465"/>
      <c r="I24" s="3464" t="s">
        <v>3429</v>
      </c>
      <c r="J24" s="3464" t="s">
        <v>3430</v>
      </c>
      <c r="K24" s="3464" t="s">
        <v>3431</v>
      </c>
      <c r="L24" s="3465"/>
      <c r="M24" s="3465"/>
      <c r="N24" s="3465"/>
      <c r="O24" s="3465"/>
      <c r="P24" s="3465"/>
    </row>
    <row r="25" spans="1:32" ht="24.75" customHeight="1">
      <c r="A25" s="3465"/>
      <c r="B25" s="3465"/>
      <c r="C25" s="3465"/>
      <c r="D25" s="3465"/>
      <c r="E25" s="3465"/>
      <c r="F25" s="3465"/>
      <c r="G25" s="3465"/>
      <c r="H25" s="3465"/>
      <c r="I25" s="3465">
        <v>11500</v>
      </c>
      <c r="J25" s="3465">
        <v>68.2</v>
      </c>
      <c r="K25" s="3465">
        <f>ROUND(I25/J25,2)</f>
        <v>168.62</v>
      </c>
      <c r="L25" s="3465"/>
      <c r="M25" s="3465">
        <f>140*67.61</f>
        <v>9465.4</v>
      </c>
      <c r="N25" s="3465"/>
      <c r="O25" s="3465"/>
      <c r="P25" s="3465"/>
    </row>
    <row r="26" spans="1:32" ht="24.75" customHeight="1">
      <c r="A26" s="3465"/>
      <c r="B26" s="3465"/>
      <c r="C26" s="3465"/>
      <c r="D26" s="3465"/>
      <c r="E26" s="3465"/>
      <c r="F26" s="3465"/>
      <c r="G26" s="3465"/>
      <c r="H26" s="3465"/>
      <c r="I26" s="3465">
        <v>8860</v>
      </c>
      <c r="J26" s="3465">
        <v>52.2</v>
      </c>
      <c r="K26" s="3465">
        <f>ROUND(I26/J26,2)</f>
        <v>169.73</v>
      </c>
      <c r="L26" s="3465"/>
      <c r="M26" s="3465"/>
      <c r="N26" s="3465"/>
      <c r="O26" s="3465"/>
      <c r="P26" s="3465"/>
    </row>
    <row r="27" spans="1:32" ht="24.75" customHeight="1">
      <c r="A27" s="3465"/>
      <c r="B27" s="3465"/>
      <c r="C27" s="3465"/>
      <c r="D27" s="3465"/>
      <c r="E27" s="3465"/>
      <c r="F27" s="3465"/>
      <c r="G27" s="3465"/>
      <c r="H27" s="3465"/>
      <c r="I27" s="3449">
        <v>9000</v>
      </c>
      <c r="J27" s="3449">
        <v>69.900000000000006</v>
      </c>
      <c r="K27" s="3480">
        <f t="shared" ref="K27:K29" si="0">ROUND(I27/J27,2)</f>
        <v>128.76</v>
      </c>
      <c r="L27" s="3465"/>
      <c r="M27" s="3480">
        <v>9000</v>
      </c>
      <c r="N27" s="3480">
        <v>67.61</v>
      </c>
      <c r="O27" s="3480">
        <f>ROUND(M27/N27,2)</f>
        <v>133.12</v>
      </c>
      <c r="P27" s="3465"/>
    </row>
    <row r="28" spans="1:32" ht="24.75" customHeight="1">
      <c r="A28" s="3465"/>
      <c r="B28" s="3465"/>
      <c r="C28" s="3465"/>
      <c r="D28" s="3465"/>
      <c r="E28" s="3465"/>
      <c r="F28" s="3465"/>
      <c r="G28" s="3465"/>
      <c r="H28" s="3465"/>
      <c r="I28" s="3480">
        <v>5800</v>
      </c>
      <c r="J28" s="3480">
        <v>44</v>
      </c>
      <c r="K28" s="3480">
        <f t="shared" si="0"/>
        <v>131.82</v>
      </c>
      <c r="L28" s="3465"/>
      <c r="M28" s="3480">
        <v>6800</v>
      </c>
      <c r="N28" s="3480">
        <v>46</v>
      </c>
      <c r="O28" s="3480"/>
      <c r="P28" s="3465"/>
    </row>
    <row r="29" spans="1:32" ht="24.75" customHeight="1">
      <c r="A29" s="3465"/>
      <c r="B29" s="3465"/>
      <c r="C29" s="3465"/>
      <c r="D29" s="3465"/>
      <c r="E29" s="3465"/>
      <c r="F29" s="3465"/>
      <c r="G29" s="3465"/>
      <c r="H29" s="3465"/>
      <c r="I29" s="3492">
        <v>10000</v>
      </c>
      <c r="J29" s="3492">
        <v>68</v>
      </c>
      <c r="K29" s="3492">
        <f t="shared" si="0"/>
        <v>147.06</v>
      </c>
      <c r="L29" s="3465"/>
      <c r="M29" s="3480">
        <v>6500</v>
      </c>
      <c r="N29" s="3480">
        <v>45</v>
      </c>
      <c r="O29" s="3480">
        <f>ROUND(M29/N29,2)</f>
        <v>144.44</v>
      </c>
      <c r="P29" s="3465"/>
    </row>
    <row r="30" spans="1:32" ht="24.75" customHeight="1">
      <c r="A30" s="3465"/>
      <c r="B30" s="3465"/>
      <c r="C30" s="3465"/>
      <c r="D30" s="3465"/>
      <c r="E30" s="3465"/>
      <c r="F30" s="3465"/>
      <c r="G30" s="3465"/>
      <c r="H30" s="3465"/>
      <c r="I30" s="3492"/>
      <c r="J30" s="3492"/>
      <c r="K30" s="3492"/>
      <c r="L30" s="3465"/>
      <c r="M30" s="3480">
        <v>8000</v>
      </c>
      <c r="N30" s="3480">
        <v>56</v>
      </c>
      <c r="O30" s="3480">
        <f>ROUND(M30/N30,2)</f>
        <v>142.86000000000001</v>
      </c>
      <c r="P30" s="3465"/>
    </row>
    <row r="31" spans="1:32" ht="24.75" customHeight="1">
      <c r="A31" s="3465"/>
      <c r="B31" s="3465"/>
      <c r="C31" s="3465"/>
      <c r="D31" s="3465"/>
      <c r="E31" s="3465"/>
      <c r="F31" s="3465"/>
      <c r="G31" s="3465"/>
      <c r="H31" s="3465"/>
      <c r="I31" s="3492"/>
      <c r="J31" s="3492"/>
      <c r="K31" s="3492"/>
      <c r="L31" s="3465"/>
      <c r="M31" s="3449">
        <v>7800</v>
      </c>
      <c r="N31" s="3449">
        <v>45.76</v>
      </c>
      <c r="O31" s="3480"/>
      <c r="P31" s="3465"/>
    </row>
    <row r="32" spans="1:32" ht="24.75" customHeight="1">
      <c r="A32" s="3465"/>
      <c r="B32" s="3465"/>
      <c r="C32" s="3465"/>
      <c r="D32" s="3465"/>
      <c r="E32" s="3465"/>
      <c r="F32" s="3465"/>
      <c r="G32" s="3465"/>
      <c r="H32" s="3465"/>
      <c r="I32" s="3492"/>
      <c r="J32" s="3492"/>
      <c r="K32" s="3492"/>
      <c r="L32" s="3465"/>
      <c r="M32" s="3480">
        <v>8000</v>
      </c>
      <c r="N32" s="3480">
        <v>45</v>
      </c>
      <c r="O32" s="3480"/>
      <c r="P32" s="3465"/>
    </row>
    <row r="33" spans="1:16">
      <c r="A33" s="3465"/>
      <c r="B33" s="3465"/>
      <c r="C33" s="3465"/>
      <c r="D33" s="3465"/>
      <c r="E33" s="3465"/>
      <c r="F33" s="3465"/>
      <c r="G33" s="3465"/>
      <c r="H33" s="3465"/>
      <c r="I33" s="3492"/>
      <c r="J33" s="3492"/>
      <c r="K33" s="3492"/>
      <c r="L33" s="3465"/>
      <c r="M33" s="3480">
        <v>7200</v>
      </c>
      <c r="N33" s="3480">
        <v>52.71</v>
      </c>
      <c r="O33" s="3480">
        <f>ROUND(M33/N33,2)</f>
        <v>136.6</v>
      </c>
      <c r="P33" s="3465"/>
    </row>
    <row r="34" spans="1:16">
      <c r="A34" s="3465"/>
      <c r="B34" s="3465"/>
      <c r="C34" s="3465"/>
      <c r="D34" s="3465"/>
      <c r="E34" s="3465"/>
      <c r="F34" s="3465"/>
      <c r="G34" s="3465"/>
      <c r="H34" s="3465"/>
      <c r="I34" s="3492"/>
      <c r="J34" s="3492"/>
      <c r="K34" s="3492"/>
      <c r="L34" s="3465"/>
      <c r="M34" s="3480">
        <v>8300</v>
      </c>
      <c r="N34" s="3480">
        <v>51.97</v>
      </c>
      <c r="O34" s="3480"/>
      <c r="P34" s="3465"/>
    </row>
    <row r="35" spans="1:16">
      <c r="A35" s="3465"/>
      <c r="B35" s="3465"/>
      <c r="C35" s="3465"/>
      <c r="D35" s="3465"/>
      <c r="E35" s="3465"/>
      <c r="F35" s="3465"/>
      <c r="G35" s="3465"/>
      <c r="H35" s="3465"/>
      <c r="I35" s="3492"/>
      <c r="J35" s="3492"/>
      <c r="K35" s="3492"/>
      <c r="L35" s="3465"/>
      <c r="M35" s="3794" t="s">
        <v>3432</v>
      </c>
      <c r="N35" s="3795"/>
      <c r="O35" s="3480">
        <f>ROUND(AVERAGE(O27:O34),2)</f>
        <v>139.26</v>
      </c>
      <c r="P35" s="3465"/>
    </row>
    <row r="36" spans="1:16">
      <c r="A36" s="3465"/>
      <c r="B36" s="3465"/>
      <c r="C36" s="3465"/>
      <c r="D36" s="3465"/>
      <c r="E36" s="3465"/>
      <c r="F36" s="3465"/>
      <c r="G36" s="3465"/>
      <c r="H36" s="3465"/>
      <c r="I36" s="3492"/>
      <c r="J36" s="3492"/>
      <c r="K36" s="3492"/>
      <c r="L36" s="3465"/>
      <c r="M36" s="3465"/>
      <c r="N36" s="3465"/>
      <c r="O36" s="3465"/>
      <c r="P36" s="3465"/>
    </row>
    <row r="37" spans="1:16">
      <c r="A37" s="3465"/>
      <c r="B37" s="3465"/>
      <c r="C37" s="3465"/>
      <c r="D37" s="3465"/>
      <c r="E37" s="3465"/>
      <c r="F37" s="3465"/>
      <c r="G37" s="3465"/>
      <c r="H37" s="3465"/>
      <c r="I37" s="3492"/>
      <c r="J37" s="3492"/>
      <c r="K37" s="3492"/>
      <c r="L37" s="3465"/>
      <c r="M37" s="3465"/>
      <c r="N37" s="3465"/>
      <c r="O37" s="3465"/>
      <c r="P37" s="3465"/>
    </row>
    <row r="38" spans="1:16">
      <c r="A38" s="3465"/>
      <c r="B38" s="3465"/>
      <c r="C38" s="3465"/>
      <c r="D38" s="3465"/>
      <c r="E38" s="3465"/>
      <c r="F38" s="3465"/>
      <c r="G38" s="3465"/>
      <c r="H38" s="3465"/>
      <c r="I38" s="3492"/>
      <c r="J38" s="3492"/>
      <c r="K38" s="3492"/>
      <c r="L38" s="3465"/>
      <c r="M38" s="3465"/>
      <c r="N38" s="3465"/>
      <c r="O38" s="3465"/>
      <c r="P38" s="3465"/>
    </row>
    <row r="39" spans="1:16">
      <c r="A39" s="3465"/>
      <c r="B39" s="3465"/>
      <c r="C39" s="3465"/>
      <c r="D39" s="3465"/>
      <c r="E39" s="3465"/>
      <c r="F39" s="3465"/>
      <c r="G39" s="3465"/>
      <c r="H39" s="3465"/>
      <c r="I39" s="3492"/>
      <c r="J39" s="3492"/>
      <c r="K39" s="3492"/>
      <c r="L39" s="3465"/>
      <c r="M39" s="3465"/>
      <c r="N39" s="3465"/>
      <c r="O39" s="3465"/>
      <c r="P39" s="3465"/>
    </row>
    <row r="40" spans="1:16">
      <c r="A40" s="3465"/>
      <c r="B40" s="3465"/>
      <c r="C40" s="3465"/>
      <c r="D40" s="3465"/>
      <c r="E40" s="3465"/>
      <c r="F40" s="3465"/>
      <c r="G40" s="3465"/>
      <c r="H40" s="3465"/>
      <c r="I40" s="3794" t="s">
        <v>3432</v>
      </c>
      <c r="J40" s="3795"/>
      <c r="K40" s="3465">
        <f>ROUND(AVERAGE(K25:K39),2)</f>
        <v>149.19999999999999</v>
      </c>
      <c r="L40" s="3465"/>
      <c r="M40" s="3465"/>
      <c r="N40" s="3465"/>
      <c r="O40" s="3465"/>
      <c r="P40" s="3465"/>
    </row>
    <row r="41" spans="1:16">
      <c r="A41" s="3465"/>
      <c r="B41" s="3465"/>
      <c r="C41" s="3465"/>
      <c r="D41" s="3465"/>
      <c r="E41" s="3465"/>
      <c r="F41" s="3465"/>
      <c r="G41" s="3465"/>
      <c r="H41" s="3465"/>
      <c r="I41" s="3480"/>
      <c r="J41" s="3480"/>
      <c r="K41" s="3480">
        <f>K40*69.1</f>
        <v>10309.719999999998</v>
      </c>
      <c r="L41" s="3465"/>
      <c r="M41" s="3465"/>
      <c r="N41" s="3465"/>
      <c r="O41" s="3465"/>
      <c r="P41" s="3465"/>
    </row>
    <row r="42" spans="1:16">
      <c r="A42" s="3465"/>
      <c r="B42" s="3465"/>
      <c r="C42" s="3465"/>
      <c r="D42" s="3465"/>
      <c r="E42" s="3465"/>
      <c r="F42" s="3465"/>
      <c r="G42" s="3465"/>
      <c r="H42" s="3465"/>
      <c r="L42" s="3465"/>
      <c r="M42" s="3465"/>
      <c r="N42" s="3465"/>
      <c r="O42" s="3465"/>
      <c r="P42" s="3465"/>
    </row>
    <row r="43" spans="1:16">
      <c r="A43" s="3465"/>
      <c r="B43" s="3465"/>
      <c r="C43" s="3465"/>
      <c r="D43" s="3465"/>
      <c r="E43" s="3465"/>
      <c r="F43" s="3465"/>
      <c r="G43" s="3465"/>
      <c r="H43" s="3465"/>
      <c r="I43" s="3480"/>
      <c r="J43" s="3480"/>
      <c r="K43" s="3480"/>
      <c r="L43" s="3465"/>
      <c r="M43" s="3465"/>
      <c r="N43" s="3465"/>
      <c r="O43" s="3465"/>
      <c r="P43" s="3465"/>
    </row>
    <row r="44" spans="1:16">
      <c r="I44" s="3480"/>
      <c r="J44" s="3480"/>
      <c r="K44" s="3480"/>
    </row>
    <row r="45" spans="1:16">
      <c r="I45" s="3480"/>
      <c r="J45" s="3480"/>
      <c r="K45" s="3480"/>
    </row>
  </sheetData>
  <mergeCells count="2">
    <mergeCell ref="I40:J40"/>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398.21839999999997</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57629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2568902.0999999996</v>
      </c>
      <c r="D5" s="211" t="s">
        <v>1469</v>
      </c>
      <c r="E5" s="212" t="s">
        <v>1470</v>
      </c>
      <c r="F5" s="212" t="s">
        <v>1471</v>
      </c>
      <c r="G5" s="213"/>
    </row>
    <row r="6" spans="1:8" s="214" customFormat="1" ht="13.5" customHeight="1">
      <c r="A6" s="778" t="s">
        <v>1472</v>
      </c>
      <c r="B6" s="215" t="s">
        <v>1473</v>
      </c>
      <c r="C6" s="216">
        <f>基准地价修正!C33*基准地价修正!D33</f>
        <v>2482141.0999999996</v>
      </c>
      <c r="D6" s="217"/>
      <c r="E6" s="218"/>
      <c r="F6" s="218"/>
      <c r="G6" s="219"/>
    </row>
    <row r="7" spans="1:8" s="214" customFormat="1" ht="13.5" customHeight="1">
      <c r="A7" s="778" t="s">
        <v>1474</v>
      </c>
      <c r="B7" s="215" t="s">
        <v>1475</v>
      </c>
      <c r="C7" s="220">
        <f>ROUND(C6*F7,0)</f>
        <v>75705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11056</v>
      </c>
      <c r="D8" s="222"/>
      <c r="E8" s="220"/>
      <c r="F8" s="221"/>
      <c r="G8" s="1855" t="s">
        <v>3409</v>
      </c>
    </row>
    <row r="9" spans="1:8" s="214" customFormat="1" ht="13.5" customHeight="1">
      <c r="A9" s="779" t="s">
        <v>355</v>
      </c>
      <c r="B9" s="224" t="s">
        <v>1478</v>
      </c>
      <c r="C9" s="225">
        <f ca="1">ROUND(D9*E9,0)</f>
        <v>11056</v>
      </c>
      <c r="D9" s="845">
        <f ca="1">IF(B1="",'数据-汇总表'!E5,IF(INDIRECT("'数据-取费表'!c"&amp;$G$1)="住宅",INDIRECT("'数据-取费表'!k"&amp;$G$1),0))</f>
        <v>69.099999999999994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69.099999999999994</v>
      </c>
      <c r="E19" s="211">
        <f>'数据-取费表'!B31</f>
        <v>200</v>
      </c>
      <c r="F19" s="231"/>
      <c r="G19" s="1855" t="s">
        <v>3410</v>
      </c>
    </row>
    <row r="20" spans="1:7" s="214" customFormat="1" ht="13.5" customHeight="1">
      <c r="A20" s="255" t="s">
        <v>1574</v>
      </c>
      <c r="B20" s="210" t="s">
        <v>1575</v>
      </c>
      <c r="C20" s="232">
        <f ca="1">ROUND((C5+C19)*F20,0)</f>
        <v>51378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187011</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185191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1820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655070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655070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3759350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240814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207300</v>
      </c>
      <c r="D34" s="217"/>
      <c r="E34" s="220"/>
      <c r="F34" s="257"/>
      <c r="G34" s="219"/>
    </row>
    <row r="35" spans="1:7" ht="13.5" customHeight="1">
      <c r="A35" s="780" t="s">
        <v>351</v>
      </c>
      <c r="B35" s="215" t="s">
        <v>1527</v>
      </c>
      <c r="C35" s="220">
        <f ca="1">ROUND(C34*F35,0)</f>
        <v>6219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10365</v>
      </c>
      <c r="D36" s="220"/>
      <c r="E36" s="220"/>
      <c r="F36" s="259">
        <f>'数据-取费表'!B34</f>
        <v>0.05</v>
      </c>
      <c r="G36" s="260" t="s">
        <v>1530</v>
      </c>
    </row>
    <row r="37" spans="1:7" s="258" customFormat="1" ht="13.5" customHeight="1">
      <c r="A37" s="780" t="s">
        <v>353</v>
      </c>
      <c r="B37" s="215" t="s">
        <v>1531</v>
      </c>
      <c r="C37" s="249">
        <f ca="1">ROUND(E37*D37,0)</f>
        <v>13820</v>
      </c>
      <c r="D37" s="217">
        <f ca="1">D19</f>
        <v>69.099999999999994</v>
      </c>
      <c r="E37" s="249">
        <f>'数据-取费表'!B35</f>
        <v>200</v>
      </c>
      <c r="F37" s="259"/>
      <c r="G37" s="261"/>
    </row>
    <row r="38" spans="1:7" ht="13.5" customHeight="1">
      <c r="A38" s="780" t="s">
        <v>354</v>
      </c>
      <c r="B38" s="215" t="s">
        <v>1533</v>
      </c>
      <c r="C38" s="220">
        <f ca="1">ROUND(C34*F38,0)</f>
        <v>3110</v>
      </c>
      <c r="D38" s="220"/>
      <c r="E38" s="220"/>
      <c r="F38" s="259">
        <f>'数据-取费表'!B36</f>
        <v>1.4999999999999999E-2</v>
      </c>
      <c r="G38" s="219" t="s">
        <v>1528</v>
      </c>
    </row>
    <row r="39" spans="1:7" s="214" customFormat="1" ht="13.5" customHeight="1">
      <c r="A39" s="255" t="s">
        <v>1534</v>
      </c>
      <c r="B39" s="210" t="s">
        <v>1535</v>
      </c>
      <c r="C39" s="232">
        <f ca="1">ROUND(C33*F20,0)</f>
        <v>4816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8700</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8529</v>
      </c>
      <c r="D42" s="238"/>
      <c r="E42" s="238"/>
      <c r="F42" s="239"/>
      <c r="G42" s="3687" t="s">
        <v>1591</v>
      </c>
    </row>
    <row r="43" spans="1:7" ht="13.5" customHeight="1">
      <c r="A43" s="780" t="s">
        <v>347</v>
      </c>
      <c r="B43" s="215" t="s">
        <v>1545</v>
      </c>
      <c r="C43" s="238">
        <f ca="1">ROUND(IF('数据-取费表'!B22&lt;=1,C39*F22*'数据-取费表'!B20/2,C39*(POWER((1+F22),'数据-取费表'!B20/2)-1)),0)</f>
        <v>171</v>
      </c>
      <c r="D43" s="238"/>
      <c r="E43" s="238"/>
      <c r="F43" s="239"/>
      <c r="G43" s="3688"/>
    </row>
    <row r="44" spans="1:7" ht="13.5" customHeight="1">
      <c r="A44" s="780" t="s">
        <v>348</v>
      </c>
      <c r="B44" s="215" t="s">
        <v>1546</v>
      </c>
      <c r="C44" s="238">
        <f ca="1">ROUND(IF('数据-取费表'!B22&lt;=1,C40*F22*'数据-取费表'!B20/2,C40*(POWER((1+F22),'数据-取费表'!B20/2)-1)),4)</f>
        <v>6.9999999999999999E-4</v>
      </c>
      <c r="D44" s="238"/>
      <c r="E44" s="238"/>
      <c r="F44" s="239"/>
      <c r="G44" s="3689"/>
    </row>
    <row r="45" spans="1:7" s="214" customFormat="1" ht="13.5" customHeight="1">
      <c r="A45" s="255" t="s">
        <v>1547</v>
      </c>
      <c r="B45" s="244" t="s">
        <v>1513</v>
      </c>
      <c r="C45" s="245">
        <f ca="1">C46</f>
        <v>61408</v>
      </c>
      <c r="D45" s="235">
        <f ca="1">C47</f>
        <v>5.0000000000000001E-3</v>
      </c>
      <c r="E45" s="236" t="s">
        <v>1539</v>
      </c>
      <c r="F45" s="246">
        <f ca="1">F27</f>
        <v>0.25</v>
      </c>
      <c r="G45" s="247" t="s">
        <v>1548</v>
      </c>
    </row>
    <row r="46" spans="1:7" s="214" customFormat="1" ht="13.5" customHeight="1">
      <c r="A46" s="780" t="s">
        <v>346</v>
      </c>
      <c r="B46" s="248" t="s">
        <v>1549</v>
      </c>
      <c r="C46" s="249">
        <f ca="1">ROUND((C33+C39)*F27,0)</f>
        <v>61408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342821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222834</v>
      </c>
      <c r="D51" s="232"/>
      <c r="E51" s="232"/>
      <c r="F51" s="264"/>
      <c r="G51" s="234" t="s">
        <v>1560</v>
      </c>
    </row>
    <row r="52" spans="1:7" s="208" customFormat="1" ht="16.5" thickBot="1">
      <c r="A52" s="265" t="s">
        <v>1561</v>
      </c>
      <c r="B52" s="266"/>
      <c r="C52" s="267">
        <f ca="1">C31+C51</f>
        <v>3982184</v>
      </c>
      <c r="D52" s="266"/>
      <c r="E52" s="266"/>
      <c r="F52" s="266"/>
      <c r="G52" s="268"/>
    </row>
    <row r="55" spans="1:7" ht="15">
      <c r="B55" s="270" t="s">
        <v>1562</v>
      </c>
      <c r="C55" s="271"/>
    </row>
    <row r="56" spans="1:7">
      <c r="B56" s="273" t="s">
        <v>802</v>
      </c>
      <c r="C56" s="275">
        <f ca="1">1-C57</f>
        <v>0.94399999999999995</v>
      </c>
    </row>
    <row r="57" spans="1:7">
      <c r="B57" s="273" t="s">
        <v>803</v>
      </c>
      <c r="C57" s="274">
        <f ca="1">ROUND(C51/C52,3)</f>
        <v>5.6000000000000001E-2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1923</v>
      </c>
      <c r="B1" s="197"/>
      <c r="C1" s="201" t="s">
        <v>1924</v>
      </c>
      <c r="D1" s="342">
        <f>SUM(D33:D34,D37:D42)</f>
        <v>69.099999999999994</v>
      </c>
      <c r="E1" s="1991"/>
      <c r="F1" s="1991"/>
      <c r="G1" s="1991"/>
      <c r="H1" s="1991"/>
      <c r="I1" s="1991"/>
      <c r="J1" s="1991"/>
      <c r="K1" s="1119"/>
      <c r="L1" s="1992" t="s">
        <v>1925</v>
      </c>
      <c r="M1" s="863">
        <f>SUMPRODUCT((区片价!B5:B9=I2)*(区片价!C3:G3=E2)*(区片价!C5:G9))</f>
        <v>0</v>
      </c>
      <c r="N1" s="866">
        <f>SUMPRODUCT((因素修正幅度!B5:B9=I2)*(因素修正幅度!C3:G3=E2)*(因素修正幅度!C5:G9))</f>
        <v>0</v>
      </c>
      <c r="O1" s="1993"/>
      <c r="P1" s="1993"/>
      <c r="Q1" s="1119"/>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248</v>
      </c>
      <c r="C2" s="1995" t="s">
        <v>1932</v>
      </c>
      <c r="D2" s="1996" t="s">
        <v>1933</v>
      </c>
      <c r="E2" s="3417" t="s">
        <v>3375</v>
      </c>
      <c r="F2" s="1996" t="s">
        <v>1934</v>
      </c>
      <c r="G2" s="1997" t="str">
        <f>IF(E2="商业",项目基本情况!B37,IF(E2="办公",项目基本情况!C37,IF(E2="住宅",项目基本情况!D37,IF(E2="工业",项目基本情况!E37,项目基本情况!F37))))</f>
        <v>二级</v>
      </c>
      <c r="H2" s="1996" t="s">
        <v>1935</v>
      </c>
      <c r="I2" s="1997" t="str">
        <f>IF(E2="商业",项目基本情况!B38,IF(E2="办公",项目基本情况!C38,IF(E2="住宅",项目基本情况!D38,IF(E2="工业",项目基本情况!E38,项目基本情况!F38))))</f>
        <v>Ⅱ—15</v>
      </c>
      <c r="J2" s="1998"/>
      <c r="K2" s="1119"/>
      <c r="L2" s="1999" t="s">
        <v>1936</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57418</v>
      </c>
      <c r="U2" s="1212"/>
      <c r="V2" s="3356">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35890</v>
      </c>
      <c r="C3" s="1995" t="s">
        <v>1938</v>
      </c>
      <c r="D3" s="1996" t="s">
        <v>1939</v>
      </c>
      <c r="E3" s="3415" t="s">
        <v>3404</v>
      </c>
      <c r="F3" s="2000" t="s">
        <v>3405</v>
      </c>
      <c r="G3" s="752">
        <f>IF(F3="宗地容积率",'数据-汇总表'!I4,IF(F3="估价对象容积率",'数据-汇总表'!I6,'数据-汇总表'!I7))</f>
        <v>3.35</v>
      </c>
      <c r="H3" s="170" t="s">
        <v>1940</v>
      </c>
      <c r="I3" s="775"/>
      <c r="J3" s="1998" t="s">
        <v>1941</v>
      </c>
      <c r="K3" s="1119"/>
      <c r="L3" s="1999" t="s">
        <v>1942</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45584</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803"/>
      <c r="B4" s="3804"/>
      <c r="C4" s="3804"/>
      <c r="D4" s="3805"/>
      <c r="E4" s="3805"/>
      <c r="F4" s="3805"/>
      <c r="G4" s="3805"/>
      <c r="H4" s="3805"/>
      <c r="I4" s="3805"/>
      <c r="J4" s="3806"/>
      <c r="K4" s="1119"/>
      <c r="L4" s="1999" t="s">
        <v>1943</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39387</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1944</v>
      </c>
      <c r="C5" s="753">
        <f>ROUND(IF(E2="商业",C6*C7*C17+C20,(IF(E2="住宅",C6*C13*C17+C20,IF(E2="办公",C6*C12*C17+C20,C6+C20)))),0)</f>
        <v>33726</v>
      </c>
      <c r="D5" s="1338">
        <f>ROUND(C6*C17+C20,0)</f>
        <v>32120</v>
      </c>
      <c r="E5" s="1338"/>
      <c r="F5" s="2003"/>
      <c r="G5" s="2004"/>
      <c r="H5" s="2004"/>
      <c r="I5" s="2004"/>
      <c r="J5" s="2005"/>
      <c r="K5" s="2006"/>
      <c r="L5" s="1999" t="s">
        <v>1945</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35642</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1946</v>
      </c>
      <c r="B6" s="2012" t="s">
        <v>1947</v>
      </c>
      <c r="C6" s="754">
        <f>SUMIF(L1:L12,G2,M1:M12)</f>
        <v>32120</v>
      </c>
      <c r="D6" s="2013"/>
      <c r="E6" s="2014"/>
      <c r="F6" s="2014"/>
      <c r="G6" s="2015"/>
      <c r="H6" s="2015"/>
      <c r="I6" s="2015"/>
      <c r="J6" s="2016"/>
      <c r="K6" s="1383"/>
      <c r="L6" s="1999" t="s">
        <v>1948</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33969</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3237</v>
      </c>
      <c r="B7" s="2017" t="s">
        <v>1949</v>
      </c>
      <c r="C7" s="755" t="e">
        <f>IF(C8="不临65条商业街",1,ROUND(1+(1.6*E8+1.2*E9+0.8*E10+0.4*E11)*C9,4))</f>
        <v>#DIV/0!</v>
      </c>
      <c r="D7" s="2018" t="s">
        <v>1950</v>
      </c>
      <c r="E7" s="776"/>
      <c r="F7" s="2019"/>
      <c r="G7" s="2020"/>
      <c r="H7" s="2020"/>
      <c r="I7" s="2020"/>
      <c r="J7" s="2021"/>
      <c r="K7" s="1383"/>
      <c r="L7" s="1999" t="s">
        <v>1951</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1952</v>
      </c>
      <c r="X7" s="1213" t="str">
        <f>G2</f>
        <v>二级</v>
      </c>
      <c r="Y7" s="1213" t="s">
        <v>1953</v>
      </c>
      <c r="Z7" s="1214">
        <f>G3</f>
        <v>3.35</v>
      </c>
      <c r="AA7" s="1215"/>
      <c r="AB7" s="1215"/>
      <c r="AC7" s="1216"/>
      <c r="AD7" s="1217"/>
      <c r="AE7" s="1217"/>
      <c r="AF7" s="1217"/>
      <c r="AG7" s="1217"/>
      <c r="AH7" s="1217"/>
      <c r="AI7" s="1217"/>
      <c r="AJ7" s="1218"/>
    </row>
    <row r="8" spans="1:36" ht="15">
      <c r="A8" s="3294"/>
      <c r="B8" s="170" t="s">
        <v>1954</v>
      </c>
      <c r="C8" s="2022"/>
      <c r="D8" s="756" t="s">
        <v>112</v>
      </c>
      <c r="E8" s="757" t="e">
        <f>ROUND(C11/E7,4)</f>
        <v>#DIV/0!</v>
      </c>
      <c r="F8" s="2023" t="s">
        <v>1955</v>
      </c>
      <c r="G8" s="2024"/>
      <c r="H8" s="2024"/>
      <c r="I8" s="2024"/>
      <c r="J8" s="2025"/>
      <c r="K8" s="1119"/>
      <c r="L8" s="1999" t="s">
        <v>1956</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800" t="s">
        <v>1957</v>
      </c>
      <c r="X8" s="3801"/>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4"/>
      <c r="B9" s="170" t="s">
        <v>1970</v>
      </c>
      <c r="C9" s="758">
        <f>SUMIF(修正!C71:C138,C8,修正!E71:E138)</f>
        <v>0</v>
      </c>
      <c r="D9" s="171" t="s">
        <v>113</v>
      </c>
      <c r="E9" s="171" t="e">
        <f>ROUND(C11/E7,4)</f>
        <v>#DIV/0!</v>
      </c>
      <c r="F9" s="2023" t="s">
        <v>1971</v>
      </c>
      <c r="G9" s="2024"/>
      <c r="H9" s="2024"/>
      <c r="I9" s="2024"/>
      <c r="J9" s="2025"/>
      <c r="K9" s="1119"/>
      <c r="L9" s="1999" t="s">
        <v>1972</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80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3" t="s">
        <v>1974</v>
      </c>
      <c r="G10" s="2024"/>
      <c r="H10" s="2024"/>
      <c r="I10" s="2024"/>
      <c r="J10" s="2025"/>
      <c r="K10" s="1119"/>
      <c r="L10" s="1999" t="s">
        <v>1975</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80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1976</v>
      </c>
      <c r="C11" s="759">
        <f>C10/4</f>
        <v>0</v>
      </c>
      <c r="D11" s="759" t="s">
        <v>115</v>
      </c>
      <c r="E11" s="759" t="e">
        <f>ROUND(C11/E7,4)</f>
        <v>#DIV/0!</v>
      </c>
      <c r="F11" s="2027" t="s">
        <v>1977</v>
      </c>
      <c r="G11" s="2028"/>
      <c r="H11" s="2028"/>
      <c r="I11" s="2028"/>
      <c r="J11" s="2029"/>
      <c r="K11" s="1119"/>
      <c r="L11" s="1999" t="s">
        <v>1978</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3238</v>
      </c>
      <c r="B12" s="3300" t="s">
        <v>3239</v>
      </c>
      <c r="C12" s="3301"/>
      <c r="D12" s="3302" t="s">
        <v>3240</v>
      </c>
      <c r="E12" s="3303" t="s">
        <v>3241</v>
      </c>
      <c r="F12" s="3304"/>
      <c r="G12" s="3305"/>
      <c r="H12" s="3305"/>
      <c r="I12" s="3305"/>
      <c r="J12" s="3306"/>
      <c r="K12" s="1119"/>
      <c r="L12" s="2035" t="s">
        <v>1981</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3242</v>
      </c>
      <c r="B13" s="2030" t="s">
        <v>1979</v>
      </c>
      <c r="C13" s="755">
        <f>ROUND(C16*D16*E16*F16*G16*H16*I16*J16,4)</f>
        <v>1.05</v>
      </c>
      <c r="D13" s="2031" t="s">
        <v>1980</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1982</v>
      </c>
      <c r="C14" s="2037" t="s">
        <v>1983</v>
      </c>
      <c r="D14" s="1349" t="s">
        <v>1984</v>
      </c>
      <c r="E14" s="27" t="s">
        <v>1985</v>
      </c>
      <c r="F14" s="3307" t="s">
        <v>3243</v>
      </c>
      <c r="G14" s="3307" t="s">
        <v>3243</v>
      </c>
      <c r="H14" s="3307" t="s">
        <v>3243</v>
      </c>
      <c r="I14" s="3307" t="s">
        <v>3243</v>
      </c>
      <c r="J14" s="3307" t="s">
        <v>3243</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3401</v>
      </c>
      <c r="D15" s="2040" t="s">
        <v>3401</v>
      </c>
      <c r="E15" s="2041" t="s">
        <v>3402</v>
      </c>
      <c r="F15" s="3308" t="s">
        <v>3244</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1986</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3248</v>
      </c>
      <c r="E18" s="3324"/>
      <c r="F18" s="3319" t="s">
        <v>3251</v>
      </c>
      <c r="G18" s="3323">
        <f>ROUND(1-(1/(POWER(1+G24,E18))),4)</f>
        <v>0</v>
      </c>
      <c r="H18" s="3319" t="s">
        <v>3253</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3249</v>
      </c>
      <c r="E19" s="3333"/>
      <c r="F19" s="3334" t="s">
        <v>3252</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807" t="s">
        <v>3254</v>
      </c>
      <c r="B20" s="167" t="s">
        <v>1991</v>
      </c>
      <c r="C20" s="3320">
        <f>ROUND(IF(F21="与级别开发程度一致",0,(G21-E21)/C21),0)</f>
        <v>0</v>
      </c>
      <c r="D20" s="3336" t="s">
        <v>1995</v>
      </c>
      <c r="E20" s="3337"/>
      <c r="F20" s="3813" t="s">
        <v>1992</v>
      </c>
      <c r="G20" s="3814"/>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808"/>
      <c r="B21" s="2160" t="s">
        <v>1994</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1997</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1999</v>
      </c>
      <c r="E23" s="761">
        <v>44197</v>
      </c>
      <c r="F23" s="2050" t="s">
        <v>2000</v>
      </c>
      <c r="G23" s="762">
        <f>'数据-取费表'!B2</f>
        <v>45250</v>
      </c>
      <c r="H23" s="3338" t="s">
        <v>3256</v>
      </c>
      <c r="I23" s="3339" t="str">
        <f>IF(H23="季度增幅（自定义）",SUMIF(N25:N28,E2,O25:O28),"")</f>
        <v/>
      </c>
      <c r="J23" s="3441" t="s">
        <v>3255</v>
      </c>
      <c r="K23" s="1125"/>
      <c r="L23" s="2051" t="s">
        <v>2001</v>
      </c>
      <c r="M23" s="1327">
        <f>ROUND(SUMIF(地价!B2:G2,E2,地价!B16:G16),0)</f>
        <v>687</v>
      </c>
      <c r="N23" s="2052" t="s">
        <v>2002</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2003</v>
      </c>
      <c r="C24" s="764">
        <f>ROUND(POWER(1+G24,J24-I24)*(POWER(1+G24,I24)-1)/(POWER(1+G24,J24)-1),4)</f>
        <v>1</v>
      </c>
      <c r="D24" s="2056" t="s">
        <v>2004</v>
      </c>
      <c r="E24" s="1334">
        <f>存贷款利率!E22/100</f>
        <v>4.3499999999999997E-2</v>
      </c>
      <c r="F24" s="2056" t="s">
        <v>1996</v>
      </c>
      <c r="G24" s="768">
        <f>SUMIF(M30:Q30,E2,M33:Q33)</f>
        <v>0.05</v>
      </c>
      <c r="H24" s="2056" t="s">
        <v>2005</v>
      </c>
      <c r="I24" s="769">
        <f>SUMIF('数据-取费表'!C6:C15,E2,'数据-取费表'!F6:F15)/COUNTIF('数据-取费表'!C6:C15,E2)</f>
        <v>70</v>
      </c>
      <c r="J24" s="770">
        <f>IF(E2="住宅",70,IF(E2="商业",40,50))</f>
        <v>70</v>
      </c>
      <c r="K24" s="1125"/>
      <c r="L24" s="2057" t="s">
        <v>2006</v>
      </c>
      <c r="M24" s="1328">
        <f>ROUND(SUMPRODUCT((地价!A4:A16=YEAR(G23)&amp;"-"&amp;ROUNDUP(MONTH(G23)/3,0))*(地价!B2:G2=E2)*(地价!B4:G16)),0)</f>
        <v>0</v>
      </c>
      <c r="N24" s="2058" t="s">
        <v>2007</v>
      </c>
      <c r="O24" s="2059" t="s">
        <v>2008</v>
      </c>
      <c r="P24" s="2060" t="s">
        <v>2009</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3335</v>
      </c>
      <c r="C25" s="771">
        <f>IF(B25="容积率修正",IF(G3&lt;10,D26,J26),C27)</f>
        <v>0.95130000000000003</v>
      </c>
      <c r="D25" s="2063"/>
      <c r="E25" s="2063"/>
      <c r="F25" s="2063"/>
      <c r="G25" s="2063"/>
      <c r="H25" s="2063"/>
      <c r="I25" s="2063"/>
      <c r="J25" s="2064"/>
      <c r="K25" s="1125"/>
      <c r="L25" s="2783"/>
      <c r="M25" s="2783"/>
      <c r="N25" s="2065" t="s">
        <v>2010</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2011</v>
      </c>
      <c r="B26" s="2066" t="s">
        <v>2012</v>
      </c>
      <c r="C26" s="3340" t="s">
        <v>3257</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3258</v>
      </c>
      <c r="J26" s="772" t="str">
        <f>IF(G3&gt;=10,D115,"——")</f>
        <v>——</v>
      </c>
      <c r="K26" s="1125"/>
      <c r="L26" s="2783"/>
      <c r="M26" s="2783"/>
      <c r="N26" s="2065" t="s">
        <v>2013</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2014</v>
      </c>
      <c r="B27" s="2067" t="s">
        <v>2015</v>
      </c>
      <c r="C27" s="841">
        <f>ROUND(IF(I3&lt;6,SUMPRODUCT((B106:B110=I3)*(C105:N105=G2)*(C106:N110)),SUMIF(C105:N105,G2,C112:N112)),4)</f>
        <v>0</v>
      </c>
      <c r="D27" s="2042"/>
      <c r="E27" s="2042"/>
      <c r="F27" s="2068"/>
      <c r="G27" s="2069"/>
      <c r="H27" s="2070"/>
      <c r="I27" s="2071"/>
      <c r="J27" s="2072"/>
      <c r="K27" s="1119"/>
      <c r="L27" s="1993"/>
      <c r="M27" s="1993"/>
      <c r="N27" s="2065" t="s">
        <v>2016</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2017</v>
      </c>
      <c r="C28" s="760">
        <f>SUMIF(A47:A101,E2,B47:B101)</f>
        <v>1.0448999999999999</v>
      </c>
      <c r="D28" s="2048"/>
      <c r="E28" s="2073"/>
      <c r="F28" s="2073"/>
      <c r="G28" s="2073"/>
      <c r="H28" s="2073"/>
      <c r="I28" s="2073"/>
      <c r="J28" s="2074"/>
      <c r="K28" s="1125"/>
      <c r="L28" s="2783"/>
      <c r="M28" s="2783"/>
      <c r="N28" s="2075"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2019</v>
      </c>
      <c r="C29" s="765"/>
      <c r="D29" s="2020"/>
      <c r="E29" s="2020"/>
      <c r="F29" s="2077"/>
      <c r="G29" s="2020"/>
      <c r="H29" s="2020"/>
      <c r="I29" s="2020"/>
      <c r="J29" s="2021"/>
      <c r="K29" s="1119"/>
      <c r="L29" s="1993"/>
      <c r="M29" s="1993"/>
      <c r="N29" s="2780" t="s">
        <v>2020</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2021</v>
      </c>
      <c r="C30" s="2317">
        <f>IF(B25="容积率修正",E33+SUM(E37:E42),SUM(V2:V16)+SUM(E37:E42))</f>
        <v>248</v>
      </c>
      <c r="D30" s="2079"/>
      <c r="E30" s="2042"/>
      <c r="F30" s="2080"/>
      <c r="G30" s="2042"/>
      <c r="H30" s="2042"/>
      <c r="I30" s="2042"/>
      <c r="J30" s="2081"/>
      <c r="K30" s="1119"/>
      <c r="L30" s="3346" t="s">
        <v>1933</v>
      </c>
      <c r="M30" s="3347" t="s">
        <v>1987</v>
      </c>
      <c r="N30" s="3347" t="s">
        <v>1988</v>
      </c>
      <c r="O30" s="3347" t="s">
        <v>1989</v>
      </c>
      <c r="P30" s="3347" t="s">
        <v>1990</v>
      </c>
      <c r="Q30" s="3350" t="s">
        <v>3262</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2022</v>
      </c>
      <c r="C31" s="766">
        <f>E34+SUM(I37:I42)</f>
        <v>0</v>
      </c>
      <c r="D31" s="2083"/>
      <c r="E31" s="2084"/>
      <c r="F31" s="2085"/>
      <c r="G31" s="2084"/>
      <c r="H31" s="2084"/>
      <c r="I31" s="2084"/>
      <c r="J31" s="2086"/>
      <c r="K31" s="1119"/>
      <c r="L31" s="3348" t="s">
        <v>1993</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9"/>
      <c r="L32" s="3349" t="s">
        <v>1996</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2027</v>
      </c>
      <c r="C33" s="175">
        <f>ROUND(C5*C22*C23*C24*C25*C28,0)</f>
        <v>35921</v>
      </c>
      <c r="D33" s="2094">
        <f>'数据-汇总表'!F19</f>
        <v>69.099999999999994</v>
      </c>
      <c r="E33" s="773">
        <f>ROUND(C33*D33/10000,0)</f>
        <v>248</v>
      </c>
      <c r="F33" s="3341" t="s">
        <v>3260</v>
      </c>
      <c r="G33" s="2095"/>
      <c r="H33" s="2095"/>
      <c r="I33" s="2095"/>
      <c r="J33" s="2096"/>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2028</v>
      </c>
      <c r="C34" s="187">
        <f>ROUND(IF(E2="工业",C33*M42,IF(B25="楼层修正",SUM(V2:V16)*M41*10000/D34,C33*M41)),0)</f>
        <v>8980</v>
      </c>
      <c r="D34" s="2099"/>
      <c r="E34" s="773">
        <f>ROUND(IF(B25="楼层修正",SUM(V2:V16)*M40,C34*D34/10000),0)</f>
        <v>0</v>
      </c>
      <c r="F34" s="2100" t="s">
        <v>2029</v>
      </c>
      <c r="G34" s="2101"/>
      <c r="H34" s="2101"/>
      <c r="I34" s="2101"/>
      <c r="J34" s="2102"/>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2030</v>
      </c>
      <c r="C35" s="3342" t="s">
        <v>3261</v>
      </c>
      <c r="D35" s="2033"/>
      <c r="E35" s="2105"/>
      <c r="F35" s="2105"/>
      <c r="G35" s="2031" t="s">
        <v>2031</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2024</v>
      </c>
      <c r="D36" s="447" t="s">
        <v>2025</v>
      </c>
      <c r="E36" s="447" t="s">
        <v>2026</v>
      </c>
      <c r="F36" s="342" t="s">
        <v>2032</v>
      </c>
      <c r="G36" s="2108" t="s">
        <v>2024</v>
      </c>
      <c r="H36" s="2108" t="s">
        <v>2025</v>
      </c>
      <c r="I36" s="2108" t="s">
        <v>2026</v>
      </c>
      <c r="J36" s="243"/>
      <c r="K36" s="3352" t="s">
        <v>3265</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11"/>
      <c r="B37" s="2109" t="s">
        <v>2033</v>
      </c>
      <c r="C37" s="175">
        <f>ROUND(D5*C22*C23*C24*C28*F37,0)</f>
        <v>25173</v>
      </c>
      <c r="D37" s="2094"/>
      <c r="E37" s="171">
        <f t="shared" ref="E37:E42" si="3">ROUND(C37*D37/10000,0)</f>
        <v>0</v>
      </c>
      <c r="F37" s="171">
        <f>SUMIF(修正!A57:A68,G2,修正!B57:B68)</f>
        <v>0.7</v>
      </c>
      <c r="G37" s="171">
        <f>ROUND(IF(E2="工业",C37*$M$42,C37*$M$41),0)</f>
        <v>6293</v>
      </c>
      <c r="H37" s="171">
        <f t="shared" ref="H37:H42" si="4">D37</f>
        <v>0</v>
      </c>
      <c r="I37" s="171">
        <f t="shared" ref="I37:I42" si="5">ROUND(G37*H37/10000,0)</f>
        <v>0</v>
      </c>
      <c r="J37" s="3007"/>
      <c r="K37" s="3354" t="s">
        <v>3266</v>
      </c>
      <c r="L37" s="3352">
        <f ca="1">L36+K38</f>
        <v>5.2499999999999998E-2</v>
      </c>
      <c r="M37" s="3353">
        <f ca="1">ROUND($L$37*(1+M31),3)</f>
        <v>6.6000000000000003E-2</v>
      </c>
      <c r="N37" s="3353">
        <f ca="1">ROUND($L$37*(1+N31),3)</f>
        <v>6.3E-2</v>
      </c>
      <c r="O37" s="3353">
        <f ca="1">ROUND($L$37*(1+O31),3)</f>
        <v>0.06</v>
      </c>
      <c r="P37" s="3353">
        <f ca="1">ROUND($L$37*(1+P31),3)</f>
        <v>5.8000000000000003E-2</v>
      </c>
      <c r="Q37" s="3353">
        <f ca="1">ROUND($L$37*(1+Q31),3)</f>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12"/>
      <c r="B38" s="2037" t="s">
        <v>2034</v>
      </c>
      <c r="C38" s="175">
        <f>ROUND(D5*C22*C23*C24*C28*F38,0)</f>
        <v>14385</v>
      </c>
      <c r="D38" s="2094"/>
      <c r="E38" s="171">
        <f t="shared" si="3"/>
        <v>0</v>
      </c>
      <c r="F38" s="171">
        <f>SUMIF(修正!A57:A68,G2,修正!C57:C68)</f>
        <v>0.4</v>
      </c>
      <c r="G38" s="171">
        <f>ROUND(IF(E2="工业",C38*$M$42,C38*$M$41),0)</f>
        <v>3596</v>
      </c>
      <c r="H38" s="171">
        <f t="shared" si="4"/>
        <v>0</v>
      </c>
      <c r="I38" s="171">
        <f t="shared" si="5"/>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812"/>
      <c r="B39" s="2037" t="s">
        <v>3259</v>
      </c>
      <c r="C39" s="175">
        <f>ROUND(D5*C22*C23*C24*C28*F39,0)</f>
        <v>10789</v>
      </c>
      <c r="D39" s="2094"/>
      <c r="E39" s="171">
        <f t="shared" si="3"/>
        <v>0</v>
      </c>
      <c r="F39" s="171">
        <f>SUMIF(修正!A57:A68,G2,修正!D57:D68)</f>
        <v>0.3</v>
      </c>
      <c r="G39" s="171">
        <f>ROUND(IF(E2="工业",C39*$M$42,C39*$M$41),0)</f>
        <v>2697</v>
      </c>
      <c r="H39" s="171">
        <f t="shared" si="4"/>
        <v>0</v>
      </c>
      <c r="I39" s="171">
        <f t="shared" si="5"/>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2035</v>
      </c>
      <c r="C40" s="171">
        <f>ROUND(D5*C22*C23*C24*C28*F40,0)</f>
        <v>10789</v>
      </c>
      <c r="D40" s="2094"/>
      <c r="E40" s="171">
        <f t="shared" si="3"/>
        <v>0</v>
      </c>
      <c r="F40" s="175">
        <f>SUMIF(修正!A57:A68,G2,修正!E57:E68)</f>
        <v>0.3</v>
      </c>
      <c r="G40" s="171">
        <f>ROUND(IF(E2="工业",C40*$M$42,C40*$M$41),0)</f>
        <v>2697</v>
      </c>
      <c r="H40" s="171">
        <f t="shared" si="4"/>
        <v>0</v>
      </c>
      <c r="I40" s="171">
        <f t="shared" si="5"/>
        <v>0</v>
      </c>
      <c r="J40" s="2110"/>
      <c r="L40" s="2112" t="s">
        <v>2036</v>
      </c>
      <c r="M40" s="2113"/>
      <c r="Z40" s="1120"/>
      <c r="AA40" s="1120"/>
      <c r="AB40" s="1120"/>
      <c r="AC40" s="1120"/>
      <c r="AD40" s="1120"/>
      <c r="AE40" s="1120"/>
      <c r="AF40" s="1120"/>
      <c r="AG40" s="1120"/>
      <c r="AH40" s="1120"/>
      <c r="AI40" s="1120"/>
      <c r="AJ40" s="1120"/>
    </row>
    <row r="41" spans="1:37" s="1119" customFormat="1">
      <c r="A41" s="2111"/>
      <c r="B41" s="2037" t="s">
        <v>2037</v>
      </c>
      <c r="C41" s="171">
        <f>ROUND(D5*C22*C23*C44*C28*F41,0)</f>
        <v>0</v>
      </c>
      <c r="D41" s="2094"/>
      <c r="E41" s="171">
        <f t="shared" si="3"/>
        <v>0</v>
      </c>
      <c r="F41" s="175">
        <f>SUMIF(修正!A57:A68,G2,修正!F57:F68)</f>
        <v>0.3</v>
      </c>
      <c r="G41" s="171">
        <f>ROUND(IF(E2="工业",C41*$M$42,C41*$M$41),0)</f>
        <v>0</v>
      </c>
      <c r="H41" s="171">
        <f t="shared" si="4"/>
        <v>0</v>
      </c>
      <c r="I41" s="171">
        <f t="shared" si="5"/>
        <v>0</v>
      </c>
      <c r="J41" s="2110"/>
      <c r="L41" s="3355" t="s">
        <v>3267</v>
      </c>
      <c r="M41" s="2114">
        <v>0.25</v>
      </c>
      <c r="Z41" s="1120"/>
      <c r="AA41" s="1120"/>
      <c r="AB41" s="1120"/>
      <c r="AC41" s="1120"/>
      <c r="AD41" s="1120"/>
      <c r="AE41" s="1120"/>
      <c r="AF41" s="1120"/>
      <c r="AG41" s="1120"/>
      <c r="AH41" s="1120"/>
      <c r="AI41" s="1120"/>
      <c r="AJ41" s="1120"/>
    </row>
    <row r="42" spans="1:37" s="1119" customFormat="1" ht="13.5" thickBot="1">
      <c r="A42" s="2097"/>
      <c r="B42" s="2115" t="s">
        <v>2038</v>
      </c>
      <c r="C42" s="187">
        <f>ROUND(D5*C22*C23*C44*C28*F42,0)</f>
        <v>0</v>
      </c>
      <c r="D42" s="2099"/>
      <c r="E42" s="187">
        <f t="shared" si="3"/>
        <v>0</v>
      </c>
      <c r="F42" s="767">
        <f>SUMIF(修正!A57:A68,G2,修正!G57:G68)</f>
        <v>0.2</v>
      </c>
      <c r="G42" s="187">
        <f>ROUND(IF(E2="工业",C42*$M$42,C42*$M$41),0)</f>
        <v>0</v>
      </c>
      <c r="H42" s="187">
        <f t="shared" si="4"/>
        <v>0</v>
      </c>
      <c r="I42" s="187">
        <f t="shared" si="5"/>
        <v>0</v>
      </c>
      <c r="J42" s="2116"/>
      <c r="L42" s="2117" t="s">
        <v>1990</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2119</v>
      </c>
      <c r="C44" s="342">
        <f>ROUND(POWER(1+E44,H44-G44)*(POWER(1+E44,G44)-1)/(POWER(1+E44,H44)-1),4)</f>
        <v>0</v>
      </c>
      <c r="D44" s="171" t="s">
        <v>1996</v>
      </c>
      <c r="E44" s="2149">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2039</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2040</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2041</v>
      </c>
      <c r="B49" s="1350" t="s">
        <v>2042</v>
      </c>
      <c r="C49" s="1350" t="s">
        <v>2043</v>
      </c>
      <c r="D49" s="1350" t="s">
        <v>2044</v>
      </c>
      <c r="E49" s="743" t="s">
        <v>2045</v>
      </c>
      <c r="F49" s="2127" t="s">
        <v>2046</v>
      </c>
      <c r="G49" s="1350" t="s">
        <v>310</v>
      </c>
      <c r="H49" s="2128" t="s">
        <v>2047</v>
      </c>
      <c r="I49" s="1350"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hidden="1">
      <c r="A50" s="2126" t="s">
        <v>2049</v>
      </c>
      <c r="B50" s="2129" t="str">
        <f>估价对象房地状况!C4</f>
        <v>估价对象位于XX商圈，周边商业氛围成熟，人流量大，商业繁华度好</v>
      </c>
      <c r="C50" s="2040"/>
      <c r="D50" s="1065">
        <f t="shared" ref="D50:D58" si="6">SUMIF($J$49:$N$49,C50,J50:N50)</f>
        <v>0</v>
      </c>
      <c r="E50" s="744">
        <f>ROUND(SUM(D50:D58),4)</f>
        <v>0</v>
      </c>
      <c r="F50" s="1813" t="str">
        <f>IF(E2="商业",SUMIF(L1:L12,G2,N1:N12),"——")</f>
        <v>——</v>
      </c>
      <c r="G50" s="1063"/>
      <c r="H50" s="1066" t="str">
        <f t="shared" ref="H50:H58" si="7">IFERROR(ROUNDDOWN($F$50*I50/2,4),"——")</f>
        <v>——</v>
      </c>
      <c r="I50" s="3362">
        <v>0.3</v>
      </c>
      <c r="J50" s="1064">
        <f t="shared" ref="J50:J58" si="8">K50+$G50</f>
        <v>0</v>
      </c>
      <c r="K50" s="1064">
        <f t="shared" ref="K50:K58" si="9">$L50+$G50</f>
        <v>0</v>
      </c>
      <c r="L50" s="1064">
        <v>0</v>
      </c>
      <c r="M50" s="1064">
        <f t="shared" ref="M50:N58" si="10">L50-$G50</f>
        <v>0</v>
      </c>
      <c r="N50" s="1064">
        <f t="shared" si="10"/>
        <v>0</v>
      </c>
      <c r="AA50" s="1120"/>
      <c r="AB50" s="1120"/>
      <c r="AC50" s="1120"/>
      <c r="AD50" s="1120"/>
      <c r="AE50" s="1120"/>
      <c r="AF50" s="1120"/>
      <c r="AG50" s="1120"/>
      <c r="AH50" s="1120"/>
      <c r="AI50" s="1120"/>
      <c r="AJ50" s="1120"/>
      <c r="AK50" s="1120"/>
    </row>
    <row r="51" spans="1:37" s="1119" customFormat="1" ht="51" hidden="1">
      <c r="A51" s="2126" t="s">
        <v>2050</v>
      </c>
      <c r="B51" s="2130" t="str">
        <f>估价对象房地状况!C18</f>
        <v>周边有10路、13路、21路、26路、68路等多条公交线路及地铁1号线南礼士路站，综合评价交通便捷度较好</v>
      </c>
      <c r="C51" s="2040"/>
      <c r="D51" s="1065">
        <f t="shared" si="6"/>
        <v>0</v>
      </c>
      <c r="E51" s="745"/>
      <c r="F51" s="1813"/>
      <c r="G51" s="1063"/>
      <c r="H51" s="1066" t="str">
        <f t="shared" si="7"/>
        <v>——</v>
      </c>
      <c r="I51" s="3362">
        <v>0.22</v>
      </c>
      <c r="J51" s="1064">
        <f t="shared" si="8"/>
        <v>0</v>
      </c>
      <c r="K51" s="1064">
        <f t="shared" si="9"/>
        <v>0</v>
      </c>
      <c r="L51" s="1064">
        <v>0</v>
      </c>
      <c r="M51" s="1064">
        <f t="shared" si="10"/>
        <v>0</v>
      </c>
      <c r="N51" s="1064">
        <f t="shared" si="10"/>
        <v>0</v>
      </c>
      <c r="AA51" s="1120"/>
      <c r="AB51" s="1120"/>
      <c r="AC51" s="1120"/>
      <c r="AD51" s="1120"/>
      <c r="AE51" s="1120"/>
      <c r="AF51" s="1120"/>
      <c r="AG51" s="1120"/>
      <c r="AH51" s="1120"/>
      <c r="AI51" s="1120"/>
      <c r="AJ51" s="1120"/>
      <c r="AK51" s="1120"/>
    </row>
    <row r="52" spans="1:37" s="1119" customFormat="1" ht="36" hidden="1">
      <c r="A52" s="3364" t="s">
        <v>3269</v>
      </c>
      <c r="B52" s="2130">
        <f>估价对象房地状况!C19</f>
        <v>0</v>
      </c>
      <c r="C52" s="2040"/>
      <c r="D52" s="1065">
        <f t="shared" si="6"/>
        <v>0</v>
      </c>
      <c r="E52" s="745"/>
      <c r="F52" s="1813"/>
      <c r="G52" s="1063"/>
      <c r="H52" s="1066" t="str">
        <f t="shared" si="7"/>
        <v>——</v>
      </c>
      <c r="I52" s="3362">
        <v>0.12</v>
      </c>
      <c r="J52" s="1064">
        <f t="shared" si="8"/>
        <v>0</v>
      </c>
      <c r="K52" s="1064">
        <f t="shared" si="9"/>
        <v>0</v>
      </c>
      <c r="L52" s="1064">
        <v>0</v>
      </c>
      <c r="M52" s="1064">
        <f t="shared" si="10"/>
        <v>0</v>
      </c>
      <c r="N52" s="1064">
        <f t="shared" si="10"/>
        <v>0</v>
      </c>
      <c r="AA52" s="1120"/>
      <c r="AB52" s="1120"/>
      <c r="AC52" s="1120"/>
      <c r="AD52" s="1120"/>
      <c r="AE52" s="1120"/>
      <c r="AF52" s="1120"/>
      <c r="AG52" s="1120"/>
      <c r="AH52" s="1120"/>
      <c r="AI52" s="1120"/>
      <c r="AJ52" s="1120"/>
      <c r="AK52" s="1120"/>
    </row>
    <row r="53" spans="1:37" s="1119" customFormat="1" ht="36.75" hidden="1">
      <c r="A53" s="2126" t="s">
        <v>2051</v>
      </c>
      <c r="B53" s="2131" t="s">
        <v>2052</v>
      </c>
      <c r="C53" s="2040"/>
      <c r="D53" s="1065">
        <f t="shared" si="6"/>
        <v>0</v>
      </c>
      <c r="E53" s="745"/>
      <c r="F53" s="1813"/>
      <c r="G53" s="1063"/>
      <c r="H53" s="1066" t="str">
        <f t="shared" si="7"/>
        <v>——</v>
      </c>
      <c r="I53" s="3362">
        <v>0.05</v>
      </c>
      <c r="J53" s="1064">
        <f t="shared" si="8"/>
        <v>0</v>
      </c>
      <c r="K53" s="1064">
        <f t="shared" si="9"/>
        <v>0</v>
      </c>
      <c r="L53" s="1064">
        <v>0</v>
      </c>
      <c r="M53" s="1064">
        <f t="shared" si="10"/>
        <v>0</v>
      </c>
      <c r="N53" s="1064">
        <f t="shared" si="10"/>
        <v>0</v>
      </c>
      <c r="AA53" s="1120"/>
      <c r="AB53" s="1120"/>
      <c r="AC53" s="1120"/>
      <c r="AD53" s="1120"/>
      <c r="AE53" s="1120"/>
      <c r="AF53" s="1120"/>
      <c r="AG53" s="1120"/>
      <c r="AH53" s="1120"/>
      <c r="AI53" s="1120"/>
      <c r="AJ53" s="1120"/>
      <c r="AK53" s="1120"/>
    </row>
    <row r="54" spans="1:37" s="1119" customFormat="1" ht="24" hidden="1">
      <c r="A54" s="2126" t="s">
        <v>2053</v>
      </c>
      <c r="B54" s="2130">
        <f>估价对象房地状况!C24</f>
        <v>0</v>
      </c>
      <c r="C54" s="2040"/>
      <c r="D54" s="1065">
        <f t="shared" si="6"/>
        <v>0</v>
      </c>
      <c r="E54" s="745"/>
      <c r="F54" s="1813"/>
      <c r="G54" s="1063"/>
      <c r="H54" s="1066" t="str">
        <f t="shared" si="7"/>
        <v>——</v>
      </c>
      <c r="I54" s="3362">
        <v>0.08</v>
      </c>
      <c r="J54" s="1064">
        <f t="shared" si="8"/>
        <v>0</v>
      </c>
      <c r="K54" s="1064">
        <f t="shared" si="9"/>
        <v>0</v>
      </c>
      <c r="L54" s="1064">
        <v>0</v>
      </c>
      <c r="M54" s="1064">
        <f t="shared" si="10"/>
        <v>0</v>
      </c>
      <c r="N54" s="1064">
        <f t="shared" si="10"/>
        <v>0</v>
      </c>
      <c r="AA54" s="1120"/>
      <c r="AB54" s="1120"/>
      <c r="AC54" s="1120"/>
      <c r="AD54" s="1120"/>
      <c r="AE54" s="1120"/>
      <c r="AF54" s="1120"/>
      <c r="AG54" s="1120"/>
      <c r="AH54" s="1120"/>
      <c r="AI54" s="1120"/>
      <c r="AJ54" s="1120"/>
      <c r="AK54" s="1120"/>
    </row>
    <row r="55" spans="1:37" s="1119" customFormat="1" ht="24" hidden="1">
      <c r="A55" s="2126" t="s">
        <v>2054</v>
      </c>
      <c r="B55" s="2132" t="s">
        <v>2055</v>
      </c>
      <c r="C55" s="2040"/>
      <c r="D55" s="1065">
        <f t="shared" si="6"/>
        <v>0</v>
      </c>
      <c r="E55" s="745"/>
      <c r="F55" s="1813"/>
      <c r="G55" s="1063"/>
      <c r="H55" s="1066" t="str">
        <f t="shared" si="7"/>
        <v>——</v>
      </c>
      <c r="I55" s="3362">
        <v>0.05</v>
      </c>
      <c r="J55" s="1064">
        <f t="shared" si="8"/>
        <v>0</v>
      </c>
      <c r="K55" s="1064">
        <f t="shared" si="9"/>
        <v>0</v>
      </c>
      <c r="L55" s="1064">
        <v>0</v>
      </c>
      <c r="M55" s="1064">
        <f t="shared" si="10"/>
        <v>0</v>
      </c>
      <c r="N55" s="1064">
        <f t="shared" si="10"/>
        <v>0</v>
      </c>
      <c r="AA55" s="1120"/>
      <c r="AB55" s="1120"/>
      <c r="AC55" s="1120"/>
      <c r="AD55" s="1120"/>
      <c r="AE55" s="1120"/>
      <c r="AF55" s="1120"/>
      <c r="AG55" s="1120"/>
      <c r="AH55" s="1120"/>
      <c r="AI55" s="1120"/>
      <c r="AJ55" s="1120"/>
      <c r="AK55" s="1120"/>
    </row>
    <row r="56" spans="1:37" s="1119" customFormat="1" ht="153" hidden="1">
      <c r="A56" s="2133" t="s">
        <v>2056</v>
      </c>
      <c r="B56" s="1325"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C56" s="2040"/>
      <c r="D56" s="1065">
        <f t="shared" si="6"/>
        <v>0</v>
      </c>
      <c r="E56" s="745"/>
      <c r="F56" s="1813"/>
      <c r="G56" s="1063"/>
      <c r="H56" s="1066" t="str">
        <f t="shared" si="7"/>
        <v>——</v>
      </c>
      <c r="I56" s="3362">
        <v>0.05</v>
      </c>
      <c r="J56" s="1064">
        <f t="shared" si="8"/>
        <v>0</v>
      </c>
      <c r="K56" s="1064">
        <f t="shared" si="9"/>
        <v>0</v>
      </c>
      <c r="L56" s="1064">
        <v>0</v>
      </c>
      <c r="M56" s="1064">
        <f t="shared" si="10"/>
        <v>0</v>
      </c>
      <c r="N56" s="1064">
        <f t="shared" si="10"/>
        <v>0</v>
      </c>
      <c r="AA56" s="1120"/>
      <c r="AB56" s="1120"/>
      <c r="AC56" s="1120"/>
      <c r="AD56" s="1120"/>
      <c r="AE56" s="1120"/>
      <c r="AF56" s="1120"/>
      <c r="AG56" s="1120"/>
      <c r="AH56" s="1120"/>
      <c r="AI56" s="1120"/>
      <c r="AJ56" s="1120"/>
      <c r="AK56" s="1120"/>
    </row>
    <row r="57" spans="1:37" s="1119" customFormat="1" ht="25.5" hidden="1">
      <c r="A57" s="2133" t="s">
        <v>2057</v>
      </c>
      <c r="B57" s="2130" t="str">
        <f>估价对象房地状况!C22</f>
        <v>估价对象所在区域基础设施水平</v>
      </c>
      <c r="C57" s="2040"/>
      <c r="D57" s="1065">
        <f t="shared" si="6"/>
        <v>0</v>
      </c>
      <c r="E57" s="745"/>
      <c r="F57" s="1813"/>
      <c r="G57" s="1063"/>
      <c r="H57" s="1066" t="str">
        <f t="shared" si="7"/>
        <v>——</v>
      </c>
      <c r="I57" s="3362">
        <v>0.08</v>
      </c>
      <c r="J57" s="1064">
        <f t="shared" si="8"/>
        <v>0</v>
      </c>
      <c r="K57" s="1064">
        <f t="shared" si="9"/>
        <v>0</v>
      </c>
      <c r="L57" s="1064">
        <v>0</v>
      </c>
      <c r="M57" s="1064">
        <f t="shared" si="10"/>
        <v>0</v>
      </c>
      <c r="N57" s="1064">
        <f t="shared" si="10"/>
        <v>0</v>
      </c>
      <c r="AA57" s="1120"/>
      <c r="AB57" s="1120"/>
      <c r="AC57" s="1120"/>
      <c r="AD57" s="1120"/>
      <c r="AE57" s="1120"/>
      <c r="AF57" s="1120"/>
      <c r="AG57" s="1120"/>
      <c r="AH57" s="1120"/>
      <c r="AI57" s="1120"/>
      <c r="AJ57" s="1120"/>
      <c r="AK57" s="1120"/>
    </row>
    <row r="58" spans="1:37" s="1119" customFormat="1" ht="64.5" hidden="1" thickBot="1">
      <c r="A58" s="2134" t="s">
        <v>2058</v>
      </c>
      <c r="B58" s="2135" t="str">
        <f>估价对象房地状况!C20</f>
        <v>自然环境：月坛公园等自然水系景观；
人文环境：二七剧场等人文场所；
综合评价环境状况较好。</v>
      </c>
      <c r="C58" s="2040"/>
      <c r="D58" s="1065">
        <f t="shared" si="6"/>
        <v>0</v>
      </c>
      <c r="E58" s="746"/>
      <c r="F58" s="1813"/>
      <c r="G58" s="1063"/>
      <c r="H58" s="1066" t="str">
        <f t="shared" si="7"/>
        <v>——</v>
      </c>
      <c r="I58" s="3363">
        <v>0.05</v>
      </c>
      <c r="J58" s="1064">
        <f t="shared" si="8"/>
        <v>0</v>
      </c>
      <c r="K58" s="1064">
        <f t="shared" si="9"/>
        <v>0</v>
      </c>
      <c r="L58" s="1064">
        <v>0</v>
      </c>
      <c r="M58" s="1064">
        <f t="shared" si="10"/>
        <v>0</v>
      </c>
      <c r="N58" s="1064">
        <f t="shared" si="10"/>
        <v>0</v>
      </c>
      <c r="AA58" s="1120"/>
      <c r="AB58" s="1120"/>
      <c r="AC58" s="1120"/>
      <c r="AD58" s="1120"/>
      <c r="AE58" s="1120"/>
      <c r="AF58" s="1120"/>
      <c r="AG58" s="1120"/>
      <c r="AH58" s="1120"/>
      <c r="AI58" s="1120"/>
      <c r="AJ58" s="1120"/>
      <c r="AK58" s="1120"/>
    </row>
    <row r="59" spans="1:37" s="1119" customFormat="1" ht="15" hidden="1">
      <c r="A59" s="2122" t="s">
        <v>2059</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2041</v>
      </c>
      <c r="B60" s="1350"/>
      <c r="C60" s="1350" t="s">
        <v>2043</v>
      </c>
      <c r="D60" s="1350" t="s">
        <v>2044</v>
      </c>
      <c r="E60" s="743" t="s">
        <v>2045</v>
      </c>
      <c r="F60" s="2127" t="s">
        <v>2060</v>
      </c>
      <c r="G60" s="1350" t="s">
        <v>310</v>
      </c>
      <c r="H60" s="2128" t="s">
        <v>2047</v>
      </c>
      <c r="I60" s="1350"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hidden="1">
      <c r="A61" s="2126" t="s">
        <v>2061</v>
      </c>
      <c r="B61" s="2129" t="str">
        <f>估价对象房地状况!C17</f>
        <v>估价对象位于XX商圈，周边办公楼项目较多，入驻率高，办公集聚程度较好</v>
      </c>
      <c r="C61" s="2040"/>
      <c r="D61" s="1065">
        <f t="shared" ref="D61:D69" si="11">SUMIF($J$60:$N$60,C61,J61:N61)</f>
        <v>0</v>
      </c>
      <c r="E61" s="744">
        <f>ROUND(SUM(D61:D69),4)</f>
        <v>0</v>
      </c>
      <c r="F61" s="1813" t="str">
        <f>IF(E2="办公",SUMIF(L1:L12,G2,N1:N12),"——")</f>
        <v>——</v>
      </c>
      <c r="G61" s="1063"/>
      <c r="H61" s="1066" t="str">
        <f t="shared" ref="H61:H69" si="12">IFERROR(ROUNDDOWN($F$61*I61/2,4),"——")</f>
        <v>——</v>
      </c>
      <c r="I61" s="3362">
        <v>0.25</v>
      </c>
      <c r="J61" s="1064">
        <f t="shared" ref="J61:J69" si="13">K61+$G61</f>
        <v>0</v>
      </c>
      <c r="K61" s="1064">
        <f t="shared" ref="K61:K69" si="14">$L61+$G61</f>
        <v>0</v>
      </c>
      <c r="L61" s="1064">
        <v>0</v>
      </c>
      <c r="M61" s="1064">
        <f t="shared" ref="M61:N69" si="15">L61-$G61</f>
        <v>0</v>
      </c>
      <c r="N61" s="1064">
        <f t="shared" si="15"/>
        <v>0</v>
      </c>
      <c r="AA61" s="1120"/>
      <c r="AB61" s="1120"/>
      <c r="AC61" s="1120"/>
      <c r="AD61" s="1120"/>
      <c r="AE61" s="1120"/>
      <c r="AF61" s="1120"/>
      <c r="AG61" s="1120"/>
      <c r="AH61" s="1120"/>
      <c r="AI61" s="1120"/>
      <c r="AJ61" s="1120"/>
      <c r="AK61" s="1120"/>
    </row>
    <row r="62" spans="1:37" s="1119" customFormat="1" ht="51" hidden="1">
      <c r="A62" s="2126" t="s">
        <v>2050</v>
      </c>
      <c r="B62" s="2130" t="str">
        <f>估价对象房地状况!C18</f>
        <v>周边有10路、13路、21路、26路、68路等多条公交线路及地铁1号线南礼士路站，综合评价交通便捷度较好</v>
      </c>
      <c r="C62" s="2040"/>
      <c r="D62" s="1065">
        <f t="shared" si="11"/>
        <v>0</v>
      </c>
      <c r="E62" s="745"/>
      <c r="F62" s="1813"/>
      <c r="G62" s="1063"/>
      <c r="H62" s="1066" t="str">
        <f t="shared" si="12"/>
        <v>——</v>
      </c>
      <c r="I62" s="3362">
        <v>0.26</v>
      </c>
      <c r="J62" s="1064">
        <f t="shared" si="13"/>
        <v>0</v>
      </c>
      <c r="K62" s="1064">
        <f t="shared" si="14"/>
        <v>0</v>
      </c>
      <c r="L62" s="1064">
        <v>0</v>
      </c>
      <c r="M62" s="1064">
        <f t="shared" si="15"/>
        <v>0</v>
      </c>
      <c r="N62" s="1064">
        <f t="shared" si="15"/>
        <v>0</v>
      </c>
      <c r="AA62" s="1120"/>
      <c r="AB62" s="1120"/>
      <c r="AC62" s="1120"/>
      <c r="AD62" s="1120"/>
      <c r="AE62" s="1120"/>
      <c r="AF62" s="1120"/>
      <c r="AG62" s="1120"/>
      <c r="AH62" s="1120"/>
      <c r="AI62" s="1120"/>
      <c r="AJ62" s="1120"/>
      <c r="AK62" s="1120"/>
    </row>
    <row r="63" spans="1:37" s="1119" customFormat="1" ht="36" hidden="1">
      <c r="A63" s="3364" t="s">
        <v>3269</v>
      </c>
      <c r="B63" s="2130">
        <f>估价对象房地状况!C19</f>
        <v>0</v>
      </c>
      <c r="C63" s="2040"/>
      <c r="D63" s="1065">
        <f t="shared" si="11"/>
        <v>0</v>
      </c>
      <c r="E63" s="745"/>
      <c r="F63" s="1813"/>
      <c r="G63" s="1063"/>
      <c r="H63" s="1066" t="str">
        <f t="shared" si="12"/>
        <v>——</v>
      </c>
      <c r="I63" s="3362">
        <v>0.11</v>
      </c>
      <c r="J63" s="1064">
        <f t="shared" si="13"/>
        <v>0</v>
      </c>
      <c r="K63" s="1064">
        <f t="shared" si="14"/>
        <v>0</v>
      </c>
      <c r="L63" s="1064">
        <v>0</v>
      </c>
      <c r="M63" s="1064">
        <f t="shared" si="15"/>
        <v>0</v>
      </c>
      <c r="N63" s="1064">
        <f t="shared" si="15"/>
        <v>0</v>
      </c>
      <c r="AA63" s="1120"/>
      <c r="AB63" s="1120"/>
      <c r="AC63" s="1120"/>
      <c r="AD63" s="1120"/>
      <c r="AE63" s="1120"/>
      <c r="AF63" s="1120"/>
      <c r="AG63" s="1120"/>
      <c r="AH63" s="1120"/>
      <c r="AI63" s="1120"/>
      <c r="AJ63" s="1120"/>
      <c r="AK63" s="1120"/>
    </row>
    <row r="64" spans="1:37" s="1119" customFormat="1" ht="36.75" hidden="1">
      <c r="A64" s="2126" t="s">
        <v>2051</v>
      </c>
      <c r="B64" s="2131" t="s">
        <v>2052</v>
      </c>
      <c r="C64" s="2040"/>
      <c r="D64" s="1065">
        <f t="shared" si="11"/>
        <v>0</v>
      </c>
      <c r="E64" s="745"/>
      <c r="F64" s="1813"/>
      <c r="G64" s="1063"/>
      <c r="H64" s="1066" t="str">
        <f t="shared" si="12"/>
        <v>——</v>
      </c>
      <c r="I64" s="3362">
        <v>0.05</v>
      </c>
      <c r="J64" s="1064">
        <f t="shared" si="13"/>
        <v>0</v>
      </c>
      <c r="K64" s="1064">
        <f t="shared" si="14"/>
        <v>0</v>
      </c>
      <c r="L64" s="1064">
        <v>0</v>
      </c>
      <c r="M64" s="1064">
        <f t="shared" si="15"/>
        <v>0</v>
      </c>
      <c r="N64" s="1064">
        <f t="shared" si="15"/>
        <v>0</v>
      </c>
      <c r="AA64" s="1120"/>
      <c r="AB64" s="1120"/>
      <c r="AC64" s="1120"/>
      <c r="AD64" s="1120"/>
      <c r="AE64" s="1120"/>
      <c r="AF64" s="1120"/>
      <c r="AG64" s="1120"/>
      <c r="AH64" s="1120"/>
      <c r="AI64" s="1120"/>
      <c r="AJ64" s="1120"/>
      <c r="AK64" s="1120"/>
    </row>
    <row r="65" spans="1:37" s="1119" customFormat="1" ht="24" hidden="1">
      <c r="A65" s="2126" t="s">
        <v>2053</v>
      </c>
      <c r="B65" s="2130">
        <f>估价对象房地状况!C24</f>
        <v>0</v>
      </c>
      <c r="C65" s="2040"/>
      <c r="D65" s="1065">
        <f t="shared" si="11"/>
        <v>0</v>
      </c>
      <c r="E65" s="745"/>
      <c r="F65" s="1813"/>
      <c r="G65" s="1063"/>
      <c r="H65" s="1066" t="str">
        <f t="shared" si="12"/>
        <v>——</v>
      </c>
      <c r="I65" s="3362">
        <v>0.05</v>
      </c>
      <c r="J65" s="1064">
        <f t="shared" si="13"/>
        <v>0</v>
      </c>
      <c r="K65" s="1064">
        <f t="shared" si="14"/>
        <v>0</v>
      </c>
      <c r="L65" s="1064">
        <v>0</v>
      </c>
      <c r="M65" s="1064">
        <f t="shared" si="15"/>
        <v>0</v>
      </c>
      <c r="N65" s="1064">
        <f t="shared" si="15"/>
        <v>0</v>
      </c>
      <c r="AA65" s="1120"/>
      <c r="AB65" s="1120"/>
      <c r="AC65" s="1120"/>
      <c r="AD65" s="1120"/>
      <c r="AE65" s="1120"/>
      <c r="AF65" s="1120"/>
      <c r="AG65" s="1120"/>
      <c r="AH65" s="1120"/>
      <c r="AI65" s="1120"/>
      <c r="AJ65" s="1120"/>
      <c r="AK65" s="1120"/>
    </row>
    <row r="66" spans="1:37" s="1119" customFormat="1" ht="24" hidden="1">
      <c r="A66" s="2126" t="s">
        <v>2054</v>
      </c>
      <c r="B66" s="2132" t="s">
        <v>2055</v>
      </c>
      <c r="C66" s="2040"/>
      <c r="D66" s="1065">
        <f t="shared" si="11"/>
        <v>0</v>
      </c>
      <c r="E66" s="745"/>
      <c r="F66" s="1813"/>
      <c r="G66" s="1063"/>
      <c r="H66" s="1066" t="str">
        <f t="shared" si="12"/>
        <v>——</v>
      </c>
      <c r="I66" s="3362">
        <v>0.06</v>
      </c>
      <c r="J66" s="1064">
        <f t="shared" si="13"/>
        <v>0</v>
      </c>
      <c r="K66" s="1064">
        <f t="shared" si="14"/>
        <v>0</v>
      </c>
      <c r="L66" s="1064">
        <v>0</v>
      </c>
      <c r="M66" s="1064">
        <f t="shared" si="15"/>
        <v>0</v>
      </c>
      <c r="N66" s="1064">
        <f t="shared" si="15"/>
        <v>0</v>
      </c>
      <c r="AA66" s="1120"/>
      <c r="AB66" s="1120"/>
      <c r="AC66" s="1120"/>
      <c r="AD66" s="1120"/>
      <c r="AE66" s="1120"/>
      <c r="AF66" s="1120"/>
      <c r="AG66" s="1120"/>
      <c r="AH66" s="1120"/>
      <c r="AI66" s="1120"/>
      <c r="AJ66" s="1120"/>
      <c r="AK66" s="1120"/>
    </row>
    <row r="67" spans="1:37" s="1119" customFormat="1" ht="153" hidden="1">
      <c r="A67" s="2126" t="s">
        <v>2056</v>
      </c>
      <c r="B67" s="1325"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C67" s="2040"/>
      <c r="D67" s="1065">
        <f t="shared" si="11"/>
        <v>0</v>
      </c>
      <c r="E67" s="745"/>
      <c r="F67" s="1813"/>
      <c r="G67" s="1063"/>
      <c r="H67" s="1066" t="str">
        <f t="shared" si="12"/>
        <v>——</v>
      </c>
      <c r="I67" s="3362">
        <v>0.06</v>
      </c>
      <c r="J67" s="1064">
        <f t="shared" si="13"/>
        <v>0</v>
      </c>
      <c r="K67" s="1064">
        <f t="shared" si="14"/>
        <v>0</v>
      </c>
      <c r="L67" s="1064">
        <v>0</v>
      </c>
      <c r="M67" s="1064">
        <f t="shared" si="15"/>
        <v>0</v>
      </c>
      <c r="N67" s="1064">
        <f t="shared" si="15"/>
        <v>0</v>
      </c>
      <c r="AA67" s="1120"/>
      <c r="AB67" s="1120"/>
      <c r="AC67" s="1120"/>
      <c r="AD67" s="1120"/>
      <c r="AE67" s="1120"/>
      <c r="AF67" s="1120"/>
      <c r="AG67" s="1120"/>
      <c r="AH67" s="1120"/>
      <c r="AI67" s="1120"/>
      <c r="AJ67" s="1120"/>
      <c r="AK67" s="1120"/>
    </row>
    <row r="68" spans="1:37" s="1119" customFormat="1" ht="25.5" hidden="1">
      <c r="A68" s="2126" t="s">
        <v>2057</v>
      </c>
      <c r="B68" s="1325" t="str">
        <f>估价对象房地状况!C22</f>
        <v>估价对象所在区域基础设施水平</v>
      </c>
      <c r="C68" s="2040"/>
      <c r="D68" s="1065">
        <f t="shared" si="11"/>
        <v>0</v>
      </c>
      <c r="E68" s="745"/>
      <c r="F68" s="1813"/>
      <c r="G68" s="1063"/>
      <c r="H68" s="1066" t="str">
        <f t="shared" si="12"/>
        <v>——</v>
      </c>
      <c r="I68" s="3362">
        <v>0.09</v>
      </c>
      <c r="J68" s="1064">
        <f t="shared" si="13"/>
        <v>0</v>
      </c>
      <c r="K68" s="1064">
        <f t="shared" si="14"/>
        <v>0</v>
      </c>
      <c r="L68" s="1064">
        <v>0</v>
      </c>
      <c r="M68" s="1064">
        <f t="shared" si="15"/>
        <v>0</v>
      </c>
      <c r="N68" s="1064">
        <f t="shared" si="15"/>
        <v>0</v>
      </c>
      <c r="AA68" s="1120"/>
      <c r="AB68" s="1120"/>
      <c r="AC68" s="1120"/>
      <c r="AD68" s="1120"/>
      <c r="AE68" s="1120"/>
      <c r="AF68" s="1120"/>
      <c r="AG68" s="1120"/>
      <c r="AH68" s="1120"/>
      <c r="AI68" s="1120"/>
      <c r="AJ68" s="1120"/>
      <c r="AK68" s="1120"/>
    </row>
    <row r="69" spans="1:37" s="1119" customFormat="1" ht="64.5" hidden="1" thickBot="1">
      <c r="A69" s="2134" t="s">
        <v>2058</v>
      </c>
      <c r="B69" s="2136" t="str">
        <f>估价对象房地状况!C20</f>
        <v>自然环境：月坛公园等自然水系景观；
人文环境：二七剧场等人文场所；
综合评价环境状况较好。</v>
      </c>
      <c r="C69" s="2040"/>
      <c r="D69" s="1065">
        <f t="shared" si="11"/>
        <v>0</v>
      </c>
      <c r="E69" s="746"/>
      <c r="F69" s="1813"/>
      <c r="G69" s="1063"/>
      <c r="H69" s="1066" t="str">
        <f t="shared" si="12"/>
        <v>——</v>
      </c>
      <c r="I69" s="3363">
        <v>7.0000000000000007E-2</v>
      </c>
      <c r="J69" s="1064">
        <f t="shared" si="13"/>
        <v>0</v>
      </c>
      <c r="K69" s="1064">
        <f t="shared" si="14"/>
        <v>0</v>
      </c>
      <c r="L69" s="1064">
        <v>0</v>
      </c>
      <c r="M69" s="1064">
        <f t="shared" si="15"/>
        <v>0</v>
      </c>
      <c r="N69" s="1064">
        <f t="shared" si="15"/>
        <v>0</v>
      </c>
      <c r="AA69" s="1120"/>
      <c r="AB69" s="1120"/>
      <c r="AC69" s="1120"/>
      <c r="AD69" s="1120"/>
      <c r="AE69" s="1120"/>
      <c r="AF69" s="1120"/>
      <c r="AG69" s="1120"/>
      <c r="AH69" s="1120"/>
      <c r="AI69" s="1120"/>
      <c r="AJ69" s="1120"/>
      <c r="AK69" s="1120"/>
    </row>
    <row r="70" spans="1:37" s="1119" customFormat="1" ht="15">
      <c r="A70" s="2122" t="s">
        <v>2062</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2041</v>
      </c>
      <c r="B71" s="1350"/>
      <c r="C71" s="1350" t="s">
        <v>2043</v>
      </c>
      <c r="D71" s="1350" t="s">
        <v>2044</v>
      </c>
      <c r="E71" s="743" t="s">
        <v>2045</v>
      </c>
      <c r="F71" s="2127" t="s">
        <v>2060</v>
      </c>
      <c r="G71" s="1350" t="s">
        <v>310</v>
      </c>
      <c r="H71" s="2128" t="s">
        <v>2047</v>
      </c>
      <c r="I71" s="1350"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26" t="s">
        <v>2063</v>
      </c>
      <c r="B72" s="2129" t="str">
        <f>估价对象房地状况!C15</f>
        <v>周边有三里河一区5号院、月坛西街乙2号院、月坛北小街小区等住宅小区，居住社区成熟度较好。</v>
      </c>
      <c r="C72" s="2040" t="s">
        <v>3406</v>
      </c>
      <c r="D72" s="1065">
        <f t="shared" ref="D72:D80" si="16">SUMIF($J$71:$N$71,C72,J72:N72)</f>
        <v>9.7999999999999997E-3</v>
      </c>
      <c r="E72" s="744">
        <f>ROUND(SUM(D72:D80),4)</f>
        <v>4.4900000000000002E-2</v>
      </c>
      <c r="F72" s="1813">
        <f>IF(E2="住宅",SUMIF(L1:L12,G2,N1:N12),"——")</f>
        <v>9.8000000000000004E-2</v>
      </c>
      <c r="G72" s="1063">
        <v>9.7999999999999997E-3</v>
      </c>
      <c r="H72" s="1066">
        <f t="shared" ref="H72:H80" si="17">IFERROR(ROUNDDOWN($F$72*I72/2,4),"——")</f>
        <v>9.7999999999999997E-3</v>
      </c>
      <c r="I72" s="3362">
        <v>0.2</v>
      </c>
      <c r="J72" s="1064">
        <f t="shared" ref="J72:J80" si="18">K72+$G72</f>
        <v>1.9599999999999999E-2</v>
      </c>
      <c r="K72" s="1064">
        <f t="shared" ref="K72:K80" si="19">$L72+$G72</f>
        <v>9.7999999999999997E-3</v>
      </c>
      <c r="L72" s="1064">
        <v>0</v>
      </c>
      <c r="M72" s="1064">
        <f t="shared" ref="M72:N80" si="20">L72-$G72</f>
        <v>-9.7999999999999997E-3</v>
      </c>
      <c r="N72" s="1064">
        <f t="shared" si="20"/>
        <v>-1.9599999999999999E-2</v>
      </c>
      <c r="AA72" s="1120"/>
      <c r="AB72" s="1120"/>
      <c r="AC72" s="1120"/>
      <c r="AD72" s="1120"/>
      <c r="AE72" s="1120"/>
      <c r="AF72" s="1120"/>
      <c r="AG72" s="1120"/>
      <c r="AH72" s="1120"/>
      <c r="AI72" s="1120"/>
      <c r="AJ72" s="1120"/>
      <c r="AK72" s="1120"/>
    </row>
    <row r="73" spans="1:37" s="1119" customFormat="1" ht="51">
      <c r="A73" s="2126" t="s">
        <v>2050</v>
      </c>
      <c r="B73" s="2130" t="str">
        <f>估价对象房地状况!C18</f>
        <v>周边有10路、13路、21路、26路、68路等多条公交线路及地铁1号线南礼士路站，综合评价交通便捷度较好</v>
      </c>
      <c r="C73" s="2040" t="s">
        <v>3406</v>
      </c>
      <c r="D73" s="1065">
        <f t="shared" si="16"/>
        <v>1.2699999999999999E-2</v>
      </c>
      <c r="E73" s="747"/>
      <c r="F73" s="1813"/>
      <c r="G73" s="1063">
        <v>1.2699999999999999E-2</v>
      </c>
      <c r="H73" s="1066">
        <f t="shared" si="17"/>
        <v>1.2699999999999999E-2</v>
      </c>
      <c r="I73" s="3362">
        <v>0.26</v>
      </c>
      <c r="J73" s="1064">
        <f t="shared" si="18"/>
        <v>2.5399999999999999E-2</v>
      </c>
      <c r="K73" s="1064">
        <f t="shared" si="19"/>
        <v>1.2699999999999999E-2</v>
      </c>
      <c r="L73" s="1064">
        <v>0</v>
      </c>
      <c r="M73" s="1064">
        <f t="shared" si="20"/>
        <v>-1.2699999999999999E-2</v>
      </c>
      <c r="N73" s="1064">
        <f t="shared" si="20"/>
        <v>-2.5399999999999999E-2</v>
      </c>
      <c r="AA73" s="1120"/>
      <c r="AB73" s="1120"/>
      <c r="AC73" s="1120"/>
      <c r="AD73" s="1120"/>
      <c r="AE73" s="1120"/>
      <c r="AF73" s="1120"/>
      <c r="AG73" s="1120"/>
      <c r="AH73" s="1120"/>
      <c r="AI73" s="1120"/>
      <c r="AJ73" s="1120"/>
      <c r="AK73" s="1120"/>
    </row>
    <row r="74" spans="1:37" s="1993" customFormat="1" ht="36">
      <c r="A74" s="3364" t="s">
        <v>3269</v>
      </c>
      <c r="B74" s="2130">
        <f>估价对象房地状况!C19</f>
        <v>0</v>
      </c>
      <c r="C74" s="2040" t="s">
        <v>3406</v>
      </c>
      <c r="D74" s="1065">
        <f t="shared" si="16"/>
        <v>4.8999999999999998E-3</v>
      </c>
      <c r="E74" s="747"/>
      <c r="F74" s="1813"/>
      <c r="G74" s="1063">
        <v>4.8999999999999998E-3</v>
      </c>
      <c r="H74" s="1066">
        <f t="shared" si="17"/>
        <v>4.8999999999999998E-3</v>
      </c>
      <c r="I74" s="3362">
        <v>0.1</v>
      </c>
      <c r="J74" s="1064">
        <f t="shared" si="18"/>
        <v>9.7999999999999997E-3</v>
      </c>
      <c r="K74" s="1064">
        <f t="shared" si="19"/>
        <v>4.8999999999999998E-3</v>
      </c>
      <c r="L74" s="1064">
        <v>0</v>
      </c>
      <c r="M74" s="1064">
        <f t="shared" si="20"/>
        <v>-4.8999999999999998E-3</v>
      </c>
      <c r="N74" s="1064">
        <f t="shared" si="20"/>
        <v>-9.7999999999999997E-3</v>
      </c>
      <c r="O74" s="1119"/>
      <c r="P74" s="1119"/>
      <c r="Q74" s="1119"/>
      <c r="AA74" s="2137"/>
      <c r="AB74" s="1120"/>
      <c r="AC74" s="1120"/>
      <c r="AD74" s="1120"/>
      <c r="AE74" s="1120"/>
      <c r="AF74" s="1120"/>
      <c r="AG74" s="1120"/>
      <c r="AH74" s="2137"/>
      <c r="AI74" s="2137"/>
      <c r="AJ74" s="2137"/>
      <c r="AK74" s="2137"/>
    </row>
    <row r="75" spans="1:37" ht="14.25">
      <c r="A75" s="2126" t="s">
        <v>2064</v>
      </c>
      <c r="B75" s="2130">
        <f>估价对象房地状况!C24</f>
        <v>0</v>
      </c>
      <c r="C75" s="2040" t="s">
        <v>3407</v>
      </c>
      <c r="D75" s="1065">
        <f t="shared" si="16"/>
        <v>0</v>
      </c>
      <c r="E75" s="747"/>
      <c r="F75" s="1813"/>
      <c r="G75" s="1063">
        <v>2.3999999999999998E-3</v>
      </c>
      <c r="H75" s="1066">
        <f t="shared" si="17"/>
        <v>2.3999999999999998E-3</v>
      </c>
      <c r="I75" s="3362">
        <v>0.05</v>
      </c>
      <c r="J75" s="1064">
        <f t="shared" si="18"/>
        <v>4.7999999999999996E-3</v>
      </c>
      <c r="K75" s="1064">
        <f t="shared" si="19"/>
        <v>2.3999999999999998E-3</v>
      </c>
      <c r="L75" s="1064">
        <v>0</v>
      </c>
      <c r="M75" s="1064">
        <f t="shared" si="20"/>
        <v>-2.3999999999999998E-3</v>
      </c>
      <c r="N75" s="1064">
        <f t="shared" si="20"/>
        <v>-4.7999999999999996E-3</v>
      </c>
      <c r="O75" s="1119"/>
      <c r="P75" s="1119"/>
      <c r="Q75" s="1993"/>
      <c r="Z75" s="1994"/>
      <c r="AA75" s="2049"/>
      <c r="AG75" s="1121"/>
      <c r="AK75" s="2049"/>
    </row>
    <row r="76" spans="1:37" ht="153">
      <c r="A76" s="2126" t="s">
        <v>2056</v>
      </c>
      <c r="B76" s="1325"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C76" s="2040" t="s">
        <v>3406</v>
      </c>
      <c r="D76" s="1065">
        <f t="shared" si="16"/>
        <v>3.8999999999999998E-3</v>
      </c>
      <c r="E76" s="747"/>
      <c r="F76" s="1813"/>
      <c r="G76" s="1063">
        <v>3.8999999999999998E-3</v>
      </c>
      <c r="H76" s="1066">
        <f t="shared" si="17"/>
        <v>3.8999999999999998E-3</v>
      </c>
      <c r="I76" s="3362">
        <v>0.08</v>
      </c>
      <c r="J76" s="1064">
        <f t="shared" si="18"/>
        <v>7.7999999999999996E-3</v>
      </c>
      <c r="K76" s="1064">
        <f t="shared" si="19"/>
        <v>3.8999999999999998E-3</v>
      </c>
      <c r="L76" s="1064">
        <v>0</v>
      </c>
      <c r="M76" s="1064">
        <f t="shared" si="20"/>
        <v>-3.8999999999999998E-3</v>
      </c>
      <c r="N76" s="1064">
        <f t="shared" si="20"/>
        <v>-7.7999999999999996E-3</v>
      </c>
      <c r="O76" s="1119"/>
      <c r="P76" s="1119"/>
      <c r="Z76" s="1994"/>
      <c r="AA76" s="2049"/>
      <c r="AG76" s="1121"/>
      <c r="AK76" s="2049"/>
    </row>
    <row r="77" spans="1:37" ht="25.5">
      <c r="A77" s="2126" t="s">
        <v>2057</v>
      </c>
      <c r="B77" s="1325" t="str">
        <f>估价对象房地状况!C22</f>
        <v>估价对象所在区域基础设施水平</v>
      </c>
      <c r="C77" s="2040" t="s">
        <v>3408</v>
      </c>
      <c r="D77" s="1065">
        <f t="shared" si="16"/>
        <v>8.8000000000000005E-3</v>
      </c>
      <c r="E77" s="747"/>
      <c r="F77" s="1813"/>
      <c r="G77" s="1063">
        <v>4.4000000000000003E-3</v>
      </c>
      <c r="H77" s="1066">
        <f t="shared" si="17"/>
        <v>4.4000000000000003E-3</v>
      </c>
      <c r="I77" s="3362">
        <v>0.09</v>
      </c>
      <c r="J77" s="1064">
        <f t="shared" si="18"/>
        <v>8.8000000000000005E-3</v>
      </c>
      <c r="K77" s="1064">
        <f t="shared" si="19"/>
        <v>4.4000000000000003E-3</v>
      </c>
      <c r="L77" s="1064">
        <v>0</v>
      </c>
      <c r="M77" s="1064">
        <f t="shared" si="20"/>
        <v>-4.4000000000000003E-3</v>
      </c>
      <c r="N77" s="1064">
        <f t="shared" si="20"/>
        <v>-8.8000000000000005E-3</v>
      </c>
      <c r="O77" s="1119"/>
      <c r="P77" s="1119"/>
      <c r="Z77" s="1994"/>
      <c r="AA77" s="2049"/>
      <c r="AG77" s="1121"/>
      <c r="AK77" s="2049"/>
    </row>
    <row r="78" spans="1:37" ht="24">
      <c r="A78" s="2126" t="s">
        <v>2054</v>
      </c>
      <c r="B78" s="2132" t="s">
        <v>2055</v>
      </c>
      <c r="C78" s="2040" t="s">
        <v>3406</v>
      </c>
      <c r="D78" s="1065">
        <f t="shared" si="16"/>
        <v>2.3999999999999998E-3</v>
      </c>
      <c r="E78" s="747"/>
      <c r="F78" s="1813"/>
      <c r="G78" s="1063">
        <v>2.3999999999999998E-3</v>
      </c>
      <c r="H78" s="1066">
        <f t="shared" si="17"/>
        <v>2.3999999999999998E-3</v>
      </c>
      <c r="I78" s="3362">
        <v>0.05</v>
      </c>
      <c r="J78" s="1064">
        <f t="shared" si="18"/>
        <v>4.7999999999999996E-3</v>
      </c>
      <c r="K78" s="1064">
        <f t="shared" si="19"/>
        <v>2.3999999999999998E-3</v>
      </c>
      <c r="L78" s="1064">
        <v>0</v>
      </c>
      <c r="M78" s="1064">
        <f t="shared" si="20"/>
        <v>-2.3999999999999998E-3</v>
      </c>
      <c r="N78" s="1064">
        <f t="shared" si="20"/>
        <v>-4.7999999999999996E-3</v>
      </c>
      <c r="O78" s="1993"/>
      <c r="P78" s="1993"/>
      <c r="Z78" s="1994"/>
      <c r="AA78" s="2049"/>
      <c r="AG78" s="1121"/>
      <c r="AK78" s="2049"/>
    </row>
    <row r="79" spans="1:37" ht="63.75">
      <c r="A79" s="2126" t="s">
        <v>2058</v>
      </c>
      <c r="B79" s="2129" t="str">
        <f>估价对象房地状况!C20</f>
        <v>自然环境：月坛公园等自然水系景观；
人文环境：二七剧场等人文场所；
综合评价环境状况较好。</v>
      </c>
      <c r="C79" s="2040" t="s">
        <v>3407</v>
      </c>
      <c r="D79" s="1065">
        <f t="shared" si="16"/>
        <v>0</v>
      </c>
      <c r="E79" s="747"/>
      <c r="F79" s="1813"/>
      <c r="G79" s="1063">
        <v>5.7999999999999996E-3</v>
      </c>
      <c r="H79" s="1066">
        <f t="shared" si="17"/>
        <v>5.7999999999999996E-3</v>
      </c>
      <c r="I79" s="3362">
        <v>0.12</v>
      </c>
      <c r="J79" s="1064">
        <f t="shared" si="18"/>
        <v>1.1599999999999999E-2</v>
      </c>
      <c r="K79" s="1064">
        <f t="shared" si="19"/>
        <v>5.7999999999999996E-3</v>
      </c>
      <c r="L79" s="1064">
        <v>0</v>
      </c>
      <c r="M79" s="1064">
        <f t="shared" si="20"/>
        <v>-5.7999999999999996E-3</v>
      </c>
      <c r="N79" s="1064">
        <f t="shared" si="20"/>
        <v>-1.1599999999999999E-2</v>
      </c>
      <c r="Z79" s="1994"/>
      <c r="AA79" s="2049"/>
      <c r="AG79" s="1121"/>
      <c r="AK79" s="2049"/>
    </row>
    <row r="80" spans="1:37" ht="24.75" thickBot="1">
      <c r="A80" s="2134" t="s">
        <v>2065</v>
      </c>
      <c r="B80" s="2138"/>
      <c r="C80" s="2040" t="s">
        <v>3406</v>
      </c>
      <c r="D80" s="1065">
        <f t="shared" si="16"/>
        <v>2.3999999999999998E-3</v>
      </c>
      <c r="E80" s="748"/>
      <c r="F80" s="1813"/>
      <c r="G80" s="1063">
        <v>2.3999999999999998E-3</v>
      </c>
      <c r="H80" s="1066">
        <f t="shared" si="17"/>
        <v>2.3999999999999998E-3</v>
      </c>
      <c r="I80" s="3363">
        <v>0.05</v>
      </c>
      <c r="J80" s="1064">
        <f t="shared" si="18"/>
        <v>4.7999999999999996E-3</v>
      </c>
      <c r="K80" s="1064">
        <f t="shared" si="19"/>
        <v>2.3999999999999998E-3</v>
      </c>
      <c r="L80" s="1064">
        <v>0</v>
      </c>
      <c r="M80" s="1064">
        <f t="shared" si="20"/>
        <v>-2.3999999999999998E-3</v>
      </c>
      <c r="N80" s="1064">
        <f t="shared" si="20"/>
        <v>-4.7999999999999996E-3</v>
      </c>
      <c r="Z80" s="1994"/>
      <c r="AA80" s="2049"/>
      <c r="AG80" s="1121"/>
      <c r="AK80" s="2049"/>
    </row>
    <row r="81" spans="1:37" ht="15">
      <c r="A81" s="2122" t="s">
        <v>2066</v>
      </c>
      <c r="B81" s="2123">
        <f>1+E83</f>
        <v>1</v>
      </c>
      <c r="C81" s="741"/>
      <c r="D81" s="741"/>
      <c r="E81" s="742"/>
      <c r="F81" s="2125"/>
      <c r="G81" s="3"/>
      <c r="H81" s="3"/>
      <c r="I81" s="3"/>
      <c r="J81" s="4"/>
      <c r="K81" s="4"/>
      <c r="L81" s="4"/>
      <c r="M81" s="4"/>
      <c r="N81" s="4"/>
      <c r="Z81" s="1994"/>
      <c r="AA81" s="2049"/>
      <c r="AG81" s="1121"/>
      <c r="AK81" s="2049"/>
    </row>
    <row r="82" spans="1:37" ht="24.75">
      <c r="A82" s="2126" t="s">
        <v>2041</v>
      </c>
      <c r="B82" s="1350"/>
      <c r="C82" s="1350" t="s">
        <v>2043</v>
      </c>
      <c r="D82" s="1350" t="s">
        <v>2044</v>
      </c>
      <c r="E82" s="743" t="s">
        <v>2045</v>
      </c>
      <c r="F82" s="2127" t="s">
        <v>2060</v>
      </c>
      <c r="G82" s="1350" t="s">
        <v>310</v>
      </c>
      <c r="H82" s="2128" t="s">
        <v>2047</v>
      </c>
      <c r="I82" s="1350" t="s">
        <v>2048</v>
      </c>
      <c r="J82" s="552" t="s">
        <v>1719</v>
      </c>
      <c r="K82" s="552" t="s">
        <v>1720</v>
      </c>
      <c r="L82" s="552" t="s">
        <v>1721</v>
      </c>
      <c r="M82" s="552" t="s">
        <v>1722</v>
      </c>
      <c r="N82" s="552" t="s">
        <v>1723</v>
      </c>
      <c r="Z82" s="1994"/>
      <c r="AA82" s="2049"/>
      <c r="AG82" s="1121"/>
      <c r="AK82" s="2049"/>
    </row>
    <row r="83" spans="1:37" ht="38.25">
      <c r="A83" s="2126" t="s">
        <v>2067</v>
      </c>
      <c r="B83" s="2130" t="str">
        <f>估价对象房地状况!G15</f>
        <v>估价对象位于XX开发区，园区建设成熟度XX，产业集聚程度XX</v>
      </c>
      <c r="C83" s="2040"/>
      <c r="D83" s="1065">
        <f t="shared" ref="D83:D90" si="21">SUMIF($J$82:$N$82,C83,J83:N83)</f>
        <v>0</v>
      </c>
      <c r="E83" s="744">
        <f>ROUND(SUM(D83:D90),4)</f>
        <v>0</v>
      </c>
      <c r="F83" s="1813" t="str">
        <f>IF(E2="工业",SUMIF(L1:L12,G2,N1:N12),"——")</f>
        <v>——</v>
      </c>
      <c r="G83" s="1063"/>
      <c r="H83" s="1066" t="str">
        <f t="shared" ref="H83:H90" si="22">IFERROR(ROUNDDOWN($F$83*I83/2,4),"——")</f>
        <v>——</v>
      </c>
      <c r="I83" s="3362">
        <v>0.26</v>
      </c>
      <c r="J83" s="1064">
        <f t="shared" ref="J83:J90" si="23">K83+$G83</f>
        <v>0</v>
      </c>
      <c r="K83" s="1064">
        <f t="shared" ref="K83:K90" si="24">$L83+$G83</f>
        <v>0</v>
      </c>
      <c r="L83" s="1064">
        <v>0</v>
      </c>
      <c r="M83" s="1064">
        <f t="shared" ref="M83:N90" si="25">L83-$G83</f>
        <v>0</v>
      </c>
      <c r="N83" s="1064">
        <f t="shared" si="25"/>
        <v>0</v>
      </c>
      <c r="Z83" s="1994"/>
      <c r="AA83" s="2049"/>
      <c r="AG83" s="1121"/>
      <c r="AK83" s="2049"/>
    </row>
    <row r="84" spans="1:37" ht="38.25">
      <c r="A84" s="2126" t="s">
        <v>2050</v>
      </c>
      <c r="B84" s="2130" t="str">
        <f>估价对象房地状况!G16</f>
        <v>估价对象周边道路状况、公共交通通达情况、停车便捷程度，综合评价交通便捷度较好</v>
      </c>
      <c r="C84" s="2040"/>
      <c r="D84" s="1065">
        <f t="shared" si="21"/>
        <v>0</v>
      </c>
      <c r="E84" s="747"/>
      <c r="F84" s="1813"/>
      <c r="G84" s="1063"/>
      <c r="H84" s="1066" t="str">
        <f t="shared" si="22"/>
        <v>——</v>
      </c>
      <c r="I84" s="3362">
        <v>0.3</v>
      </c>
      <c r="J84" s="1064">
        <f t="shared" si="23"/>
        <v>0</v>
      </c>
      <c r="K84" s="1064">
        <f t="shared" si="24"/>
        <v>0</v>
      </c>
      <c r="L84" s="1064">
        <v>0</v>
      </c>
      <c r="M84" s="1064">
        <f t="shared" si="25"/>
        <v>0</v>
      </c>
      <c r="N84" s="1064">
        <f t="shared" si="25"/>
        <v>0</v>
      </c>
      <c r="Z84" s="1994"/>
      <c r="AA84" s="2049"/>
      <c r="AG84" s="1121"/>
      <c r="AK84" s="2049"/>
    </row>
    <row r="85" spans="1:37" ht="36">
      <c r="A85" s="3364" t="s">
        <v>3270</v>
      </c>
      <c r="B85" s="2130">
        <f>估价对象房地状况!G17</f>
        <v>0</v>
      </c>
      <c r="C85" s="2040"/>
      <c r="D85" s="1065">
        <f t="shared" si="21"/>
        <v>0</v>
      </c>
      <c r="E85" s="747"/>
      <c r="F85" s="1813"/>
      <c r="G85" s="1063"/>
      <c r="H85" s="1066" t="str">
        <f t="shared" si="22"/>
        <v>——</v>
      </c>
      <c r="I85" s="3362">
        <v>0.1</v>
      </c>
      <c r="J85" s="1064">
        <f t="shared" si="23"/>
        <v>0</v>
      </c>
      <c r="K85" s="1064">
        <f t="shared" si="24"/>
        <v>0</v>
      </c>
      <c r="L85" s="1064">
        <v>0</v>
      </c>
      <c r="M85" s="1064">
        <f t="shared" si="25"/>
        <v>0</v>
      </c>
      <c r="N85" s="1064">
        <f t="shared" si="25"/>
        <v>0</v>
      </c>
      <c r="Z85" s="1994"/>
      <c r="AA85" s="2049"/>
      <c r="AG85" s="1121"/>
      <c r="AK85" s="2049"/>
    </row>
    <row r="86" spans="1:37" ht="14.25">
      <c r="A86" s="2126" t="s">
        <v>2064</v>
      </c>
      <c r="B86" s="2130">
        <f>估价对象房地状况!G22</f>
        <v>0</v>
      </c>
      <c r="C86" s="2040"/>
      <c r="D86" s="1065">
        <f t="shared" si="21"/>
        <v>0</v>
      </c>
      <c r="E86" s="747"/>
      <c r="F86" s="1813"/>
      <c r="G86" s="1063"/>
      <c r="H86" s="1066" t="str">
        <f t="shared" si="22"/>
        <v>——</v>
      </c>
      <c r="I86" s="3362">
        <v>0.05</v>
      </c>
      <c r="J86" s="1064">
        <f t="shared" si="23"/>
        <v>0</v>
      </c>
      <c r="K86" s="1064">
        <f t="shared" si="24"/>
        <v>0</v>
      </c>
      <c r="L86" s="1064">
        <v>0</v>
      </c>
      <c r="M86" s="1064">
        <f t="shared" si="25"/>
        <v>0</v>
      </c>
      <c r="N86" s="1064">
        <f t="shared" si="25"/>
        <v>0</v>
      </c>
      <c r="Z86" s="1994"/>
      <c r="AA86" s="2049"/>
      <c r="AG86" s="1121"/>
      <c r="AK86" s="2049"/>
    </row>
    <row r="87" spans="1:37" ht="25.5">
      <c r="A87" s="2126" t="s">
        <v>2056</v>
      </c>
      <c r="B87" s="1325" t="str">
        <f>估价对象房地状况!G19</f>
        <v>估价对象所在区域公共配套设施齐备情况</v>
      </c>
      <c r="C87" s="2040"/>
      <c r="D87" s="1065">
        <f t="shared" si="21"/>
        <v>0</v>
      </c>
      <c r="E87" s="747"/>
      <c r="F87" s="1813"/>
      <c r="G87" s="1063"/>
      <c r="H87" s="1066" t="str">
        <f t="shared" si="22"/>
        <v>——</v>
      </c>
      <c r="I87" s="3362">
        <v>0.06</v>
      </c>
      <c r="J87" s="1064">
        <f t="shared" si="23"/>
        <v>0</v>
      </c>
      <c r="K87" s="1064">
        <f t="shared" si="24"/>
        <v>0</v>
      </c>
      <c r="L87" s="1064">
        <v>0</v>
      </c>
      <c r="M87" s="1064">
        <f t="shared" si="25"/>
        <v>0</v>
      </c>
      <c r="N87" s="1064">
        <f t="shared" si="25"/>
        <v>0</v>
      </c>
    </row>
    <row r="88" spans="1:37" ht="25.5">
      <c r="A88" s="2126" t="s">
        <v>2057</v>
      </c>
      <c r="B88" s="1325" t="str">
        <f>估价对象房地状况!G20</f>
        <v>估价对象所在区域基础设施水平</v>
      </c>
      <c r="C88" s="2040"/>
      <c r="D88" s="1065">
        <f t="shared" si="21"/>
        <v>0</v>
      </c>
      <c r="E88" s="747"/>
      <c r="F88" s="1813"/>
      <c r="G88" s="1063"/>
      <c r="H88" s="1066" t="str">
        <f t="shared" si="22"/>
        <v>——</v>
      </c>
      <c r="I88" s="3362">
        <v>0.12</v>
      </c>
      <c r="J88" s="1064">
        <f t="shared" si="23"/>
        <v>0</v>
      </c>
      <c r="K88" s="1064">
        <f t="shared" si="24"/>
        <v>0</v>
      </c>
      <c r="L88" s="1064">
        <v>0</v>
      </c>
      <c r="M88" s="1064">
        <f t="shared" si="25"/>
        <v>0</v>
      </c>
      <c r="N88" s="1064">
        <f t="shared" si="25"/>
        <v>0</v>
      </c>
    </row>
    <row r="89" spans="1:37" ht="24">
      <c r="A89" s="2126" t="s">
        <v>2054</v>
      </c>
      <c r="B89" s="2132" t="s">
        <v>2068</v>
      </c>
      <c r="C89" s="2040"/>
      <c r="D89" s="1065">
        <f t="shared" si="21"/>
        <v>0</v>
      </c>
      <c r="E89" s="747"/>
      <c r="F89" s="1813"/>
      <c r="G89" s="1063"/>
      <c r="H89" s="1066" t="str">
        <f t="shared" si="22"/>
        <v>——</v>
      </c>
      <c r="I89" s="3362">
        <v>0.06</v>
      </c>
      <c r="J89" s="1064">
        <f t="shared" si="23"/>
        <v>0</v>
      </c>
      <c r="K89" s="1064">
        <f t="shared" si="24"/>
        <v>0</v>
      </c>
      <c r="L89" s="1064">
        <v>0</v>
      </c>
      <c r="M89" s="1064">
        <f t="shared" si="25"/>
        <v>0</v>
      </c>
      <c r="N89" s="1064">
        <f t="shared" si="25"/>
        <v>0</v>
      </c>
    </row>
    <row r="90" spans="1:37" ht="39" thickBot="1">
      <c r="A90" s="2134" t="s">
        <v>2069</v>
      </c>
      <c r="B90" s="2139" t="str">
        <f>估价对象房地状况!G18</f>
        <v>该园区内是否有污染型企业，绿化情况，卫生条件，整体环境状况判断</v>
      </c>
      <c r="C90" s="2040"/>
      <c r="D90" s="1065">
        <f t="shared" si="21"/>
        <v>0</v>
      </c>
      <c r="E90" s="748"/>
      <c r="F90" s="1813"/>
      <c r="G90" s="1063"/>
      <c r="H90" s="1066" t="str">
        <f t="shared" si="22"/>
        <v>——</v>
      </c>
      <c r="I90" s="3363">
        <v>0.05</v>
      </c>
      <c r="J90" s="1064">
        <f t="shared" si="23"/>
        <v>0</v>
      </c>
      <c r="K90" s="1064">
        <f t="shared" si="24"/>
        <v>0</v>
      </c>
      <c r="L90" s="1064">
        <v>0</v>
      </c>
      <c r="M90" s="1064">
        <f t="shared" si="25"/>
        <v>0</v>
      </c>
      <c r="N90" s="1064">
        <f t="shared" si="25"/>
        <v>0</v>
      </c>
    </row>
    <row r="91" spans="1:37" ht="15">
      <c r="A91" s="3372" t="s">
        <v>2610</v>
      </c>
      <c r="B91" s="3373">
        <f>1+E93</f>
        <v>1</v>
      </c>
      <c r="C91" s="3366"/>
      <c r="D91" s="3367"/>
      <c r="E91" s="1813"/>
      <c r="F91" s="1813"/>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6">K93+$G93</f>
        <v>0</v>
      </c>
      <c r="K93" s="3340">
        <f t="shared" ref="K93:K101" si="27">$L93+$G93</f>
        <v>0</v>
      </c>
      <c r="L93" s="3340">
        <v>0</v>
      </c>
      <c r="M93" s="3340">
        <f t="shared" ref="M93:N101" si="28">L93-$G93</f>
        <v>0</v>
      </c>
      <c r="N93" s="3340">
        <f t="shared" si="28"/>
        <v>0</v>
      </c>
    </row>
    <row r="94" spans="1:37" ht="51">
      <c r="A94" s="3374" t="s">
        <v>3273</v>
      </c>
      <c r="B94" s="3365" t="str">
        <f>估价对象房地状况!C18</f>
        <v>周边有10路、13路、21路、26路、68路等多条公交线路及地铁1号线南礼士路站，综合评价交通便捷度较好</v>
      </c>
      <c r="C94" s="2040"/>
      <c r="D94" s="3361">
        <f t="shared" ref="D94:D101" si="29">SUMIF($J$60:$N$60,C94,J94:N94)</f>
        <v>0</v>
      </c>
      <c r="E94" s="3378"/>
      <c r="F94" s="1813"/>
      <c r="G94" s="3368"/>
      <c r="H94" s="3416" t="str">
        <f>IFERROR(ROUNDDOWN($F$93*I94/2,4),"——")</f>
        <v>——</v>
      </c>
      <c r="I94" s="3362">
        <v>0.26</v>
      </c>
      <c r="J94" s="3340">
        <f t="shared" si="26"/>
        <v>0</v>
      </c>
      <c r="K94" s="3340">
        <f t="shared" si="27"/>
        <v>0</v>
      </c>
      <c r="L94" s="3340">
        <v>0</v>
      </c>
      <c r="M94" s="3340">
        <f t="shared" si="28"/>
        <v>0</v>
      </c>
      <c r="N94" s="3340">
        <f t="shared" si="28"/>
        <v>0</v>
      </c>
    </row>
    <row r="95" spans="1:37" ht="36">
      <c r="A95" s="3364" t="s">
        <v>3269</v>
      </c>
      <c r="B95" s="3365">
        <f>估价对象房地状况!C19</f>
        <v>0</v>
      </c>
      <c r="C95" s="2040"/>
      <c r="D95" s="3361">
        <f t="shared" si="29"/>
        <v>0</v>
      </c>
      <c r="E95" s="3378"/>
      <c r="F95" s="1813"/>
      <c r="G95" s="3368"/>
      <c r="H95" s="3416" t="str">
        <f t="shared" ref="H95:H101" si="30">IFERROR(ROUNDDOWN($F$93*I95/2,4),"——")</f>
        <v>——</v>
      </c>
      <c r="I95" s="3362">
        <v>0.11</v>
      </c>
      <c r="J95" s="3340">
        <f t="shared" si="26"/>
        <v>0</v>
      </c>
      <c r="K95" s="3340">
        <f t="shared" si="27"/>
        <v>0</v>
      </c>
      <c r="L95" s="3340">
        <v>0</v>
      </c>
      <c r="M95" s="3340">
        <f t="shared" si="28"/>
        <v>0</v>
      </c>
      <c r="N95" s="3340">
        <f t="shared" si="28"/>
        <v>0</v>
      </c>
    </row>
    <row r="96" spans="1:37" ht="36.75">
      <c r="A96" s="3374" t="s">
        <v>3274</v>
      </c>
      <c r="B96" s="3380" t="s">
        <v>3285</v>
      </c>
      <c r="C96" s="2040"/>
      <c r="D96" s="3361">
        <f t="shared" si="29"/>
        <v>0</v>
      </c>
      <c r="E96" s="3378"/>
      <c r="F96" s="1813"/>
      <c r="G96" s="3368"/>
      <c r="H96" s="3416" t="str">
        <f t="shared" si="30"/>
        <v>——</v>
      </c>
      <c r="I96" s="3362">
        <v>0.05</v>
      </c>
      <c r="J96" s="3340">
        <f t="shared" si="26"/>
        <v>0</v>
      </c>
      <c r="K96" s="3340">
        <f t="shared" si="27"/>
        <v>0</v>
      </c>
      <c r="L96" s="3340">
        <v>0</v>
      </c>
      <c r="M96" s="3340">
        <f t="shared" si="28"/>
        <v>0</v>
      </c>
      <c r="N96" s="3340">
        <f t="shared" si="28"/>
        <v>0</v>
      </c>
    </row>
    <row r="97" spans="1:14" ht="24">
      <c r="A97" s="3374" t="s">
        <v>3275</v>
      </c>
      <c r="B97" s="3365">
        <f>估价对象房地状况!C24</f>
        <v>0</v>
      </c>
      <c r="C97" s="2040"/>
      <c r="D97" s="3361">
        <f t="shared" si="29"/>
        <v>0</v>
      </c>
      <c r="E97" s="3378"/>
      <c r="F97" s="1813"/>
      <c r="G97" s="3368"/>
      <c r="H97" s="3416" t="str">
        <f t="shared" si="30"/>
        <v>——</v>
      </c>
      <c r="I97" s="3362">
        <v>0.05</v>
      </c>
      <c r="J97" s="3340">
        <f t="shared" si="26"/>
        <v>0</v>
      </c>
      <c r="K97" s="3340">
        <f t="shared" si="27"/>
        <v>0</v>
      </c>
      <c r="L97" s="3340">
        <v>0</v>
      </c>
      <c r="M97" s="3340">
        <f t="shared" si="28"/>
        <v>0</v>
      </c>
      <c r="N97" s="3340">
        <f t="shared" si="28"/>
        <v>0</v>
      </c>
    </row>
    <row r="98" spans="1:14" ht="24">
      <c r="A98" s="3374" t="s">
        <v>3276</v>
      </c>
      <c r="B98" s="3381" t="s">
        <v>3286</v>
      </c>
      <c r="C98" s="2040"/>
      <c r="D98" s="3361">
        <f t="shared" si="29"/>
        <v>0</v>
      </c>
      <c r="E98" s="3378"/>
      <c r="F98" s="1813"/>
      <c r="G98" s="3368"/>
      <c r="H98" s="3416" t="str">
        <f t="shared" si="30"/>
        <v>——</v>
      </c>
      <c r="I98" s="3362">
        <v>0.06</v>
      </c>
      <c r="J98" s="3340">
        <f t="shared" si="26"/>
        <v>0</v>
      </c>
      <c r="K98" s="3340">
        <f t="shared" si="27"/>
        <v>0</v>
      </c>
      <c r="L98" s="3340">
        <v>0</v>
      </c>
      <c r="M98" s="3340">
        <f t="shared" si="28"/>
        <v>0</v>
      </c>
      <c r="N98" s="3340">
        <f t="shared" si="28"/>
        <v>0</v>
      </c>
    </row>
    <row r="99" spans="1:14" ht="153">
      <c r="A99" s="3374" t="s">
        <v>3277</v>
      </c>
      <c r="B99" s="3365"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综合评价公共服务设施齐备度较好。</v>
      </c>
      <c r="C99" s="2040"/>
      <c r="D99" s="3361">
        <f t="shared" si="29"/>
        <v>0</v>
      </c>
      <c r="E99" s="3378"/>
      <c r="F99" s="1813"/>
      <c r="G99" s="3368"/>
      <c r="H99" s="3416" t="str">
        <f t="shared" si="30"/>
        <v>——</v>
      </c>
      <c r="I99" s="3362">
        <v>0.06</v>
      </c>
      <c r="J99" s="3340">
        <f t="shared" si="26"/>
        <v>0</v>
      </c>
      <c r="K99" s="3340">
        <f t="shared" si="27"/>
        <v>0</v>
      </c>
      <c r="L99" s="3340">
        <v>0</v>
      </c>
      <c r="M99" s="3340">
        <f t="shared" si="28"/>
        <v>0</v>
      </c>
      <c r="N99" s="3340">
        <f t="shared" si="28"/>
        <v>0</v>
      </c>
    </row>
    <row r="100" spans="1:14" ht="25.5">
      <c r="A100" s="3374" t="s">
        <v>3278</v>
      </c>
      <c r="B100" s="3365" t="str">
        <f>估价对象房地状况!C22</f>
        <v>估价对象所在区域基础设施水平</v>
      </c>
      <c r="C100" s="2040"/>
      <c r="D100" s="3361">
        <f t="shared" si="29"/>
        <v>0</v>
      </c>
      <c r="E100" s="3378"/>
      <c r="F100" s="1813"/>
      <c r="G100" s="3368"/>
      <c r="H100" s="3416" t="str">
        <f t="shared" si="30"/>
        <v>——</v>
      </c>
      <c r="I100" s="3362">
        <v>0.09</v>
      </c>
      <c r="J100" s="3340">
        <f t="shared" si="26"/>
        <v>0</v>
      </c>
      <c r="K100" s="3340">
        <f t="shared" si="27"/>
        <v>0</v>
      </c>
      <c r="L100" s="3340">
        <v>0</v>
      </c>
      <c r="M100" s="3340">
        <f t="shared" si="28"/>
        <v>0</v>
      </c>
      <c r="N100" s="3340">
        <f t="shared" si="28"/>
        <v>0</v>
      </c>
    </row>
    <row r="101" spans="1:14" ht="64.5" thickBot="1">
      <c r="A101" s="3375" t="s">
        <v>3279</v>
      </c>
      <c r="B101" s="3382" t="str">
        <f>估价对象房地状况!C20</f>
        <v>自然环境：月坛公园等自然水系景观；
人文环境：二七剧场等人文场所；
综合评价环境状况较好。</v>
      </c>
      <c r="C101" s="2040"/>
      <c r="D101" s="3361">
        <f t="shared" si="29"/>
        <v>0</v>
      </c>
      <c r="E101" s="3379"/>
      <c r="F101" s="1813"/>
      <c r="G101" s="3368"/>
      <c r="H101" s="3416" t="str">
        <f t="shared" si="30"/>
        <v>——</v>
      </c>
      <c r="I101" s="3363">
        <v>7.0000000000000007E-2</v>
      </c>
      <c r="J101" s="3340">
        <f t="shared" si="26"/>
        <v>0</v>
      </c>
      <c r="K101" s="3340">
        <f t="shared" si="27"/>
        <v>0</v>
      </c>
      <c r="L101" s="3340">
        <v>0</v>
      </c>
      <c r="M101" s="3340">
        <f t="shared" si="28"/>
        <v>0</v>
      </c>
      <c r="N101" s="3340">
        <f t="shared" si="28"/>
        <v>0</v>
      </c>
    </row>
    <row r="103" spans="1:14">
      <c r="A103" s="3809" t="s">
        <v>3294</v>
      </c>
      <c r="B103" s="3809"/>
      <c r="C103" s="3809"/>
      <c r="D103" s="3809"/>
      <c r="E103" s="3809"/>
      <c r="F103" s="3809"/>
      <c r="G103" s="3809"/>
      <c r="H103" s="3809"/>
      <c r="I103" s="3809"/>
      <c r="J103" s="3809"/>
      <c r="K103" s="3385"/>
      <c r="L103" s="3385"/>
      <c r="M103" s="3385"/>
      <c r="N103" s="3385"/>
    </row>
    <row r="104" spans="1:14">
      <c r="A104" s="3810" t="s">
        <v>3295</v>
      </c>
      <c r="B104" s="3810" t="s">
        <v>3296</v>
      </c>
      <c r="C104" s="3386" t="s">
        <v>3297</v>
      </c>
      <c r="D104" s="3387"/>
      <c r="E104" s="3387"/>
      <c r="F104" s="3387"/>
      <c r="G104" s="3387"/>
      <c r="H104" s="3387"/>
      <c r="I104" s="3387"/>
      <c r="J104" s="3388"/>
      <c r="K104" s="3389"/>
      <c r="L104" s="3389"/>
      <c r="M104" s="3389"/>
      <c r="N104" s="3389"/>
    </row>
    <row r="105" spans="1:14">
      <c r="A105" s="3810"/>
      <c r="B105" s="381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9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7"/>
      <c r="B111" s="3390" t="s">
        <v>3268</v>
      </c>
      <c r="C111" s="3391">
        <f>$I$3</f>
        <v>0</v>
      </c>
      <c r="D111" s="3391">
        <f t="shared" ref="D111:M111" si="31">$I$3</f>
        <v>0</v>
      </c>
      <c r="E111" s="3391">
        <f t="shared" si="31"/>
        <v>0</v>
      </c>
      <c r="F111" s="3391">
        <f t="shared" si="31"/>
        <v>0</v>
      </c>
      <c r="G111" s="3391">
        <f t="shared" si="31"/>
        <v>0</v>
      </c>
      <c r="H111" s="3391">
        <f t="shared" si="31"/>
        <v>0</v>
      </c>
      <c r="I111" s="3391">
        <f t="shared" si="31"/>
        <v>0</v>
      </c>
      <c r="J111" s="3391">
        <f t="shared" si="31"/>
        <v>0</v>
      </c>
      <c r="K111" s="3391">
        <f t="shared" si="31"/>
        <v>0</v>
      </c>
      <c r="L111" s="3391">
        <f t="shared" si="31"/>
        <v>0</v>
      </c>
      <c r="M111" s="3391">
        <f t="shared" si="31"/>
        <v>0</v>
      </c>
      <c r="N111" s="3391">
        <f>$I$3</f>
        <v>0</v>
      </c>
    </row>
    <row r="112" spans="1:14">
      <c r="A112" s="3798"/>
      <c r="B112" s="3390">
        <v>6</v>
      </c>
      <c r="C112" s="3383">
        <f>(-0.5556*(C111^2)-0.2719*C111+8944)*(10^(-4))</f>
        <v>0.89440000000000008</v>
      </c>
      <c r="D112" s="3383">
        <f>(-0.5556*(D111^2)-0.2719*D111+8944)*(10^(-4))</f>
        <v>0.89440000000000008</v>
      </c>
      <c r="E112" s="3383">
        <f>(-0.7912*(E111^2)-11.3794*E111+8482)*(10^(-4))</f>
        <v>0.84820000000000007</v>
      </c>
      <c r="F112" s="3383">
        <f>(-0.7912*(F111^2)-11.3794*F111+8482)*(10^(-4))</f>
        <v>0.84820000000000007</v>
      </c>
      <c r="G112" s="3383">
        <f>(-0.7912*(G111^2)-11.3794*G111+8482)*(10^(-4))</f>
        <v>0.84820000000000007</v>
      </c>
      <c r="H112" s="3383">
        <f>(-0.7912*(H111^2)-11.3794*H111+8482)*(10^(-4))</f>
        <v>0.84820000000000007</v>
      </c>
      <c r="I112" s="3383">
        <f>(-0.7912*(I111^2)-11.3794*I111+8482)*(10^(-4))</f>
        <v>0.84820000000000007</v>
      </c>
      <c r="J112" s="3383">
        <f>(-0.989*(J111^2)-63.78*J111+7771)*(10^(-4))</f>
        <v>0.77710000000000001</v>
      </c>
      <c r="K112" s="3383">
        <f>(-0.989*(K111^2)-63.78*K111+7771)*(10^(-4))</f>
        <v>0.77710000000000001</v>
      </c>
      <c r="L112" s="3383">
        <f>(-0.989*(L111^2)-63.78*L111+7771)*(10^(-4))</f>
        <v>0.77710000000000001</v>
      </c>
      <c r="M112" s="3383">
        <f>(-0.989*(M111^2)-63.78*M111+7771)*(10^(-4))</f>
        <v>0.77710000000000001</v>
      </c>
      <c r="N112" s="3383">
        <f>(-0.989*(N111^2)-63.78*N111+7771)*(10^(-4))</f>
        <v>0.77710000000000001</v>
      </c>
    </row>
    <row r="113" spans="1:14">
      <c r="A113" s="3799" t="s">
        <v>3311</v>
      </c>
      <c r="B113" s="3799"/>
      <c r="C113" s="3799"/>
      <c r="D113" s="3799"/>
      <c r="E113" s="3799"/>
      <c r="F113" s="3799"/>
      <c r="G113" s="3799"/>
      <c r="H113" s="3799"/>
      <c r="I113" s="3799"/>
      <c r="J113" s="379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3.35</v>
      </c>
      <c r="C116" s="3395" t="s">
        <v>3313</v>
      </c>
      <c r="D116" s="3396">
        <f>SUMPRODUCT((A118:A122=F116)*(B117:M117=H116)*B118:M122)</f>
        <v>0.90629999999999999</v>
      </c>
      <c r="E116" s="1996" t="s">
        <v>3314</v>
      </c>
      <c r="F116" s="3397" t="str">
        <f>E2</f>
        <v>住宅</v>
      </c>
      <c r="G116" s="1996" t="s">
        <v>3315</v>
      </c>
      <c r="H116" s="3397" t="str">
        <f>G2</f>
        <v>二级</v>
      </c>
      <c r="I116" s="1996"/>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2">I118</f>
        <v>0.7883</v>
      </c>
      <c r="K118" s="3383">
        <f t="shared" si="32"/>
        <v>0.7883</v>
      </c>
      <c r="L118" s="3383">
        <f t="shared" si="32"/>
        <v>0.7883</v>
      </c>
      <c r="M118" s="3406">
        <f t="shared" si="32"/>
        <v>0.7883</v>
      </c>
      <c r="N118" s="3393"/>
    </row>
    <row r="119" spans="1:14">
      <c r="A119" s="3405" t="s">
        <v>3329</v>
      </c>
      <c r="B119" s="3383">
        <f>ROUND(0.993-0.0112*B116,4)</f>
        <v>0.95550000000000002</v>
      </c>
      <c r="C119" s="3383">
        <f>B119</f>
        <v>0.95550000000000002</v>
      </c>
      <c r="D119" s="3383">
        <f>ROUND(0.9415-0.0142*B116,4)</f>
        <v>0.89390000000000003</v>
      </c>
      <c r="E119" s="3383">
        <f t="shared" ref="E119:H120" si="33">D119</f>
        <v>0.89390000000000003</v>
      </c>
      <c r="F119" s="3383">
        <f t="shared" si="33"/>
        <v>0.89390000000000003</v>
      </c>
      <c r="G119" s="3383">
        <f t="shared" si="33"/>
        <v>0.89390000000000003</v>
      </c>
      <c r="H119" s="3383">
        <f t="shared" si="33"/>
        <v>0.89390000000000003</v>
      </c>
      <c r="I119" s="3383">
        <f>ROUND(0.838-0.0182*B116,4)</f>
        <v>0.77700000000000002</v>
      </c>
      <c r="J119" s="3383">
        <f t="shared" si="32"/>
        <v>0.77700000000000002</v>
      </c>
      <c r="K119" s="3383">
        <f t="shared" si="32"/>
        <v>0.77700000000000002</v>
      </c>
      <c r="L119" s="3383">
        <f t="shared" si="32"/>
        <v>0.77700000000000002</v>
      </c>
      <c r="M119" s="3406">
        <f t="shared" si="32"/>
        <v>0.77700000000000002</v>
      </c>
      <c r="N119" s="3393"/>
    </row>
    <row r="120" spans="1:14">
      <c r="A120" s="3405" t="s">
        <v>3330</v>
      </c>
      <c r="B120" s="3383">
        <f>ROUND(0.9448-0.0115*B116,4)</f>
        <v>0.90629999999999999</v>
      </c>
      <c r="C120" s="3383">
        <f>B120</f>
        <v>0.90629999999999999</v>
      </c>
      <c r="D120" s="3383">
        <f>ROUND(0.937-0.0145*B116,4)</f>
        <v>0.88839999999999997</v>
      </c>
      <c r="E120" s="3383">
        <f t="shared" si="33"/>
        <v>0.88839999999999997</v>
      </c>
      <c r="F120" s="3383">
        <f t="shared" si="33"/>
        <v>0.88839999999999997</v>
      </c>
      <c r="G120" s="3383">
        <f t="shared" si="33"/>
        <v>0.88839999999999997</v>
      </c>
      <c r="H120" s="3383">
        <f t="shared" si="33"/>
        <v>0.88839999999999997</v>
      </c>
      <c r="I120" s="3383">
        <f>ROUND(0.7965-0.0185*B116,4)</f>
        <v>0.73450000000000004</v>
      </c>
      <c r="J120" s="3383">
        <f t="shared" si="32"/>
        <v>0.73450000000000004</v>
      </c>
      <c r="K120" s="3383">
        <f t="shared" si="32"/>
        <v>0.73450000000000004</v>
      </c>
      <c r="L120" s="3383">
        <f t="shared" si="32"/>
        <v>0.73450000000000004</v>
      </c>
      <c r="M120" s="3406">
        <f t="shared" si="32"/>
        <v>0.73450000000000004</v>
      </c>
      <c r="N120" s="3393"/>
    </row>
    <row r="121" spans="1:14" ht="13.5" thickBot="1">
      <c r="A121" s="3407" t="s">
        <v>3331</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2"/>
        <v>0.52690000000000003</v>
      </c>
      <c r="K121" s="3408">
        <f t="shared" si="32"/>
        <v>0.52690000000000003</v>
      </c>
      <c r="L121" s="3408">
        <f t="shared" si="32"/>
        <v>0.52690000000000003</v>
      </c>
      <c r="M121" s="3409">
        <f t="shared" si="32"/>
        <v>0.52690000000000003</v>
      </c>
      <c r="N121" s="3393"/>
    </row>
    <row r="122" spans="1:14">
      <c r="A122" s="3410" t="s">
        <v>2610</v>
      </c>
      <c r="B122" s="3383">
        <f>ROUND(0.9404-0.0106*B116,4)</f>
        <v>0.90490000000000004</v>
      </c>
      <c r="C122" s="3383">
        <f>B122</f>
        <v>0.90490000000000004</v>
      </c>
      <c r="D122" s="3383">
        <f>ROUND(0.8955-0.0135*B116,4)</f>
        <v>0.85029999999999994</v>
      </c>
      <c r="E122" s="3383">
        <f>D122</f>
        <v>0.85029999999999994</v>
      </c>
      <c r="F122" s="3383">
        <f>E122</f>
        <v>0.85029999999999994</v>
      </c>
      <c r="G122" s="3383">
        <f>F122</f>
        <v>0.85029999999999994</v>
      </c>
      <c r="H122" s="3383">
        <f>G122</f>
        <v>0.85029999999999994</v>
      </c>
      <c r="I122" s="3383">
        <f>ROUND(0.7632-0.0166*B116,4)</f>
        <v>0.70760000000000001</v>
      </c>
      <c r="J122" s="3383">
        <f t="shared" si="32"/>
        <v>0.70760000000000001</v>
      </c>
      <c r="K122" s="3383">
        <f t="shared" si="32"/>
        <v>0.70760000000000001</v>
      </c>
      <c r="L122" s="3383">
        <f t="shared" si="32"/>
        <v>0.70760000000000001</v>
      </c>
      <c r="M122" s="3406">
        <f t="shared" si="32"/>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2592</v>
      </c>
      <c r="B1" s="3067" t="s">
        <v>2593</v>
      </c>
      <c r="C1" s="3067" t="s">
        <v>2594</v>
      </c>
      <c r="D1" s="3067" t="s">
        <v>2595</v>
      </c>
      <c r="E1" s="3067" t="s">
        <v>2596</v>
      </c>
      <c r="F1" s="3067" t="s">
        <v>2597</v>
      </c>
      <c r="G1" s="3067" t="s">
        <v>2598</v>
      </c>
      <c r="H1" s="3067" t="s">
        <v>2599</v>
      </c>
      <c r="I1" s="3067" t="s">
        <v>2600</v>
      </c>
      <c r="J1" s="3067" t="s">
        <v>2601</v>
      </c>
      <c r="K1" s="3067" t="s">
        <v>2602</v>
      </c>
      <c r="L1" s="3067" t="s">
        <v>2603</v>
      </c>
      <c r="M1" s="3068" t="s">
        <v>2604</v>
      </c>
    </row>
    <row r="2" spans="1:13" ht="19.5" customHeight="1">
      <c r="A2" s="3070" t="s">
        <v>2605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SUM(J8:J15)-J13-J14</f>
        <v>185</v>
      </c>
      <c r="K17" s="3018">
        <f>SUM(K8:K15)-K13-K14</f>
        <v>185</v>
      </c>
      <c r="L17" s="3018">
        <f>SUM(L8:L15)-L13-L14</f>
        <v>185</v>
      </c>
      <c r="M17" s="3018">
        <f>SUM(M8:M15)-M13-M14</f>
        <v>185</v>
      </c>
    </row>
    <row r="18" spans="1:13" s="3094" customFormat="1" ht="19.5" customHeight="1">
      <c r="A18" s="3092" t="s">
        <v>2621</v>
      </c>
      <c r="B18" s="3092"/>
      <c r="C18" s="3093"/>
      <c r="D18" s="3093"/>
      <c r="E18" s="3092"/>
      <c r="F18" s="3093"/>
      <c r="G18" s="3093"/>
    </row>
    <row r="19" spans="1:13" ht="19.5" customHeight="1" thickBot="1">
      <c r="A19" s="3090" t="s">
        <v>2622</v>
      </c>
      <c r="B19" s="3095" t="s">
        <v>2623</v>
      </c>
      <c r="C19" s="3095" t="s">
        <v>2624</v>
      </c>
      <c r="D19" s="3096"/>
      <c r="E19" s="3090" t="s">
        <v>2625</v>
      </c>
      <c r="F19" s="3097"/>
      <c r="G19" s="3097"/>
    </row>
    <row r="20" spans="1:13" ht="19.5" customHeight="1">
      <c r="A20" s="3824" t="s">
        <v>2605</v>
      </c>
      <c r="B20" s="3819" t="s">
        <v>2626</v>
      </c>
      <c r="C20" s="3098" t="s">
        <v>2437</v>
      </c>
      <c r="D20" s="3099"/>
      <c r="E20" s="3100">
        <v>1</v>
      </c>
      <c r="F20" s="3101" t="s">
        <v>2438</v>
      </c>
      <c r="G20" s="3101"/>
    </row>
    <row r="21" spans="1:13" ht="19.5" customHeight="1">
      <c r="A21" s="3825"/>
      <c r="B21" s="3818"/>
      <c r="C21" s="3102" t="s">
        <v>2439</v>
      </c>
      <c r="D21" s="3103"/>
      <c r="E21" s="3104">
        <v>1</v>
      </c>
      <c r="F21" s="3101" t="s">
        <v>2440</v>
      </c>
      <c r="G21" s="3101"/>
    </row>
    <row r="22" spans="1:13" ht="19.5" customHeight="1">
      <c r="A22" s="3825"/>
      <c r="B22" s="3818"/>
      <c r="C22" s="3102" t="s">
        <v>2441</v>
      </c>
      <c r="D22" s="3103"/>
      <c r="E22" s="3104">
        <v>0.9</v>
      </c>
      <c r="F22" s="3101" t="s">
        <v>2442</v>
      </c>
      <c r="G22" s="3101"/>
    </row>
    <row r="23" spans="1:13" ht="19.5" customHeight="1">
      <c r="A23" s="3825"/>
      <c r="B23" s="3818"/>
      <c r="C23" s="3102" t="s">
        <v>2443</v>
      </c>
      <c r="D23" s="3103"/>
      <c r="E23" s="3104">
        <v>0.9</v>
      </c>
      <c r="F23" s="3101" t="s">
        <v>2444</v>
      </c>
      <c r="G23" s="3101"/>
    </row>
    <row r="24" spans="1:13" ht="19.5" customHeight="1">
      <c r="A24" s="3825"/>
      <c r="B24" s="3818"/>
      <c r="C24" s="3102" t="s">
        <v>2445</v>
      </c>
      <c r="D24" s="3103"/>
      <c r="E24" s="3104">
        <v>0.8</v>
      </c>
      <c r="F24" s="3101" t="s">
        <v>2446</v>
      </c>
      <c r="G24" s="3101"/>
    </row>
    <row r="25" spans="1:13" ht="19.5" customHeight="1" thickBot="1">
      <c r="A25" s="3826"/>
      <c r="B25" s="3820"/>
      <c r="C25" s="3105" t="s">
        <v>2447</v>
      </c>
      <c r="D25" s="3106"/>
      <c r="E25" s="3107">
        <v>0.8</v>
      </c>
      <c r="F25" s="3101" t="s">
        <v>2448</v>
      </c>
      <c r="G25" s="3101"/>
    </row>
    <row r="26" spans="1:13" ht="19.5" customHeight="1" thickBot="1">
      <c r="A26" s="3108" t="s">
        <v>2627</v>
      </c>
      <c r="B26" s="3109" t="s">
        <v>2626</v>
      </c>
      <c r="C26" s="3110" t="s">
        <v>2628</v>
      </c>
      <c r="D26" s="3111"/>
      <c r="E26" s="3112">
        <v>1</v>
      </c>
      <c r="F26" s="3101" t="s">
        <v>2449</v>
      </c>
      <c r="G26" s="3101"/>
    </row>
    <row r="27" spans="1:13" ht="19.5" customHeight="1">
      <c r="A27" s="3821" t="s">
        <v>2629</v>
      </c>
      <c r="B27" s="3819" t="s">
        <v>2610</v>
      </c>
      <c r="C27" s="3098" t="s">
        <v>2450</v>
      </c>
      <c r="D27" s="3099"/>
      <c r="E27" s="3100">
        <v>1</v>
      </c>
      <c r="F27" s="3101" t="s">
        <v>2451</v>
      </c>
      <c r="G27" s="3101"/>
    </row>
    <row r="28" spans="1:13" ht="19.5" customHeight="1">
      <c r="A28" s="3822"/>
      <c r="B28" s="3818"/>
      <c r="C28" s="3102" t="s">
        <v>2452</v>
      </c>
      <c r="D28" s="3103"/>
      <c r="E28" s="3104">
        <v>1</v>
      </c>
      <c r="F28" s="3101" t="s">
        <v>2453</v>
      </c>
      <c r="G28" s="3101"/>
    </row>
    <row r="29" spans="1:13" ht="19.5" customHeight="1">
      <c r="A29" s="3822"/>
      <c r="B29" s="3818"/>
      <c r="C29" s="3102" t="s">
        <v>2454</v>
      </c>
      <c r="D29" s="3103"/>
      <c r="E29" s="3104">
        <v>0.8</v>
      </c>
      <c r="F29" s="3101" t="s">
        <v>2455</v>
      </c>
      <c r="G29" s="3101"/>
    </row>
    <row r="30" spans="1:13" ht="19.5" customHeight="1">
      <c r="A30" s="3822"/>
      <c r="B30" s="3818"/>
      <c r="C30" s="3102" t="s">
        <v>2456</v>
      </c>
      <c r="D30" s="3103"/>
      <c r="E30" s="3104">
        <v>0.8</v>
      </c>
      <c r="F30" s="3101" t="s">
        <v>2457</v>
      </c>
      <c r="G30" s="3101"/>
    </row>
    <row r="31" spans="1:13" ht="19.5" customHeight="1">
      <c r="A31" s="3822"/>
      <c r="B31" s="3818"/>
      <c r="C31" s="3102" t="s">
        <v>2458</v>
      </c>
      <c r="D31" s="3103"/>
      <c r="E31" s="3104">
        <v>0.8</v>
      </c>
      <c r="F31" s="3101" t="s">
        <v>2459</v>
      </c>
      <c r="G31" s="3101"/>
    </row>
    <row r="32" spans="1:13" ht="19.5" customHeight="1">
      <c r="A32" s="3822"/>
      <c r="B32" s="3818"/>
      <c r="C32" s="3102" t="s">
        <v>2460</v>
      </c>
      <c r="D32" s="3103"/>
      <c r="E32" s="3104">
        <v>0.7</v>
      </c>
      <c r="F32" s="3101" t="s">
        <v>2461</v>
      </c>
      <c r="G32" s="3101"/>
    </row>
    <row r="33" spans="1:7" ht="19.5" customHeight="1">
      <c r="A33" s="3822"/>
      <c r="B33" s="3818"/>
      <c r="C33" s="3102" t="s">
        <v>2462</v>
      </c>
      <c r="D33" s="3103"/>
      <c r="E33" s="3104">
        <v>0.8</v>
      </c>
      <c r="F33" s="3101" t="s">
        <v>2463</v>
      </c>
      <c r="G33" s="3101"/>
    </row>
    <row r="34" spans="1:7" ht="19.5" customHeight="1">
      <c r="A34" s="3822"/>
      <c r="B34" s="3818"/>
      <c r="C34" s="3102" t="s">
        <v>2464</v>
      </c>
      <c r="D34" s="3103"/>
      <c r="E34" s="3104">
        <v>0.6</v>
      </c>
      <c r="F34" s="3101" t="s">
        <v>2465</v>
      </c>
      <c r="G34" s="3101"/>
    </row>
    <row r="35" spans="1:7" ht="19.5" customHeight="1">
      <c r="A35" s="3822"/>
      <c r="B35" s="3818"/>
      <c r="C35" s="3102" t="s">
        <v>2466</v>
      </c>
      <c r="D35" s="3103"/>
      <c r="E35" s="3104">
        <v>0.2</v>
      </c>
      <c r="F35" s="3101" t="s">
        <v>2467</v>
      </c>
      <c r="G35" s="3101"/>
    </row>
    <row r="36" spans="1:7" ht="19.5" customHeight="1">
      <c r="A36" s="3822"/>
      <c r="B36" s="3818"/>
      <c r="C36" s="3102" t="s">
        <v>2468</v>
      </c>
      <c r="D36" s="3103"/>
      <c r="E36" s="3104">
        <v>0.2</v>
      </c>
      <c r="F36" s="3101" t="s">
        <v>2469</v>
      </c>
      <c r="G36" s="3101"/>
    </row>
    <row r="37" spans="1:7" ht="19.5" customHeight="1">
      <c r="A37" s="3822"/>
      <c r="B37" s="3816" t="s">
        <v>2630</v>
      </c>
      <c r="C37" s="3102" t="s">
        <v>2470</v>
      </c>
      <c r="D37" s="3103"/>
      <c r="E37" s="3104">
        <v>0.6</v>
      </c>
      <c r="F37" s="3101" t="s">
        <v>2471</v>
      </c>
      <c r="G37" s="3101"/>
    </row>
    <row r="38" spans="1:7" ht="19.5" customHeight="1">
      <c r="A38" s="3822"/>
      <c r="B38" s="3818"/>
      <c r="C38" s="3102" t="s">
        <v>2472</v>
      </c>
      <c r="D38" s="3103"/>
      <c r="E38" s="3104">
        <v>0.6</v>
      </c>
      <c r="F38" s="3101" t="s">
        <v>2473</v>
      </c>
      <c r="G38" s="3101"/>
    </row>
    <row r="39" spans="1:7" ht="19.5" customHeight="1" thickBot="1">
      <c r="A39" s="3823"/>
      <c r="B39" s="3820"/>
      <c r="C39" s="3105" t="s">
        <v>2474</v>
      </c>
      <c r="D39" s="3106"/>
      <c r="E39" s="3107">
        <v>0.6</v>
      </c>
      <c r="F39" s="3101" t="s">
        <v>2475</v>
      </c>
      <c r="G39" s="3101"/>
    </row>
    <row r="40" spans="1:7" ht="19.5" customHeight="1" thickBot="1">
      <c r="A40" s="3108" t="s">
        <v>2607</v>
      </c>
      <c r="B40" s="3109" t="s">
        <v>2607</v>
      </c>
      <c r="C40" s="3110" t="s">
        <v>2631</v>
      </c>
      <c r="D40" s="3111"/>
      <c r="E40" s="3112">
        <v>1</v>
      </c>
      <c r="F40" s="3101" t="s">
        <v>2476</v>
      </c>
      <c r="G40" s="3101"/>
    </row>
    <row r="41" spans="1:7" ht="19.5" customHeight="1">
      <c r="A41" s="3824" t="s">
        <v>2608</v>
      </c>
      <c r="B41" s="3819" t="s">
        <v>2632</v>
      </c>
      <c r="C41" s="3098" t="s">
        <v>2477</v>
      </c>
      <c r="D41" s="3099"/>
      <c r="E41" s="3100">
        <v>1</v>
      </c>
      <c r="F41" s="3101" t="s">
        <v>2478</v>
      </c>
      <c r="G41" s="3101"/>
    </row>
    <row r="42" spans="1:7" ht="19.5" customHeight="1">
      <c r="A42" s="3825"/>
      <c r="B42" s="3818"/>
      <c r="C42" s="3102" t="s">
        <v>2479</v>
      </c>
      <c r="D42" s="3103"/>
      <c r="E42" s="3104">
        <v>1</v>
      </c>
      <c r="F42" s="3101" t="s">
        <v>2480</v>
      </c>
      <c r="G42" s="3101"/>
    </row>
    <row r="43" spans="1:7" ht="19.5" customHeight="1">
      <c r="A43" s="3825"/>
      <c r="B43" s="3817"/>
      <c r="C43" s="3102" t="s">
        <v>2481</v>
      </c>
      <c r="D43" s="3103"/>
      <c r="E43" s="3104">
        <v>1.5</v>
      </c>
      <c r="F43" s="3101" t="s">
        <v>2482</v>
      </c>
      <c r="G43" s="3101"/>
    </row>
    <row r="44" spans="1:7" ht="19.5" customHeight="1">
      <c r="A44" s="3825"/>
      <c r="B44" s="3113" t="s">
        <v>2633</v>
      </c>
      <c r="C44" s="3102" t="s">
        <v>2634</v>
      </c>
      <c r="D44" s="3103"/>
      <c r="E44" s="3104">
        <v>2</v>
      </c>
      <c r="F44" s="3101" t="s">
        <v>2483</v>
      </c>
      <c r="G44" s="3101"/>
    </row>
    <row r="45" spans="1:7" ht="19.5" customHeight="1">
      <c r="A45" s="3825"/>
      <c r="B45" s="3816" t="s">
        <v>2635</v>
      </c>
      <c r="C45" s="3102" t="s">
        <v>2484</v>
      </c>
      <c r="D45" s="3103"/>
      <c r="E45" s="3104">
        <v>1</v>
      </c>
      <c r="F45" s="3101" t="s">
        <v>2485</v>
      </c>
      <c r="G45" s="3101"/>
    </row>
    <row r="46" spans="1:7" ht="19.5" customHeight="1">
      <c r="A46" s="3825"/>
      <c r="B46" s="3818"/>
      <c r="C46" s="3102" t="s">
        <v>2486</v>
      </c>
      <c r="D46" s="3103"/>
      <c r="E46" s="3104">
        <v>1</v>
      </c>
      <c r="F46" s="3101" t="s">
        <v>2487</v>
      </c>
      <c r="G46" s="3101"/>
    </row>
    <row r="47" spans="1:7" ht="19.5" customHeight="1">
      <c r="A47" s="3825"/>
      <c r="B47" s="3818"/>
      <c r="C47" s="3102" t="s">
        <v>2488</v>
      </c>
      <c r="D47" s="3103"/>
      <c r="E47" s="3104">
        <v>1</v>
      </c>
      <c r="F47" s="3101" t="s">
        <v>2489</v>
      </c>
      <c r="G47" s="3101"/>
    </row>
    <row r="48" spans="1:7" ht="19.5" customHeight="1">
      <c r="A48" s="3825"/>
      <c r="B48" s="3818"/>
      <c r="C48" s="3102" t="s">
        <v>2490</v>
      </c>
      <c r="D48" s="3103"/>
      <c r="E48" s="3104">
        <v>1</v>
      </c>
      <c r="F48" s="3101" t="s">
        <v>2491</v>
      </c>
      <c r="G48" s="3101"/>
    </row>
    <row r="49" spans="1:7" ht="19.5" customHeight="1">
      <c r="A49" s="3825"/>
      <c r="B49" s="3818"/>
      <c r="C49" s="3102" t="s">
        <v>2492</v>
      </c>
      <c r="D49" s="3103"/>
      <c r="E49" s="3104">
        <v>1</v>
      </c>
      <c r="F49" s="3101" t="s">
        <v>2493</v>
      </c>
      <c r="G49" s="3101"/>
    </row>
    <row r="50" spans="1:7" ht="19.5" customHeight="1">
      <c r="A50" s="3825"/>
      <c r="B50" s="3818"/>
      <c r="C50" s="3102" t="s">
        <v>2494</v>
      </c>
      <c r="D50" s="3103"/>
      <c r="E50" s="3104">
        <v>1</v>
      </c>
      <c r="F50" s="3101" t="s">
        <v>2495</v>
      </c>
      <c r="G50" s="3101"/>
    </row>
    <row r="51" spans="1:7" ht="19.5" customHeight="1" thickBot="1">
      <c r="A51" s="3826"/>
      <c r="B51" s="3820"/>
      <c r="C51" s="3105" t="s">
        <v>2496</v>
      </c>
      <c r="D51" s="3106"/>
      <c r="E51" s="3107">
        <v>1</v>
      </c>
      <c r="F51" s="3101" t="s">
        <v>2497</v>
      </c>
      <c r="G51" s="3101"/>
    </row>
    <row r="52" spans="1:7" ht="19.5" customHeight="1">
      <c r="A52" s="3114"/>
      <c r="B52" s="3114"/>
      <c r="C52" s="3114"/>
      <c r="D52" s="3114"/>
      <c r="E52" s="3114"/>
      <c r="F52" s="3114"/>
      <c r="G52" s="3114"/>
    </row>
    <row r="54" spans="1:7" ht="19.5" customHeight="1">
      <c r="A54" s="3115"/>
      <c r="B54" s="3087" t="s">
        <v>2636</v>
      </c>
      <c r="C54" s="3087" t="s">
        <v>2636</v>
      </c>
      <c r="D54" s="3087" t="s">
        <v>2636</v>
      </c>
      <c r="E54" s="3090" t="s">
        <v>2636</v>
      </c>
      <c r="F54" s="3090" t="s">
        <v>2637</v>
      </c>
      <c r="G54" s="3090" t="s">
        <v>2638</v>
      </c>
    </row>
    <row r="55" spans="1:7" ht="19.5" customHeight="1">
      <c r="A55" s="3116"/>
      <c r="B55" s="3090" t="s">
        <v>2605</v>
      </c>
      <c r="C55" s="3090" t="s">
        <v>2605</v>
      </c>
      <c r="D55" s="3090" t="s">
        <v>2605</v>
      </c>
      <c r="E55" s="3087" t="s">
        <v>2606</v>
      </c>
      <c r="F55" s="3087" t="s">
        <v>2608</v>
      </c>
      <c r="G55" s="3087" t="s">
        <v>2639</v>
      </c>
    </row>
    <row r="56" spans="1:7" ht="19.5" customHeight="1">
      <c r="A56" s="3117"/>
      <c r="B56" s="3087">
        <v>1</v>
      </c>
      <c r="C56" s="3087">
        <v>2</v>
      </c>
      <c r="D56" s="3087">
        <v>3</v>
      </c>
      <c r="E56" s="3118" t="s">
        <v>2640</v>
      </c>
      <c r="F56" s="3118" t="s">
        <v>2640</v>
      </c>
      <c r="G56" s="3118" t="s">
        <v>2640</v>
      </c>
    </row>
    <row r="57" spans="1:7" ht="19.5" customHeight="1">
      <c r="A57" s="3119" t="s">
        <v>2593</v>
      </c>
      <c r="B57" s="3087">
        <v>0.7</v>
      </c>
      <c r="C57" s="3087">
        <v>0.4</v>
      </c>
      <c r="D57" s="3087">
        <v>0.3</v>
      </c>
      <c r="E57" s="3118">
        <v>0.3</v>
      </c>
      <c r="F57" s="3087">
        <v>0.3</v>
      </c>
      <c r="G57" s="3087">
        <v>0.2</v>
      </c>
    </row>
    <row r="58" spans="1:7" ht="19.5" customHeight="1">
      <c r="A58" s="3119" t="s">
        <v>2594</v>
      </c>
      <c r="B58" s="3087">
        <v>0.7</v>
      </c>
      <c r="C58" s="3087">
        <v>0.4</v>
      </c>
      <c r="D58" s="3087">
        <v>0.3</v>
      </c>
      <c r="E58" s="3087">
        <v>0.3</v>
      </c>
      <c r="F58" s="3087">
        <v>0.3</v>
      </c>
      <c r="G58" s="3087">
        <v>0.2</v>
      </c>
    </row>
    <row r="59" spans="1:7" ht="19.5" customHeight="1">
      <c r="A59" s="3119" t="s">
        <v>2595</v>
      </c>
      <c r="B59" s="3087">
        <v>0.6</v>
      </c>
      <c r="C59" s="3087">
        <v>0.3</v>
      </c>
      <c r="D59" s="3087">
        <v>0.25</v>
      </c>
      <c r="E59" s="3087">
        <v>0.25</v>
      </c>
      <c r="F59" s="3087">
        <v>0.25</v>
      </c>
      <c r="G59" s="3087">
        <v>0.15</v>
      </c>
    </row>
    <row r="60" spans="1:7" ht="19.5" customHeight="1">
      <c r="A60" s="3119" t="s">
        <v>2596</v>
      </c>
      <c r="B60" s="3087">
        <v>0.6</v>
      </c>
      <c r="C60" s="3087">
        <v>0.3</v>
      </c>
      <c r="D60" s="3087">
        <v>0.25</v>
      </c>
      <c r="E60" s="3087">
        <v>0.25</v>
      </c>
      <c r="F60" s="3087">
        <v>0.25</v>
      </c>
      <c r="G60" s="3087">
        <v>0.15</v>
      </c>
    </row>
    <row r="61" spans="1:7" ht="19.5" customHeight="1">
      <c r="A61" s="3119" t="s">
        <v>2597</v>
      </c>
      <c r="B61" s="3087">
        <v>0.6</v>
      </c>
      <c r="C61" s="3087">
        <v>0.3</v>
      </c>
      <c r="D61" s="3087">
        <v>0.25</v>
      </c>
      <c r="E61" s="3087">
        <v>0.25</v>
      </c>
      <c r="F61" s="3087">
        <v>0.25</v>
      </c>
      <c r="G61" s="3087">
        <v>0.15</v>
      </c>
    </row>
    <row r="62" spans="1:7" ht="19.5" customHeight="1">
      <c r="A62" s="3119" t="s">
        <v>2598</v>
      </c>
      <c r="B62" s="3087">
        <v>0.6</v>
      </c>
      <c r="C62" s="3087">
        <v>0.3</v>
      </c>
      <c r="D62" s="3087">
        <v>0.25</v>
      </c>
      <c r="E62" s="3087">
        <v>0.25</v>
      </c>
      <c r="F62" s="3087">
        <v>0.25</v>
      </c>
      <c r="G62" s="3087">
        <v>0.15</v>
      </c>
    </row>
    <row r="63" spans="1:7" ht="19.5" customHeight="1">
      <c r="A63" s="3119" t="s">
        <v>2599</v>
      </c>
      <c r="B63" s="3087">
        <v>0.6</v>
      </c>
      <c r="C63" s="3087">
        <v>0.3</v>
      </c>
      <c r="D63" s="3087">
        <v>0.25</v>
      </c>
      <c r="E63" s="3087">
        <v>0.25</v>
      </c>
      <c r="F63" s="3087">
        <v>0.25</v>
      </c>
      <c r="G63" s="3087">
        <v>0.15</v>
      </c>
    </row>
    <row r="64" spans="1:7" ht="19.5" customHeight="1">
      <c r="A64" s="3119" t="s">
        <v>2600</v>
      </c>
      <c r="B64" s="3087">
        <v>0.5</v>
      </c>
      <c r="C64" s="3087">
        <v>0.2</v>
      </c>
      <c r="D64" s="3087">
        <v>0.2</v>
      </c>
      <c r="E64" s="3087">
        <v>0.2</v>
      </c>
      <c r="F64" s="3087">
        <v>0.2</v>
      </c>
      <c r="G64" s="3087">
        <v>0.1</v>
      </c>
    </row>
    <row r="65" spans="1:7" ht="19.5" customHeight="1">
      <c r="A65" s="3119" t="s">
        <v>2601</v>
      </c>
      <c r="B65" s="3087">
        <v>0.5</v>
      </c>
      <c r="C65" s="3087">
        <v>0.2</v>
      </c>
      <c r="D65" s="3087">
        <v>0.2</v>
      </c>
      <c r="E65" s="3087">
        <v>0.2</v>
      </c>
      <c r="F65" s="3087">
        <v>0.2</v>
      </c>
      <c r="G65" s="3087">
        <v>0.1</v>
      </c>
    </row>
    <row r="66" spans="1:7" ht="19.5" customHeight="1">
      <c r="A66" s="3119" t="s">
        <v>2602</v>
      </c>
      <c r="B66" s="3087">
        <v>0.5</v>
      </c>
      <c r="C66" s="3087">
        <v>0.2</v>
      </c>
      <c r="D66" s="3087">
        <v>0.2</v>
      </c>
      <c r="E66" s="3087">
        <v>0.2</v>
      </c>
      <c r="F66" s="3087">
        <v>0.2</v>
      </c>
      <c r="G66" s="3087">
        <v>0.1</v>
      </c>
    </row>
    <row r="67" spans="1:7" ht="19.5" customHeight="1">
      <c r="A67" s="3119" t="s">
        <v>2603</v>
      </c>
      <c r="B67" s="3087">
        <v>0.5</v>
      </c>
      <c r="C67" s="3087">
        <v>0.2</v>
      </c>
      <c r="D67" s="3087">
        <v>0.2</v>
      </c>
      <c r="E67" s="3087">
        <v>0.2</v>
      </c>
      <c r="F67" s="3087">
        <v>0.2</v>
      </c>
      <c r="G67" s="3087">
        <v>0.1</v>
      </c>
    </row>
    <row r="68" spans="1:7" ht="19.5" customHeight="1">
      <c r="A68" s="3119" t="s">
        <v>2604</v>
      </c>
      <c r="B68" s="3087">
        <v>0.5</v>
      </c>
      <c r="C68" s="3087">
        <v>0.2</v>
      </c>
      <c r="D68" s="3087">
        <v>0.2</v>
      </c>
      <c r="E68" s="3087">
        <v>0.2</v>
      </c>
      <c r="F68" s="3087">
        <v>0.2</v>
      </c>
      <c r="G68" s="3087">
        <v>0.1</v>
      </c>
    </row>
    <row r="70" spans="1:7" ht="19.5" customHeight="1">
      <c r="A70" s="3120"/>
      <c r="B70" s="3121"/>
      <c r="C70" s="3121"/>
      <c r="D70" s="3121" t="s">
        <v>2641</v>
      </c>
      <c r="E70" s="3121"/>
      <c r="F70" s="3121"/>
    </row>
    <row r="71" spans="1:7" ht="19.5" customHeight="1">
      <c r="A71" s="3113" t="s">
        <v>2642</v>
      </c>
      <c r="B71" s="3113" t="s">
        <v>2643</v>
      </c>
      <c r="C71" s="3113" t="s">
        <v>2644</v>
      </c>
      <c r="D71" s="3113" t="s">
        <v>2645</v>
      </c>
      <c r="E71" s="3113" t="s">
        <v>2646</v>
      </c>
      <c r="F71" s="3113" t="s">
        <v>2647</v>
      </c>
    </row>
    <row r="72" spans="1:7" ht="13.5">
      <c r="A72" s="3113"/>
      <c r="B72" s="3113"/>
      <c r="C72" s="3113" t="s">
        <v>2648</v>
      </c>
      <c r="D72" s="3113"/>
      <c r="E72" s="3113" t="s">
        <v>2619</v>
      </c>
      <c r="F72" s="3113" t="s">
        <v>2619</v>
      </c>
    </row>
    <row r="73" spans="1:7" ht="13.5">
      <c r="A73" s="3113">
        <v>1</v>
      </c>
      <c r="B73" s="3816" t="s">
        <v>2649</v>
      </c>
      <c r="C73" s="3087" t="s">
        <v>2650</v>
      </c>
      <c r="D73" s="3087" t="s">
        <v>2651</v>
      </c>
      <c r="E73" s="3113">
        <v>0.2</v>
      </c>
      <c r="F73" s="3113">
        <v>25</v>
      </c>
    </row>
    <row r="74" spans="1:7" ht="24">
      <c r="A74" s="3113">
        <v>2</v>
      </c>
      <c r="B74" s="3818"/>
      <c r="C74" s="3087" t="s">
        <v>2652</v>
      </c>
      <c r="D74" s="3087" t="s">
        <v>2653</v>
      </c>
      <c r="E74" s="3113">
        <v>0.2</v>
      </c>
      <c r="F74" s="3113">
        <v>25</v>
      </c>
    </row>
    <row r="75" spans="1:7" ht="24">
      <c r="A75" s="3113">
        <v>3</v>
      </c>
      <c r="B75" s="3818"/>
      <c r="C75" s="3087" t="s">
        <v>2654</v>
      </c>
      <c r="D75" s="3087" t="s">
        <v>2655</v>
      </c>
      <c r="E75" s="3113">
        <v>0.2</v>
      </c>
      <c r="F75" s="3113">
        <v>25</v>
      </c>
    </row>
    <row r="76" spans="1:7" ht="13.5">
      <c r="A76" s="3113">
        <v>4</v>
      </c>
      <c r="B76" s="3818"/>
      <c r="C76" s="3087" t="s">
        <v>2656</v>
      </c>
      <c r="D76" s="3087" t="s">
        <v>2657</v>
      </c>
      <c r="E76" s="3113">
        <v>0.15</v>
      </c>
      <c r="F76" s="3113">
        <v>20</v>
      </c>
    </row>
    <row r="77" spans="1:7" ht="24">
      <c r="A77" s="3113">
        <v>5</v>
      </c>
      <c r="B77" s="3818"/>
      <c r="C77" s="3087" t="s">
        <v>2658</v>
      </c>
      <c r="D77" s="3087" t="s">
        <v>2659</v>
      </c>
      <c r="E77" s="3113">
        <v>0.15</v>
      </c>
      <c r="F77" s="3113">
        <v>20</v>
      </c>
    </row>
    <row r="78" spans="1:7" ht="24">
      <c r="A78" s="3113">
        <v>6</v>
      </c>
      <c r="B78" s="3818"/>
      <c r="C78" s="3087" t="s">
        <v>2660</v>
      </c>
      <c r="D78" s="3087" t="s">
        <v>2661</v>
      </c>
      <c r="E78" s="3113">
        <v>0.15</v>
      </c>
      <c r="F78" s="3113">
        <v>20</v>
      </c>
    </row>
    <row r="79" spans="1:7" ht="24">
      <c r="A79" s="3113">
        <v>7</v>
      </c>
      <c r="B79" s="3818"/>
      <c r="C79" s="3087" t="s">
        <v>2662</v>
      </c>
      <c r="D79" s="3087" t="s">
        <v>2663</v>
      </c>
      <c r="E79" s="3113">
        <v>0.15</v>
      </c>
      <c r="F79" s="3113">
        <v>20</v>
      </c>
    </row>
    <row r="80" spans="1:7" ht="24">
      <c r="A80" s="3113">
        <v>8</v>
      </c>
      <c r="B80" s="3818"/>
      <c r="C80" s="3087" t="s">
        <v>2664</v>
      </c>
      <c r="D80" s="3087" t="s">
        <v>2665</v>
      </c>
      <c r="E80" s="3113">
        <v>0.1</v>
      </c>
      <c r="F80" s="3113">
        <v>15</v>
      </c>
    </row>
    <row r="81" spans="1:6" ht="24">
      <c r="A81" s="3113">
        <v>9</v>
      </c>
      <c r="B81" s="3818"/>
      <c r="C81" s="3087" t="s">
        <v>2666</v>
      </c>
      <c r="D81" s="3087" t="s">
        <v>2667</v>
      </c>
      <c r="E81" s="3113">
        <v>0.1</v>
      </c>
      <c r="F81" s="3113">
        <v>15</v>
      </c>
    </row>
    <row r="82" spans="1:6" ht="24">
      <c r="A82" s="3113">
        <v>10</v>
      </c>
      <c r="B82" s="3818"/>
      <c r="C82" s="3087" t="s">
        <v>2668</v>
      </c>
      <c r="D82" s="3087" t="s">
        <v>2669</v>
      </c>
      <c r="E82" s="3113">
        <v>0.1</v>
      </c>
      <c r="F82" s="3113">
        <v>15</v>
      </c>
    </row>
    <row r="83" spans="1:6" ht="24">
      <c r="A83" s="3113">
        <v>11</v>
      </c>
      <c r="B83" s="3818"/>
      <c r="C83" s="3087" t="s">
        <v>2670</v>
      </c>
      <c r="D83" s="3087" t="s">
        <v>2671</v>
      </c>
      <c r="E83" s="3113">
        <v>0.1</v>
      </c>
      <c r="F83" s="3113">
        <v>15</v>
      </c>
    </row>
    <row r="84" spans="1:6" ht="24">
      <c r="A84" s="3113">
        <v>12</v>
      </c>
      <c r="B84" s="3818"/>
      <c r="C84" s="3087" t="s">
        <v>2672</v>
      </c>
      <c r="D84" s="3087" t="s">
        <v>2673</v>
      </c>
      <c r="E84" s="3113">
        <v>0.1</v>
      </c>
      <c r="F84" s="3113">
        <v>15</v>
      </c>
    </row>
    <row r="85" spans="1:6" ht="13.5">
      <c r="A85" s="3113">
        <v>13</v>
      </c>
      <c r="B85" s="3818"/>
      <c r="C85" s="3087" t="s">
        <v>2674</v>
      </c>
      <c r="D85" s="3087" t="s">
        <v>2675</v>
      </c>
      <c r="E85" s="3113">
        <v>0.1</v>
      </c>
      <c r="F85" s="3113">
        <v>15</v>
      </c>
    </row>
    <row r="86" spans="1:6" ht="13.5">
      <c r="A86" s="3113">
        <v>14</v>
      </c>
      <c r="B86" s="3818"/>
      <c r="C86" s="3087" t="s">
        <v>2676</v>
      </c>
      <c r="D86" s="3087" t="s">
        <v>2677</v>
      </c>
      <c r="E86" s="3113">
        <v>0.1</v>
      </c>
      <c r="F86" s="3113">
        <v>15</v>
      </c>
    </row>
    <row r="87" spans="1:6" ht="13.5">
      <c r="A87" s="3113">
        <v>15</v>
      </c>
      <c r="B87" s="3818"/>
      <c r="C87" s="3087" t="s">
        <v>2678</v>
      </c>
      <c r="D87" s="3087" t="s">
        <v>2679</v>
      </c>
      <c r="E87" s="3113">
        <v>0.1</v>
      </c>
      <c r="F87" s="3113">
        <v>15</v>
      </c>
    </row>
    <row r="88" spans="1:6" ht="24">
      <c r="A88" s="3113">
        <v>16</v>
      </c>
      <c r="B88" s="3818"/>
      <c r="C88" s="3087" t="s">
        <v>2680</v>
      </c>
      <c r="D88" s="3087" t="s">
        <v>2681</v>
      </c>
      <c r="E88" s="3113">
        <v>0.1</v>
      </c>
      <c r="F88" s="3113">
        <v>15</v>
      </c>
    </row>
    <row r="89" spans="1:6" ht="24">
      <c r="A89" s="3113">
        <v>17</v>
      </c>
      <c r="B89" s="3817"/>
      <c r="C89" s="3087" t="s">
        <v>2682</v>
      </c>
      <c r="D89" s="3087" t="s">
        <v>2683</v>
      </c>
      <c r="E89" s="3113">
        <v>0.1</v>
      </c>
      <c r="F89" s="3113">
        <v>15</v>
      </c>
    </row>
    <row r="90" spans="1:6" ht="13.5">
      <c r="A90" s="3113">
        <v>18</v>
      </c>
      <c r="B90" s="3816" t="s">
        <v>2684</v>
      </c>
      <c r="C90" s="3087" t="s">
        <v>2685</v>
      </c>
      <c r="D90" s="3087" t="s">
        <v>2686</v>
      </c>
      <c r="E90" s="3113">
        <v>0.2</v>
      </c>
      <c r="F90" s="3113">
        <v>25</v>
      </c>
    </row>
    <row r="91" spans="1:6" ht="24">
      <c r="A91" s="3113">
        <v>19</v>
      </c>
      <c r="B91" s="3818"/>
      <c r="C91" s="3087" t="s">
        <v>2687</v>
      </c>
      <c r="D91" s="3087" t="s">
        <v>2688</v>
      </c>
      <c r="E91" s="3113">
        <v>0.2</v>
      </c>
      <c r="F91" s="3113">
        <v>25</v>
      </c>
    </row>
    <row r="92" spans="1:6" ht="13.5">
      <c r="A92" s="3113">
        <v>20</v>
      </c>
      <c r="B92" s="3818"/>
      <c r="C92" s="3087" t="s">
        <v>2689</v>
      </c>
      <c r="D92" s="3087" t="s">
        <v>2690</v>
      </c>
      <c r="E92" s="3113">
        <v>0.15</v>
      </c>
      <c r="F92" s="3113">
        <v>20</v>
      </c>
    </row>
    <row r="93" spans="1:6" ht="13.5">
      <c r="A93" s="3113">
        <v>21</v>
      </c>
      <c r="B93" s="3818"/>
      <c r="C93" s="3087" t="s">
        <v>2691</v>
      </c>
      <c r="D93" s="3087" t="s">
        <v>2692</v>
      </c>
      <c r="E93" s="3113">
        <v>0.15</v>
      </c>
      <c r="F93" s="3113">
        <v>20</v>
      </c>
    </row>
    <row r="94" spans="1:6" ht="13.5">
      <c r="A94" s="3113">
        <v>22</v>
      </c>
      <c r="B94" s="3818"/>
      <c r="C94" s="3087" t="s">
        <v>2693</v>
      </c>
      <c r="D94" s="3087" t="s">
        <v>2694</v>
      </c>
      <c r="E94" s="3113">
        <v>0.15</v>
      </c>
      <c r="F94" s="3113">
        <v>20</v>
      </c>
    </row>
    <row r="95" spans="1:6" ht="36">
      <c r="A95" s="3113">
        <v>23</v>
      </c>
      <c r="B95" s="3818"/>
      <c r="C95" s="3087" t="s">
        <v>2695</v>
      </c>
      <c r="D95" s="3087" t="s">
        <v>2696</v>
      </c>
      <c r="E95" s="3113">
        <v>0.15</v>
      </c>
      <c r="F95" s="3113">
        <v>20</v>
      </c>
    </row>
    <row r="96" spans="1:6" ht="13.5">
      <c r="A96" s="3113">
        <v>24</v>
      </c>
      <c r="B96" s="3818"/>
      <c r="C96" s="3087" t="s">
        <v>2697</v>
      </c>
      <c r="D96" s="3087" t="s">
        <v>2698</v>
      </c>
      <c r="E96" s="3113">
        <v>0.1</v>
      </c>
      <c r="F96" s="3113">
        <v>15</v>
      </c>
    </row>
    <row r="97" spans="1:6" ht="13.5">
      <c r="A97" s="3113">
        <v>25</v>
      </c>
      <c r="B97" s="3818"/>
      <c r="C97" s="3087" t="s">
        <v>2699</v>
      </c>
      <c r="D97" s="3087" t="s">
        <v>2700</v>
      </c>
      <c r="E97" s="3113">
        <v>0.1</v>
      </c>
      <c r="F97" s="3113">
        <v>15</v>
      </c>
    </row>
    <row r="98" spans="1:6" ht="24">
      <c r="A98" s="3113">
        <v>26</v>
      </c>
      <c r="B98" s="3818"/>
      <c r="C98" s="3087" t="s">
        <v>2701</v>
      </c>
      <c r="D98" s="3087" t="s">
        <v>2702</v>
      </c>
      <c r="E98" s="3113">
        <v>0.1</v>
      </c>
      <c r="F98" s="3113">
        <v>15</v>
      </c>
    </row>
    <row r="99" spans="1:6" ht="24">
      <c r="A99" s="3113">
        <v>27</v>
      </c>
      <c r="B99" s="3818"/>
      <c r="C99" s="3087" t="s">
        <v>2703</v>
      </c>
      <c r="D99" s="3087" t="s">
        <v>2704</v>
      </c>
      <c r="E99" s="3113">
        <v>0.1</v>
      </c>
      <c r="F99" s="3113">
        <v>15</v>
      </c>
    </row>
    <row r="100" spans="1:6" ht="13.5">
      <c r="A100" s="3113">
        <v>28</v>
      </c>
      <c r="B100" s="3818"/>
      <c r="C100" s="3087" t="s">
        <v>2705</v>
      </c>
      <c r="D100" s="3087" t="s">
        <v>2706</v>
      </c>
      <c r="E100" s="3113">
        <v>0.1</v>
      </c>
      <c r="F100" s="3113">
        <v>15</v>
      </c>
    </row>
    <row r="101" spans="1:6" ht="13.5">
      <c r="A101" s="3113">
        <v>29</v>
      </c>
      <c r="B101" s="3818"/>
      <c r="C101" s="3087" t="s">
        <v>2707</v>
      </c>
      <c r="D101" s="3087" t="s">
        <v>2708</v>
      </c>
      <c r="E101" s="3113">
        <v>0.1</v>
      </c>
      <c r="F101" s="3113">
        <v>15</v>
      </c>
    </row>
    <row r="102" spans="1:6" ht="13.5">
      <c r="A102" s="3113">
        <v>30</v>
      </c>
      <c r="B102" s="3818"/>
      <c r="C102" s="3087" t="s">
        <v>2709</v>
      </c>
      <c r="D102" s="3087" t="s">
        <v>2710</v>
      </c>
      <c r="E102" s="3113">
        <v>0.1</v>
      </c>
      <c r="F102" s="3113">
        <v>15</v>
      </c>
    </row>
    <row r="103" spans="1:6" ht="24">
      <c r="A103" s="3113">
        <v>31</v>
      </c>
      <c r="B103" s="3818"/>
      <c r="C103" s="3087" t="s">
        <v>2711</v>
      </c>
      <c r="D103" s="3087" t="s">
        <v>2712</v>
      </c>
      <c r="E103" s="3113">
        <v>0.1</v>
      </c>
      <c r="F103" s="3113">
        <v>15</v>
      </c>
    </row>
    <row r="104" spans="1:6" ht="24">
      <c r="A104" s="3113">
        <v>32</v>
      </c>
      <c r="B104" s="3818"/>
      <c r="C104" s="3087" t="s">
        <v>2713</v>
      </c>
      <c r="D104" s="3087" t="s">
        <v>2714</v>
      </c>
      <c r="E104" s="3113">
        <v>0.1</v>
      </c>
      <c r="F104" s="3113">
        <v>15</v>
      </c>
    </row>
    <row r="105" spans="1:6" ht="24">
      <c r="A105" s="3113">
        <v>33</v>
      </c>
      <c r="B105" s="3818"/>
      <c r="C105" s="3087" t="s">
        <v>2715</v>
      </c>
      <c r="D105" s="3087" t="s">
        <v>2716</v>
      </c>
      <c r="E105" s="3113">
        <v>0.1</v>
      </c>
      <c r="F105" s="3113">
        <v>15</v>
      </c>
    </row>
    <row r="106" spans="1:6" ht="24">
      <c r="A106" s="3113">
        <v>34</v>
      </c>
      <c r="B106" s="3817"/>
      <c r="C106" s="3087" t="s">
        <v>2717</v>
      </c>
      <c r="D106" s="3087" t="s">
        <v>2718</v>
      </c>
      <c r="E106" s="3113">
        <v>0.1</v>
      </c>
      <c r="F106" s="3113">
        <v>15</v>
      </c>
    </row>
    <row r="107" spans="1:6" ht="24">
      <c r="A107" s="3113">
        <v>35</v>
      </c>
      <c r="B107" s="3816" t="s">
        <v>2719</v>
      </c>
      <c r="C107" s="3113" t="s">
        <v>2720</v>
      </c>
      <c r="D107" s="3087" t="s">
        <v>2721</v>
      </c>
      <c r="E107" s="3113">
        <v>0.15</v>
      </c>
      <c r="F107" s="3113">
        <v>20</v>
      </c>
    </row>
    <row r="108" spans="1:6" ht="13.5">
      <c r="A108" s="3113">
        <v>36</v>
      </c>
      <c r="B108" s="3818"/>
      <c r="C108" s="3113" t="s">
        <v>2722</v>
      </c>
      <c r="D108" s="3087" t="s">
        <v>2723</v>
      </c>
      <c r="E108" s="3113">
        <v>0.15</v>
      </c>
      <c r="F108" s="3113">
        <v>20</v>
      </c>
    </row>
    <row r="109" spans="1:6" ht="13.5">
      <c r="A109" s="3113">
        <v>37</v>
      </c>
      <c r="B109" s="3818"/>
      <c r="C109" s="3113" t="s">
        <v>2724</v>
      </c>
      <c r="D109" s="3087" t="s">
        <v>2725</v>
      </c>
      <c r="E109" s="3113">
        <v>0.15</v>
      </c>
      <c r="F109" s="3113">
        <v>20</v>
      </c>
    </row>
    <row r="110" spans="1:6" ht="13.5">
      <c r="A110" s="3113">
        <v>38</v>
      </c>
      <c r="B110" s="3818"/>
      <c r="C110" s="3113" t="s">
        <v>2726</v>
      </c>
      <c r="D110" s="3087" t="s">
        <v>2727</v>
      </c>
      <c r="E110" s="3113">
        <v>0.1</v>
      </c>
      <c r="F110" s="3113">
        <v>15</v>
      </c>
    </row>
    <row r="111" spans="1:6" ht="24">
      <c r="A111" s="3113">
        <v>39</v>
      </c>
      <c r="B111" s="3818"/>
      <c r="C111" s="3113" t="s">
        <v>2728</v>
      </c>
      <c r="D111" s="3087" t="s">
        <v>2729</v>
      </c>
      <c r="E111" s="3113">
        <v>0.1</v>
      </c>
      <c r="F111" s="3113">
        <v>15</v>
      </c>
    </row>
    <row r="112" spans="1:6" ht="24">
      <c r="A112" s="3113">
        <v>40</v>
      </c>
      <c r="B112" s="3817"/>
      <c r="C112" s="3113" t="s">
        <v>2730</v>
      </c>
      <c r="D112" s="3087" t="s">
        <v>2731</v>
      </c>
      <c r="E112" s="3113">
        <v>0.1</v>
      </c>
      <c r="F112" s="3113">
        <v>15</v>
      </c>
    </row>
    <row r="113" spans="1:6" ht="13.5">
      <c r="A113" s="3113">
        <v>41</v>
      </c>
      <c r="B113" s="3815" t="s">
        <v>2732</v>
      </c>
      <c r="C113" s="3113" t="s">
        <v>2733</v>
      </c>
      <c r="D113" s="3087" t="s">
        <v>2734</v>
      </c>
      <c r="E113" s="3113">
        <v>0.1</v>
      </c>
      <c r="F113" s="3113">
        <v>15</v>
      </c>
    </row>
    <row r="114" spans="1:6" ht="13.5">
      <c r="A114" s="3113">
        <v>42</v>
      </c>
      <c r="B114" s="3815"/>
      <c r="C114" s="3113" t="s">
        <v>2735</v>
      </c>
      <c r="D114" s="3087" t="s">
        <v>2736</v>
      </c>
      <c r="E114" s="3113">
        <v>0.1</v>
      </c>
      <c r="F114" s="3113">
        <v>15</v>
      </c>
    </row>
    <row r="115" spans="1:6" ht="24">
      <c r="A115" s="3113">
        <v>43</v>
      </c>
      <c r="B115" s="3815"/>
      <c r="C115" s="3113" t="s">
        <v>2737</v>
      </c>
      <c r="D115" s="3087" t="s">
        <v>2738</v>
      </c>
      <c r="E115" s="3113">
        <v>0.1</v>
      </c>
      <c r="F115" s="3113">
        <v>15</v>
      </c>
    </row>
    <row r="116" spans="1:6" ht="13.5">
      <c r="A116" s="3113">
        <v>44</v>
      </c>
      <c r="B116" s="3816" t="s">
        <v>2739</v>
      </c>
      <c r="C116" s="3113" t="s">
        <v>2740</v>
      </c>
      <c r="D116" s="3087" t="s">
        <v>2741</v>
      </c>
      <c r="E116" s="3113">
        <v>0.1</v>
      </c>
      <c r="F116" s="3113">
        <v>15</v>
      </c>
    </row>
    <row r="117" spans="1:6" ht="24">
      <c r="A117" s="3113">
        <v>45</v>
      </c>
      <c r="B117" s="3817"/>
      <c r="C117" s="3087" t="s">
        <v>2742</v>
      </c>
      <c r="D117" s="3087" t="s">
        <v>2743</v>
      </c>
      <c r="E117" s="3113">
        <v>0.1</v>
      </c>
      <c r="F117" s="3113">
        <v>15</v>
      </c>
    </row>
    <row r="118" spans="1:6" ht="24">
      <c r="A118" s="3113">
        <v>46</v>
      </c>
      <c r="B118" s="3816" t="s">
        <v>2744</v>
      </c>
      <c r="C118" s="3113" t="s">
        <v>2745</v>
      </c>
      <c r="D118" s="3087" t="s">
        <v>2746</v>
      </c>
      <c r="E118" s="3113">
        <v>0.1</v>
      </c>
      <c r="F118" s="3113">
        <v>15</v>
      </c>
    </row>
    <row r="119" spans="1:6" ht="24">
      <c r="A119" s="3113">
        <v>47</v>
      </c>
      <c r="B119" s="3817"/>
      <c r="C119" s="3113" t="s">
        <v>2747</v>
      </c>
      <c r="D119" s="3087" t="s">
        <v>2748</v>
      </c>
      <c r="E119" s="3113">
        <v>0.1</v>
      </c>
      <c r="F119" s="3113">
        <v>15</v>
      </c>
    </row>
    <row r="120" spans="1:6" ht="13.5">
      <c r="A120" s="3113">
        <v>48</v>
      </c>
      <c r="B120" s="3816" t="s">
        <v>2749</v>
      </c>
      <c r="C120" s="3113" t="s">
        <v>2750</v>
      </c>
      <c r="D120" s="3087" t="s">
        <v>2751</v>
      </c>
      <c r="E120" s="3113">
        <v>0.1</v>
      </c>
      <c r="F120" s="3113">
        <v>15</v>
      </c>
    </row>
    <row r="121" spans="1:6" ht="13.5">
      <c r="A121" s="3113">
        <v>49</v>
      </c>
      <c r="B121" s="3817"/>
      <c r="C121" s="3113" t="s">
        <v>2752</v>
      </c>
      <c r="D121" s="3087" t="s">
        <v>2753</v>
      </c>
      <c r="E121" s="3113">
        <v>0.1</v>
      </c>
      <c r="F121" s="3113">
        <v>15</v>
      </c>
    </row>
    <row r="122" spans="1:6" ht="24">
      <c r="A122" s="3113">
        <v>50</v>
      </c>
      <c r="B122" s="3815" t="s">
        <v>2754</v>
      </c>
      <c r="C122" s="3113" t="s">
        <v>2755</v>
      </c>
      <c r="D122" s="3087" t="s">
        <v>2756</v>
      </c>
      <c r="E122" s="3113">
        <v>0.1</v>
      </c>
      <c r="F122" s="3113">
        <v>15</v>
      </c>
    </row>
    <row r="123" spans="1:6" ht="24">
      <c r="A123" s="3113">
        <v>51</v>
      </c>
      <c r="B123" s="3815"/>
      <c r="C123" s="3113" t="s">
        <v>2757</v>
      </c>
      <c r="D123" s="3087" t="s">
        <v>2758</v>
      </c>
      <c r="E123" s="3113">
        <v>0.1</v>
      </c>
      <c r="F123" s="3113">
        <v>15</v>
      </c>
    </row>
    <row r="124" spans="1:6" ht="24">
      <c r="A124" s="3113">
        <v>52</v>
      </c>
      <c r="B124" s="3815" t="s">
        <v>2759</v>
      </c>
      <c r="C124" s="3113" t="s">
        <v>2760</v>
      </c>
      <c r="D124" s="3087" t="s">
        <v>2761</v>
      </c>
      <c r="E124" s="3113">
        <v>0.1</v>
      </c>
      <c r="F124" s="3113">
        <v>15</v>
      </c>
    </row>
    <row r="125" spans="1:6" ht="24">
      <c r="A125" s="3113">
        <v>53</v>
      </c>
      <c r="B125" s="3815"/>
      <c r="C125" s="3113" t="s">
        <v>2762</v>
      </c>
      <c r="D125" s="3087" t="s">
        <v>2763</v>
      </c>
      <c r="E125" s="3113">
        <v>0.1</v>
      </c>
      <c r="F125" s="3113">
        <v>15</v>
      </c>
    </row>
    <row r="126" spans="1:6" ht="13.5">
      <c r="A126" s="3113">
        <v>54</v>
      </c>
      <c r="B126" s="3113" t="s">
        <v>2764</v>
      </c>
      <c r="C126" s="3113" t="s">
        <v>2765</v>
      </c>
      <c r="D126" s="3087" t="s">
        <v>2766</v>
      </c>
      <c r="E126" s="3113">
        <v>0.1</v>
      </c>
      <c r="F126" s="3113">
        <v>15</v>
      </c>
    </row>
    <row r="127" spans="1:6" ht="13.5">
      <c r="A127" s="3113">
        <v>55</v>
      </c>
      <c r="B127" s="3815" t="s">
        <v>2767</v>
      </c>
      <c r="C127" s="3113" t="s">
        <v>2768</v>
      </c>
      <c r="D127" s="3087" t="s">
        <v>2769</v>
      </c>
      <c r="E127" s="3113">
        <v>0.1</v>
      </c>
      <c r="F127" s="3113">
        <v>15</v>
      </c>
    </row>
    <row r="128" spans="1:6" ht="13.5">
      <c r="A128" s="3113">
        <v>56</v>
      </c>
      <c r="B128" s="3815"/>
      <c r="C128" s="3113" t="s">
        <v>2770</v>
      </c>
      <c r="D128" s="3087" t="s">
        <v>2771</v>
      </c>
      <c r="E128" s="3113">
        <v>0.1</v>
      </c>
      <c r="F128" s="3113">
        <v>15</v>
      </c>
    </row>
    <row r="129" spans="1:6" ht="24">
      <c r="A129" s="3113">
        <v>57</v>
      </c>
      <c r="B129" s="3815"/>
      <c r="C129" s="3113" t="s">
        <v>2772</v>
      </c>
      <c r="D129" s="3087" t="s">
        <v>2773</v>
      </c>
      <c r="E129" s="3113">
        <v>0.1</v>
      </c>
      <c r="F129" s="3113">
        <v>15</v>
      </c>
    </row>
    <row r="130" spans="1:6" ht="24">
      <c r="A130" s="3113">
        <v>58</v>
      </c>
      <c r="B130" s="3815" t="s">
        <v>2774</v>
      </c>
      <c r="C130" s="3113" t="s">
        <v>2775</v>
      </c>
      <c r="D130" s="3087" t="s">
        <v>2776</v>
      </c>
      <c r="E130" s="3113">
        <v>0.1</v>
      </c>
      <c r="F130" s="3113">
        <v>15</v>
      </c>
    </row>
    <row r="131" spans="1:6" ht="13.5">
      <c r="A131" s="3113">
        <v>59</v>
      </c>
      <c r="B131" s="3815"/>
      <c r="C131" s="3113" t="s">
        <v>2777</v>
      </c>
      <c r="D131" s="3087" t="s">
        <v>2778</v>
      </c>
      <c r="E131" s="3113">
        <v>0.1</v>
      </c>
      <c r="F131" s="3113">
        <v>15</v>
      </c>
    </row>
    <row r="132" spans="1:6" ht="13.5">
      <c r="A132" s="3113">
        <v>60</v>
      </c>
      <c r="B132" s="3816" t="s">
        <v>2779</v>
      </c>
      <c r="C132" s="3113" t="s">
        <v>2780</v>
      </c>
      <c r="D132" s="3087" t="s">
        <v>2781</v>
      </c>
      <c r="E132" s="3113">
        <v>0.1</v>
      </c>
      <c r="F132" s="3113">
        <v>15</v>
      </c>
    </row>
    <row r="133" spans="1:6" ht="13.5">
      <c r="A133" s="3113">
        <v>61</v>
      </c>
      <c r="B133" s="3817"/>
      <c r="C133" s="3113" t="s">
        <v>2782</v>
      </c>
      <c r="D133" s="3087" t="s">
        <v>2783</v>
      </c>
      <c r="E133" s="3113">
        <v>0.1</v>
      </c>
      <c r="F133" s="3113">
        <v>15</v>
      </c>
    </row>
    <row r="134" spans="1:6" ht="24">
      <c r="A134" s="3113">
        <v>62</v>
      </c>
      <c r="B134" s="3113" t="s">
        <v>2784</v>
      </c>
      <c r="C134" s="3113" t="s">
        <v>2785</v>
      </c>
      <c r="D134" s="3087" t="s">
        <v>2786</v>
      </c>
      <c r="E134" s="3113">
        <v>0.1</v>
      </c>
      <c r="F134" s="3113">
        <v>15</v>
      </c>
    </row>
    <row r="135" spans="1:6" ht="13.5">
      <c r="A135" s="3113">
        <v>63</v>
      </c>
      <c r="B135" s="3815" t="s">
        <v>2787</v>
      </c>
      <c r="C135" s="3113" t="s">
        <v>2788</v>
      </c>
      <c r="D135" s="3087" t="s">
        <v>2789</v>
      </c>
      <c r="E135" s="3113">
        <v>0.1</v>
      </c>
      <c r="F135" s="3113">
        <v>15</v>
      </c>
    </row>
    <row r="136" spans="1:6" ht="13.5">
      <c r="A136" s="3113">
        <v>64</v>
      </c>
      <c r="B136" s="3815"/>
      <c r="C136" s="3113" t="s">
        <v>2790</v>
      </c>
      <c r="D136" s="3087" t="s">
        <v>2791</v>
      </c>
      <c r="E136" s="3113">
        <v>0.1</v>
      </c>
      <c r="F136" s="3113">
        <v>15</v>
      </c>
    </row>
    <row r="137" spans="1:6" ht="13.5">
      <c r="A137" s="3113">
        <v>65</v>
      </c>
      <c r="B137" s="3113" t="s">
        <v>2792</v>
      </c>
      <c r="C137" s="3113" t="s">
        <v>2793</v>
      </c>
      <c r="D137" s="3087" t="s">
        <v>2794</v>
      </c>
      <c r="E137" s="3113">
        <v>0.1</v>
      </c>
      <c r="F137" s="3113">
        <v>15</v>
      </c>
    </row>
    <row r="138" spans="1:6" ht="13.5">
      <c r="A138" s="3113"/>
      <c r="B138" s="3113"/>
      <c r="C138" s="3113"/>
      <c r="D138" s="3113"/>
      <c r="E138" s="3113" t="s">
        <v>2795</v>
      </c>
      <c r="F138" s="311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2796</v>
      </c>
      <c r="B1" s="3122"/>
      <c r="C1" s="3122"/>
      <c r="D1" s="3122"/>
      <c r="E1" s="3122"/>
      <c r="F1" s="3122"/>
      <c r="G1" s="3122"/>
      <c r="H1" s="3122"/>
      <c r="I1" s="3122"/>
      <c r="J1" s="3122"/>
      <c r="K1" s="3122"/>
      <c r="L1" s="3122"/>
      <c r="M1" s="3122"/>
      <c r="N1" s="749"/>
    </row>
    <row r="2" spans="1:20">
      <c r="A2" s="3123" t="s">
        <v>2797</v>
      </c>
      <c r="B2" s="3124" t="s">
        <v>2593</v>
      </c>
      <c r="C2" s="3124" t="s">
        <v>2594</v>
      </c>
      <c r="D2" s="3124" t="s">
        <v>2595</v>
      </c>
      <c r="E2" s="3124" t="s">
        <v>2596</v>
      </c>
      <c r="F2" s="3124" t="s">
        <v>2597</v>
      </c>
      <c r="G2" s="3124" t="s">
        <v>2598</v>
      </c>
      <c r="H2" s="3125" t="s">
        <v>2599</v>
      </c>
      <c r="I2" s="3125" t="s">
        <v>2600</v>
      </c>
      <c r="J2" s="3126" t="s">
        <v>2601</v>
      </c>
      <c r="K2" s="3126" t="s">
        <v>2602</v>
      </c>
      <c r="L2" s="3126" t="s">
        <v>2603</v>
      </c>
      <c r="M2" s="3127" t="s">
        <v>2604</v>
      </c>
      <c r="Q2" s="3137" t="s">
        <v>2802</v>
      </c>
      <c r="R2" s="3137" t="s">
        <v>2803</v>
      </c>
      <c r="S2" s="3137" t="s">
        <v>2804</v>
      </c>
      <c r="T2" s="3137" t="s">
        <v>2805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2798</v>
      </c>
      <c r="B93" s="3122"/>
      <c r="C93" s="3122"/>
      <c r="D93" s="3122"/>
      <c r="E93" s="3122"/>
      <c r="F93" s="3122"/>
      <c r="G93" s="3122"/>
      <c r="H93" s="3122"/>
      <c r="I93" s="3122"/>
      <c r="J93" s="3122"/>
      <c r="K93" s="3122"/>
      <c r="L93" s="3122"/>
      <c r="M93" s="3122"/>
    </row>
    <row r="94" spans="1:20">
      <c r="A94" s="3123" t="s">
        <v>2797</v>
      </c>
      <c r="B94" s="3124" t="s">
        <v>2593</v>
      </c>
      <c r="C94" s="3124" t="s">
        <v>2594</v>
      </c>
      <c r="D94" s="3124" t="s">
        <v>2595</v>
      </c>
      <c r="E94" s="3124" t="s">
        <v>2596</v>
      </c>
      <c r="F94" s="3124" t="s">
        <v>2597</v>
      </c>
      <c r="G94" s="3124" t="s">
        <v>2598</v>
      </c>
      <c r="H94" s="3125" t="s">
        <v>2599</v>
      </c>
      <c r="I94" s="3125" t="s">
        <v>2600</v>
      </c>
      <c r="J94" s="3126" t="s">
        <v>2601</v>
      </c>
      <c r="K94" s="3126" t="s">
        <v>2602</v>
      </c>
      <c r="L94" s="3126" t="s">
        <v>2603</v>
      </c>
      <c r="M94" s="3127" t="s">
        <v>2604</v>
      </c>
      <c r="N94" s="750">
        <f>SUMPRODUCT((A95:A184=ROUNDDOWN(基准地价修正!G3,1))*(B94:M94=基准地价修正!G2)*(B95:M184))</f>
        <v>1.0082</v>
      </c>
      <c r="Q94" s="3137" t="s">
        <v>2802</v>
      </c>
      <c r="R94" s="3137" t="s">
        <v>2803</v>
      </c>
      <c r="S94" s="3137" t="s">
        <v>2804</v>
      </c>
      <c r="T94" s="3137" t="s">
        <v>2805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2799</v>
      </c>
      <c r="B185" s="3122"/>
      <c r="C185" s="3122"/>
      <c r="D185" s="3122"/>
      <c r="E185" s="3122"/>
      <c r="F185" s="3122"/>
      <c r="G185" s="3122"/>
      <c r="H185" s="3122"/>
      <c r="I185" s="3122"/>
      <c r="J185" s="3122"/>
      <c r="K185" s="3122"/>
      <c r="L185" s="3122"/>
      <c r="M185" s="3122"/>
    </row>
    <row r="186" spans="1:20">
      <c r="A186" s="3123" t="s">
        <v>2797</v>
      </c>
      <c r="B186" s="3124" t="s">
        <v>2593</v>
      </c>
      <c r="C186" s="3124" t="s">
        <v>2594</v>
      </c>
      <c r="D186" s="3124" t="s">
        <v>2595</v>
      </c>
      <c r="E186" s="3124" t="s">
        <v>2596</v>
      </c>
      <c r="F186" s="3124" t="s">
        <v>2597</v>
      </c>
      <c r="G186" s="3124" t="s">
        <v>2598</v>
      </c>
      <c r="H186" s="3125" t="s">
        <v>2599</v>
      </c>
      <c r="I186" s="3125" t="s">
        <v>2600</v>
      </c>
      <c r="J186" s="3126" t="s">
        <v>2601</v>
      </c>
      <c r="K186" s="3126" t="s">
        <v>2602</v>
      </c>
      <c r="L186" s="3126" t="s">
        <v>2603</v>
      </c>
      <c r="M186" s="3127" t="s">
        <v>2604</v>
      </c>
      <c r="Q186" s="3137" t="s">
        <v>2802</v>
      </c>
      <c r="R186" s="3137" t="s">
        <v>2803</v>
      </c>
      <c r="S186" s="3137" t="s">
        <v>2804</v>
      </c>
      <c r="T186" s="3137" t="s">
        <v>2805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2800</v>
      </c>
      <c r="B277" s="3122"/>
      <c r="C277" s="3122"/>
      <c r="D277" s="3122"/>
      <c r="E277" s="3122"/>
      <c r="F277" s="3122"/>
      <c r="G277" s="3122"/>
      <c r="H277" s="3122"/>
      <c r="I277" s="3122"/>
      <c r="J277" s="3122"/>
      <c r="K277" s="3122"/>
      <c r="L277" s="3122"/>
      <c r="M277" s="3122"/>
    </row>
    <row r="278" spans="1:21">
      <c r="A278" s="3123" t="s">
        <v>2797</v>
      </c>
      <c r="B278" s="3124" t="s">
        <v>2593</v>
      </c>
      <c r="C278" s="3124" t="s">
        <v>2594</v>
      </c>
      <c r="D278" s="3124" t="s">
        <v>2595</v>
      </c>
      <c r="E278" s="3124" t="s">
        <v>2596</v>
      </c>
      <c r="F278" s="3124" t="s">
        <v>2597</v>
      </c>
      <c r="G278" s="3124" t="s">
        <v>2598</v>
      </c>
      <c r="H278" s="3125" t="s">
        <v>2599</v>
      </c>
      <c r="I278" s="3125" t="s">
        <v>2600</v>
      </c>
      <c r="J278" s="3126" t="s">
        <v>2601</v>
      </c>
      <c r="K278" s="3126" t="s">
        <v>2602</v>
      </c>
      <c r="L278" s="3126" t="s">
        <v>2603</v>
      </c>
      <c r="M278" s="3127" t="s">
        <v>2604</v>
      </c>
      <c r="Q278" s="3137" t="s">
        <v>2802</v>
      </c>
      <c r="R278" s="3137" t="s">
        <v>2803</v>
      </c>
      <c r="S278" s="3137" t="s">
        <v>2806</v>
      </c>
      <c r="T278" s="3137" t="s">
        <v>2807</v>
      </c>
      <c r="U278" s="3137" t="s">
        <v>2805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2801</v>
      </c>
      <c r="B369" s="3135"/>
      <c r="C369" s="3135"/>
      <c r="D369" s="3135"/>
      <c r="E369" s="3135"/>
      <c r="F369" s="3135"/>
      <c r="G369" s="3135"/>
      <c r="H369" s="3135"/>
      <c r="I369" s="3135"/>
      <c r="J369" s="3135"/>
      <c r="K369" s="3135"/>
      <c r="L369" s="3135"/>
      <c r="M369" s="3135"/>
    </row>
    <row r="370" spans="1:20">
      <c r="A370" s="3123" t="s">
        <v>2797</v>
      </c>
      <c r="B370" s="3124" t="s">
        <v>2593</v>
      </c>
      <c r="C370" s="3124" t="s">
        <v>2594</v>
      </c>
      <c r="D370" s="3124" t="s">
        <v>2595</v>
      </c>
      <c r="E370" s="3124" t="s">
        <v>2596</v>
      </c>
      <c r="F370" s="3124" t="s">
        <v>2597</v>
      </c>
      <c r="G370" s="3124" t="s">
        <v>2598</v>
      </c>
      <c r="H370" s="3125" t="s">
        <v>2599</v>
      </c>
      <c r="I370" s="3125" t="s">
        <v>2600</v>
      </c>
      <c r="J370" s="3126" t="s">
        <v>2601</v>
      </c>
      <c r="K370" s="3126" t="s">
        <v>2602</v>
      </c>
      <c r="L370" s="3126" t="s">
        <v>2603</v>
      </c>
      <c r="M370" s="3127" t="s">
        <v>2604</v>
      </c>
      <c r="N370" s="750">
        <f>SUMPRODUCT((A371:A460=ROUNDDOWN(基准地价修正!G3,1))*(B370:M370=基准地价修正!G2)*(B371:M460))</f>
        <v>0.95489999999999997</v>
      </c>
      <c r="Q370" s="3137" t="s">
        <v>2802</v>
      </c>
      <c r="R370" s="3137" t="s">
        <v>2803</v>
      </c>
      <c r="S370" s="3137" t="s">
        <v>2804</v>
      </c>
      <c r="T370" s="3137" t="s">
        <v>2805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9.5" thickBot="1">
      <c r="A4" s="1492"/>
      <c r="B4" s="3508" t="s">
        <v>917</v>
      </c>
      <c r="C4" s="3508"/>
      <c r="D4" s="3508"/>
      <c r="E4" s="1492"/>
    </row>
    <row r="5" spans="1:5" ht="16.5" thickTop="1">
      <c r="A5" s="1490"/>
      <c r="B5" s="3506" t="s">
        <v>909</v>
      </c>
      <c r="C5" s="1493" t="s">
        <v>910</v>
      </c>
      <c r="D5" s="850" t="e">
        <f ca="1">结果表!H101</f>
        <v>#REF!</v>
      </c>
      <c r="E5" s="1490"/>
    </row>
    <row r="6" spans="1:5" ht="15.75">
      <c r="A6" s="1490"/>
      <c r="B6" s="3506"/>
      <c r="C6" s="1493" t="s">
        <v>911</v>
      </c>
      <c r="D6" s="850" t="e">
        <f ca="1">NUMBERSTRING(INT(D5*10000),2)&amp;"元整"</f>
        <v>#REF!</v>
      </c>
      <c r="E6" s="1490"/>
    </row>
    <row r="7" spans="1:5" ht="15.75">
      <c r="A7" s="1490"/>
      <c r="B7" s="3511"/>
      <c r="C7" s="1494" t="s">
        <v>912</v>
      </c>
      <c r="D7" s="851" t="e">
        <f ca="1">结果表!H102</f>
        <v>#REF!</v>
      </c>
      <c r="E7" s="1490"/>
    </row>
    <row r="8" spans="1:5" ht="15.75">
      <c r="A8" s="1490"/>
      <c r="B8" s="3512" t="str">
        <f>结果表!E103</f>
        <v>2.估价师知悉的法定优先受偿款</v>
      </c>
      <c r="C8" s="1495" t="s">
        <v>913</v>
      </c>
      <c r="D8" s="851">
        <f>结果表!H103</f>
        <v>0</v>
      </c>
      <c r="E8" s="1490"/>
    </row>
    <row r="9" spans="1:5" ht="15.75">
      <c r="A9" s="1490"/>
      <c r="B9" s="351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5" t="str">
        <f>结果表!E107</f>
        <v>3.房地产抵押价值</v>
      </c>
      <c r="C13" s="1498" t="s">
        <v>910</v>
      </c>
      <c r="D13" s="853" t="e">
        <f ca="1">结果表!H107</f>
        <v>#REF!</v>
      </c>
      <c r="E13" s="1490"/>
    </row>
    <row r="14" spans="1:5" ht="15.75">
      <c r="A14" s="1490"/>
      <c r="B14" s="3506"/>
      <c r="C14" s="1493" t="s">
        <v>911</v>
      </c>
      <c r="D14" s="850" t="e">
        <f ca="1">NUMBERSTRING(INT(D13*10000),2)&amp;"元整"</f>
        <v>#REF!</v>
      </c>
      <c r="E14" s="1490"/>
    </row>
    <row r="15" spans="1:5" ht="15">
      <c r="A15" s="1490"/>
      <c r="B15" s="3511"/>
      <c r="C15" s="1494" t="s">
        <v>921</v>
      </c>
      <c r="D15" s="859" t="e">
        <f ca="1">结果表!H108</f>
        <v>#REF!</v>
      </c>
      <c r="E15" s="1490"/>
    </row>
    <row r="16" spans="1:5" ht="15">
      <c r="A16" s="1490"/>
      <c r="B16" s="3512" t="str">
        <f>结果表!E109</f>
        <v>——</v>
      </c>
      <c r="C16" s="1498" t="s">
        <v>922</v>
      </c>
      <c r="D16" s="1499" t="str">
        <f>结果表!H109</f>
        <v>——</v>
      </c>
      <c r="E16" s="1490"/>
    </row>
    <row r="17" spans="1:5" ht="15.75">
      <c r="A17" s="1490"/>
      <c r="B17" s="3513"/>
      <c r="C17" s="1493" t="s">
        <v>923</v>
      </c>
      <c r="D17" s="850" t="e">
        <f>NUMBERSTRING(INT(D16*10000),2)&amp;"元整"</f>
        <v>#VALUE!</v>
      </c>
      <c r="E17" s="1490"/>
    </row>
    <row r="18" spans="1:5" ht="15">
      <c r="A18" s="1490"/>
      <c r="B18" s="3514"/>
      <c r="C18" s="1494" t="s">
        <v>912</v>
      </c>
      <c r="D18" s="859" t="str">
        <f>结果表!H110</f>
        <v>——</v>
      </c>
      <c r="E18" s="1490"/>
    </row>
    <row r="19" spans="1:5" ht="15.75">
      <c r="A19" s="1490"/>
      <c r="B19" s="3505" t="str">
        <f>结果表!E111</f>
        <v>——</v>
      </c>
      <c r="C19" s="1498" t="s">
        <v>910</v>
      </c>
      <c r="D19" s="851" t="str">
        <f>结果表!H111</f>
        <v>——</v>
      </c>
      <c r="E19" s="1490"/>
    </row>
    <row r="20" spans="1:5" ht="15.75">
      <c r="A20" s="1490"/>
      <c r="B20" s="3506"/>
      <c r="C20" s="1493" t="s">
        <v>923</v>
      </c>
      <c r="D20" s="850" t="e">
        <f>NUMBERSTRING(INT(D19*10000),2)&amp;"元整"</f>
        <v>#VALUE!</v>
      </c>
      <c r="E20" s="1490"/>
    </row>
    <row r="21" spans="1:5" ht="15.75" thickBot="1">
      <c r="A21" s="1490"/>
      <c r="B21" s="350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30186</v>
      </c>
      <c r="C2" s="2" t="s">
        <v>106</v>
      </c>
      <c r="D2" s="199"/>
      <c r="E2" s="199"/>
      <c r="F2" s="199"/>
      <c r="G2" s="199"/>
    </row>
    <row r="3" spans="1:7" s="200" customFormat="1" ht="18" customHeight="1" thickBot="1">
      <c r="A3" s="203" t="s">
        <v>58</v>
      </c>
      <c r="B3" s="204">
        <f ca="1">ROUND(B2*10000/'数据-汇总表'!E3,0)</f>
        <v>4368452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69.099999999999994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69.099999999999994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69.099999999999994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7" t="s">
        <v>94</v>
      </c>
    </row>
    <row r="43" spans="1:7" ht="13.5" customHeight="1">
      <c r="A43" s="780" t="s">
        <v>347</v>
      </c>
      <c r="B43" s="215" t="s">
        <v>426</v>
      </c>
      <c r="C43" s="238">
        <f ca="1">ROUND(IF('数据-取费表'!B22&lt;=1,C39*F22*'数据-取费表'!B21/2,C39*(POWER((1+F22),'数据-取费表'!B21/2)-1)),0)</f>
        <v>0</v>
      </c>
      <c r="D43" s="238"/>
      <c r="E43" s="238"/>
      <c r="F43" s="239"/>
      <c r="G43" s="3688"/>
    </row>
    <row r="44" spans="1:7" ht="13.5" customHeight="1">
      <c r="A44" s="780" t="s">
        <v>348</v>
      </c>
      <c r="B44" s="215" t="s">
        <v>428</v>
      </c>
      <c r="C44" s="238">
        <f ca="1">ROUND(IF('数据-取费表'!B22&lt;=1,C40*F22*'数据-取费表'!B21/2,C40*(POWER((1+F22),'数据-取费表'!B21/2)-1)),4)</f>
        <v>6.9999999999999999E-4</v>
      </c>
      <c r="D44" s="238"/>
      <c r="E44" s="238"/>
      <c r="F44" s="239"/>
      <c r="G44" s="3689"/>
    </row>
    <row r="45" spans="1:7" s="214" customFormat="1" ht="13.5" customHeight="1">
      <c r="A45" s="777" t="s">
        <v>341</v>
      </c>
      <c r="B45" s="244" t="s">
        <v>85</v>
      </c>
      <c r="C45" s="245">
        <f>C46</f>
        <v>6</v>
      </c>
      <c r="D45" s="235">
        <f>C47</f>
        <v>5.0000000000000001E-3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30186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9" t="s">
        <v>2839</v>
      </c>
      <c r="B1" s="3829"/>
      <c r="C1" s="3829"/>
      <c r="D1" s="3829"/>
      <c r="E1" s="3829"/>
      <c r="F1" s="3829"/>
      <c r="G1" s="383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827" t="s">
        <v>2866</v>
      </c>
      <c r="B3" s="3225"/>
      <c r="C3" s="3226" t="s">
        <v>2809</v>
      </c>
      <c r="D3" s="3226" t="s">
        <v>2867</v>
      </c>
      <c r="E3" s="3226" t="s">
        <v>2811</v>
      </c>
      <c r="F3" s="3226" t="s">
        <v>2868</v>
      </c>
      <c r="G3" s="3226" t="s">
        <v>2629</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828"/>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1" t="s">
        <v>3181</v>
      </c>
      <c r="B1" s="3831"/>
    </row>
    <row r="2" spans="1:7" ht="14.25" thickBot="1">
      <c r="A2" s="3250"/>
      <c r="B2" s="3250"/>
    </row>
    <row r="3" spans="1:7" ht="14.25" thickBot="1">
      <c r="A3" s="3250"/>
      <c r="B3" s="3250"/>
      <c r="C3" s="3251" t="s">
        <v>2809</v>
      </c>
      <c r="D3" s="3251" t="s">
        <v>2867</v>
      </c>
      <c r="E3" s="3251" t="s">
        <v>2811</v>
      </c>
      <c r="F3" s="3251" t="s">
        <v>2868</v>
      </c>
      <c r="G3" s="3251" t="s">
        <v>2629</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2" t="s">
        <v>3232</v>
      </c>
      <c r="B1" s="3832"/>
      <c r="C1" s="3832"/>
      <c r="D1" s="3832"/>
      <c r="E1" s="3832"/>
      <c r="F1" s="3833"/>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45250</v>
      </c>
      <c r="B1" s="3205" t="s">
        <v>2838</v>
      </c>
      <c r="C1" s="3206"/>
      <c r="D1" s="3206"/>
      <c r="E1" s="3206"/>
      <c r="F1" s="3206"/>
      <c r="G1" s="3206"/>
      <c r="H1" s="3206"/>
      <c r="I1" s="3206"/>
      <c r="J1" s="3160"/>
      <c r="K1" s="3206" t="s">
        <v>454</v>
      </c>
      <c r="L1" s="3206"/>
      <c r="M1" s="3206"/>
      <c r="N1" s="3206"/>
      <c r="O1" s="3206"/>
      <c r="P1" s="3206"/>
      <c r="Q1" s="3160"/>
      <c r="R1" s="3834" t="s">
        <v>456</v>
      </c>
      <c r="S1" s="3835"/>
      <c r="T1" s="3835"/>
      <c r="U1" s="3835"/>
      <c r="V1" s="3835"/>
      <c r="W1" s="3835"/>
      <c r="X1" s="3160"/>
      <c r="Y1" s="3834" t="s">
        <v>457</v>
      </c>
      <c r="Z1" s="3835"/>
      <c r="AA1" s="3835"/>
      <c r="AB1" s="3835"/>
      <c r="AC1" s="3835"/>
      <c r="AD1" s="3835"/>
    </row>
    <row r="2" spans="1:30" s="3138" customFormat="1" ht="14.25" thickBot="1">
      <c r="B2" s="3139"/>
      <c r="C2" s="3140"/>
      <c r="D2" s="3141" t="s">
        <v>2808</v>
      </c>
      <c r="E2" s="3142" t="s">
        <v>2809</v>
      </c>
      <c r="F2" s="3142" t="s">
        <v>2810</v>
      </c>
      <c r="G2" s="3142" t="s">
        <v>2811</v>
      </c>
      <c r="H2" s="3142" t="s">
        <v>2812</v>
      </c>
      <c r="I2" s="3142" t="s">
        <v>2629</v>
      </c>
      <c r="J2" s="3143"/>
      <c r="K2" s="3141" t="s">
        <v>2808</v>
      </c>
      <c r="L2" s="3142" t="s">
        <v>2809</v>
      </c>
      <c r="M2" s="3142" t="s">
        <v>2810</v>
      </c>
      <c r="N2" s="3142" t="s">
        <v>2811</v>
      </c>
      <c r="O2" s="3142" t="s">
        <v>2813</v>
      </c>
      <c r="P2" s="3142" t="s">
        <v>2629</v>
      </c>
      <c r="Q2" s="3143"/>
      <c r="R2" s="3141" t="s">
        <v>2808</v>
      </c>
      <c r="S2" s="3142" t="s">
        <v>2809</v>
      </c>
      <c r="T2" s="3142" t="s">
        <v>2810</v>
      </c>
      <c r="U2" s="3142" t="s">
        <v>2814</v>
      </c>
      <c r="V2" s="3142" t="s">
        <v>2815</v>
      </c>
      <c r="W2" s="3142" t="s">
        <v>2629</v>
      </c>
      <c r="X2" s="3143"/>
      <c r="Y2" s="3141" t="s">
        <v>2808</v>
      </c>
      <c r="Z2" s="3142" t="s">
        <v>2809</v>
      </c>
      <c r="AA2" s="3142" t="s">
        <v>2810</v>
      </c>
      <c r="AB2" s="3142" t="s">
        <v>2816</v>
      </c>
      <c r="AC2" s="3142" t="s">
        <v>2815</v>
      </c>
      <c r="AD2" s="3142" t="s">
        <v>2629</v>
      </c>
    </row>
    <row r="3" spans="1:30" s="3156" customFormat="1" ht="12.75">
      <c r="A3" s="3144" t="s">
        <v>2817</v>
      </c>
      <c r="B3" s="3145"/>
      <c r="C3" s="3146"/>
      <c r="D3" s="3146">
        <f>ROUND(AVERAGEIF(D4:D16,"&lt;&gt;0"),2)</f>
        <v>0.82</v>
      </c>
      <c r="E3" s="3146">
        <f>ROUND(AVERAGEIF(E4:E16,"&lt;&gt;0"),2)</f>
        <v>0.38</v>
      </c>
      <c r="F3" s="3146">
        <f>ROUND(AVERAGEIF(F4:F16,"&lt;&gt;0"),2)</f>
        <v>0.2</v>
      </c>
      <c r="G3" s="3146">
        <f>ROUND(AVERAGEIF(G4:G16,"&lt;&gt;0"),2)</f>
        <v>0.89</v>
      </c>
      <c r="H3" s="3146">
        <f>ROUND(AVERAGEIF(H4:H16,"&lt;&gt;0"),2)</f>
        <v>0.64</v>
      </c>
      <c r="I3" s="3146">
        <f>F3</f>
        <v>0.2</v>
      </c>
      <c r="J3" s="3147"/>
      <c r="K3" s="3148">
        <f>ROUND(AVERAGEIF(K4:K16,"&lt;&gt;0"),4)</f>
        <v>8.2000000000000007E-3</v>
      </c>
      <c r="L3" s="3149">
        <f>ROUND(AVERAGEIF(L4:L16,"&lt;&gt;0"),4)</f>
        <v>3.8E-3</v>
      </c>
      <c r="M3" s="3149">
        <f>ROUND(AVERAGEIF(M4:M16,"&lt;&gt;0"),4)</f>
        <v>2E-3</v>
      </c>
      <c r="N3" s="3149">
        <f>ROUND(AVERAGEIF(N4:N16,"&lt;&gt;0"),4)</f>
        <v>8.8999999999999999E-3</v>
      </c>
      <c r="O3" s="3149">
        <f>ROUND(AVERAGEIF(O4:O16,"&lt;&gt;0"),4)</f>
        <v>6.4000000000000003E-3</v>
      </c>
      <c r="P3" s="3149">
        <f>M3</f>
        <v>2E-3</v>
      </c>
      <c r="Q3" s="3147"/>
      <c r="R3" s="3150">
        <f>ROUND(SUMPRODUCT(PRODUCT(1+K4:K16)),4)</f>
        <v>1.0763</v>
      </c>
      <c r="S3" s="3151">
        <f>ROUND(SUMPRODUCT(PRODUCT(1+L4:L16)),4)</f>
        <v>1.0343</v>
      </c>
      <c r="T3" s="3151">
        <f>ROUND(SUMPRODUCT(PRODUCT(1+M4:M16)),4)</f>
        <v>1.0177</v>
      </c>
      <c r="U3" s="3151">
        <f>ROUND(SUMPRODUCT(PRODUCT(1+N4:N16)),4)</f>
        <v>1.0833999999999999</v>
      </c>
      <c r="V3" s="3151">
        <f>ROUND(SUMPRODUCT(PRODUCT(1+O4:O16)),4)</f>
        <v>1.0592999999999999</v>
      </c>
      <c r="W3" s="3150">
        <f>T3</f>
        <v>1.0177</v>
      </c>
      <c r="X3" s="3147"/>
      <c r="Y3" s="3152">
        <f>ROUND(AVERAGEIF(Y5:Y16,"&lt;&gt;0"),4)</f>
        <v>8.6999999999999994E-3</v>
      </c>
      <c r="Z3" s="3153">
        <f>ROUND(AVERAGEIF(Z5:Z16,"&lt;&gt;0"),4)</f>
        <v>3.5000000000000001E-3</v>
      </c>
      <c r="AA3" s="3154">
        <f>ROUND(AVERAGEIF(AA5:AA16,"&lt;&gt;0"),4)</f>
        <v>8.9999999999999998E-4</v>
      </c>
      <c r="AB3" s="3152">
        <f>ROUND(AVERAGEIF(AB5:AB16,"&lt;&gt;0"),4)</f>
        <v>9.4999999999999998E-3</v>
      </c>
      <c r="AC3" s="3155">
        <f>ROUND(AVERAGEIF(AC5:AC16,"&lt;&gt;0"),4)</f>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0">F5</f>
        <v>0</v>
      </c>
      <c r="J5" s="3176"/>
      <c r="K5" s="3177">
        <f t="shared" ref="K5:O16" si="1">D5/100</f>
        <v>0</v>
      </c>
      <c r="L5" s="3167">
        <f t="shared" si="1"/>
        <v>0</v>
      </c>
      <c r="M5" s="3167">
        <f t="shared" si="1"/>
        <v>0</v>
      </c>
      <c r="N5" s="3167">
        <f t="shared" si="1"/>
        <v>0</v>
      </c>
      <c r="O5" s="3167">
        <f t="shared" si="1"/>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IF(E5=0,0,ROUND(AVERAGE(E5:E16)/100,4))</f>
        <v>0</v>
      </c>
      <c r="AA5" s="3179">
        <f>IF(F5=0,0,ROUND(AVERAGE(F5:F16)/100,4))</f>
        <v>0</v>
      </c>
      <c r="AB5" s="3179">
        <f>IF(G5=0,0,ROUND(AVERAGE(G5:G16)/100,4))</f>
        <v>0</v>
      </c>
      <c r="AC5" s="3179">
        <f>IF(H5=0,0,ROUND(AVERAGE(H5:H16)/100,4))</f>
        <v>0</v>
      </c>
      <c r="AD5" s="3179">
        <f t="shared" ref="AD5:AD15" si="2">AA5</f>
        <v>0</v>
      </c>
    </row>
    <row r="6" spans="1:30" s="3180" customFormat="1" ht="12.75">
      <c r="A6" s="3171" t="s">
        <v>3370</v>
      </c>
      <c r="B6" s="3172">
        <v>2023</v>
      </c>
      <c r="C6" s="3173">
        <v>3</v>
      </c>
      <c r="D6" s="3174">
        <v>0</v>
      </c>
      <c r="E6" s="3174">
        <v>0</v>
      </c>
      <c r="F6" s="3174">
        <v>0</v>
      </c>
      <c r="G6" s="3174">
        <v>0</v>
      </c>
      <c r="H6" s="3174">
        <v>0</v>
      </c>
      <c r="I6" s="3175">
        <f t="shared" si="0"/>
        <v>0</v>
      </c>
      <c r="J6" s="3176"/>
      <c r="K6" s="3177">
        <f t="shared" ref="K6:O8" si="3">D6/100</f>
        <v>0</v>
      </c>
      <c r="L6" s="3167">
        <f t="shared" si="3"/>
        <v>0</v>
      </c>
      <c r="M6" s="3167">
        <f t="shared" si="3"/>
        <v>0</v>
      </c>
      <c r="N6" s="3167">
        <f t="shared" si="3"/>
        <v>0</v>
      </c>
      <c r="O6" s="3167">
        <f t="shared" si="3"/>
        <v>0</v>
      </c>
      <c r="P6" s="3167">
        <f>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T6</f>
        <v>1.0203</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0"/>
        <v>0</v>
      </c>
      <c r="J7" s="3176"/>
      <c r="K7" s="3177">
        <f t="shared" si="3"/>
        <v>0</v>
      </c>
      <c r="L7" s="3167">
        <f t="shared" si="3"/>
        <v>0</v>
      </c>
      <c r="M7" s="3167">
        <f t="shared" si="3"/>
        <v>0</v>
      </c>
      <c r="N7" s="3167">
        <f t="shared" si="3"/>
        <v>0</v>
      </c>
      <c r="O7" s="3167">
        <f t="shared" si="3"/>
        <v>0</v>
      </c>
      <c r="P7" s="3167">
        <f>M7</f>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T7</f>
        <v>1.0203</v>
      </c>
      <c r="X7" s="3176"/>
      <c r="Y7" s="3179"/>
      <c r="Z7" s="3179"/>
      <c r="AA7" s="3179"/>
      <c r="AB7" s="3179"/>
      <c r="AC7" s="3179"/>
      <c r="AD7" s="3179"/>
    </row>
    <row r="8" spans="1:30" s="3190" customFormat="1" ht="12.75">
      <c r="A8" s="3181" t="s">
        <v>3371</v>
      </c>
      <c r="B8" s="3182">
        <v>2023</v>
      </c>
      <c r="C8" s="3183">
        <v>1</v>
      </c>
      <c r="D8" s="3184">
        <v>0.89</v>
      </c>
      <c r="E8" s="3184">
        <v>0.74</v>
      </c>
      <c r="F8" s="3184">
        <v>0.56999999999999995</v>
      </c>
      <c r="G8" s="3184">
        <v>0.92</v>
      </c>
      <c r="H8" s="3185">
        <v>0.5</v>
      </c>
      <c r="I8" s="3186">
        <f t="shared" si="0"/>
        <v>0.56999999999999995</v>
      </c>
      <c r="J8" s="3187"/>
      <c r="K8" s="3188">
        <f t="shared" si="3"/>
        <v>8.8999999999999999E-3</v>
      </c>
      <c r="L8" s="3189">
        <f t="shared" si="3"/>
        <v>7.4000000000000003E-3</v>
      </c>
      <c r="M8" s="3189">
        <f t="shared" si="3"/>
        <v>5.6999999999999993E-3</v>
      </c>
      <c r="N8" s="3189">
        <f t="shared" si="3"/>
        <v>9.1999999999999998E-3</v>
      </c>
      <c r="O8" s="3189">
        <f t="shared" si="3"/>
        <v>5.0000000000000001E-3</v>
      </c>
      <c r="P8" s="3189">
        <f>M8</f>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T8</f>
        <v>1.0203</v>
      </c>
      <c r="X8" s="3187"/>
      <c r="Y8" s="3189"/>
      <c r="Z8" s="3189"/>
      <c r="AA8" s="3189"/>
      <c r="AB8" s="3189"/>
      <c r="AC8" s="3189"/>
      <c r="AD8" s="3189"/>
    </row>
    <row r="9" spans="1:30" s="3180" customFormat="1" ht="12.75">
      <c r="A9" s="3171" t="s">
        <v>3372</v>
      </c>
      <c r="B9" s="3172">
        <v>2022</v>
      </c>
      <c r="C9" s="3173">
        <v>4</v>
      </c>
      <c r="D9" s="3174">
        <v>0.62</v>
      </c>
      <c r="E9" s="3174">
        <v>0.2</v>
      </c>
      <c r="F9" s="3174">
        <v>0.11</v>
      </c>
      <c r="G9" s="3174">
        <v>0.69</v>
      </c>
      <c r="H9" s="3191">
        <v>0.53</v>
      </c>
      <c r="I9" s="3175">
        <f t="shared" si="0"/>
        <v>0.11</v>
      </c>
      <c r="J9" s="3176"/>
      <c r="K9" s="3177">
        <f t="shared" si="1"/>
        <v>6.1999999999999998E-3</v>
      </c>
      <c r="L9" s="3167">
        <f t="shared" si="1"/>
        <v>2E-3</v>
      </c>
      <c r="M9" s="3167">
        <f t="shared" si="1"/>
        <v>1.1000000000000001E-3</v>
      </c>
      <c r="N9" s="3167">
        <f t="shared" si="1"/>
        <v>6.8999999999999999E-3</v>
      </c>
      <c r="O9" s="3167">
        <f t="shared" si="1"/>
        <v>5.3E-3</v>
      </c>
      <c r="P9" s="3167">
        <f t="shared" ref="P9:P16" si="4">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5">T9</f>
        <v>1.0145</v>
      </c>
      <c r="X9" s="3176"/>
      <c r="Y9" s="3179">
        <f>IF(D9=0,0,ROUND(AVERAGE(D9:D17)/100,4))</f>
        <v>8.0999999999999996E-3</v>
      </c>
      <c r="Z9" s="3179">
        <f>IF(E9=0,0,ROUND(AVERAGE(E9:E16)/100,4))</f>
        <v>3.3E-3</v>
      </c>
      <c r="AA9" s="3179">
        <f>IF(F9=0,0,ROUND(AVERAGE(F9:F16)/100,4))</f>
        <v>1.5E-3</v>
      </c>
      <c r="AB9" s="3179">
        <f>IF(G9=0,0,ROUND(AVERAGE(G9:G16)/100,4))</f>
        <v>8.8999999999999999E-3</v>
      </c>
      <c r="AC9" s="3179">
        <f>IF(H9=0,0,ROUND(AVERAGE(H9:H16)/100,4))</f>
        <v>6.6E-3</v>
      </c>
      <c r="AD9" s="3179">
        <f t="shared" si="2"/>
        <v>1.5E-3</v>
      </c>
    </row>
    <row r="10" spans="1:30" s="3180" customFormat="1" ht="12.75">
      <c r="A10" s="3171" t="s">
        <v>3364</v>
      </c>
      <c r="B10" s="3172">
        <v>2022</v>
      </c>
      <c r="C10" s="3173">
        <v>3</v>
      </c>
      <c r="D10" s="3174">
        <v>0.66</v>
      </c>
      <c r="E10" s="3174">
        <v>0.32</v>
      </c>
      <c r="F10" s="3174">
        <v>0.23</v>
      </c>
      <c r="G10" s="3174">
        <v>0.72</v>
      </c>
      <c r="H10" s="3191">
        <v>0.63</v>
      </c>
      <c r="I10" s="3175">
        <f t="shared" si="0"/>
        <v>0.23</v>
      </c>
      <c r="J10" s="3176"/>
      <c r="K10" s="3177">
        <f t="shared" si="1"/>
        <v>6.6E-3</v>
      </c>
      <c r="L10" s="3167">
        <f t="shared" si="1"/>
        <v>3.2000000000000002E-3</v>
      </c>
      <c r="M10" s="3167">
        <f t="shared" si="1"/>
        <v>2.3E-3</v>
      </c>
      <c r="N10" s="3167">
        <f t="shared" si="1"/>
        <v>7.1999999999999998E-3</v>
      </c>
      <c r="O10" s="3167">
        <f t="shared" si="1"/>
        <v>6.3E-3</v>
      </c>
      <c r="P10" s="3167">
        <f t="shared" si="4"/>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5"/>
        <v>1.0134000000000001</v>
      </c>
      <c r="X10" s="3176"/>
      <c r="Y10" s="3179">
        <f>IF(D10=0,0,ROUND(AVERAGE(D10:D16)/100,4))</f>
        <v>8.3999999999999995E-3</v>
      </c>
      <c r="Z10" s="3179">
        <f>IF(E10=0,0,ROUND(AVERAGE(E10:E16)/100,4))</f>
        <v>3.5000000000000001E-3</v>
      </c>
      <c r="AA10" s="3179">
        <f>IF(F10=0,0,ROUND(AVERAGE(F10:F16)/100,4))</f>
        <v>1.5E-3</v>
      </c>
      <c r="AB10" s="3179">
        <f>IF(G10=0,0,ROUND(AVERAGE(G10:G16)/100,4))</f>
        <v>9.1999999999999998E-3</v>
      </c>
      <c r="AC10" s="3179">
        <f>IF(H10=0,0,ROUND(AVERAGE(H10:H16)/100,4))</f>
        <v>6.7999999999999996E-3</v>
      </c>
      <c r="AD10" s="3179">
        <f t="shared" si="2"/>
        <v>1.5E-3</v>
      </c>
    </row>
    <row r="11" spans="1:30" s="3180" customFormat="1" ht="12.75">
      <c r="A11" s="3171" t="s">
        <v>3355</v>
      </c>
      <c r="B11" s="3172">
        <v>2022</v>
      </c>
      <c r="C11" s="3173">
        <v>2</v>
      </c>
      <c r="D11" s="3174">
        <v>0.93</v>
      </c>
      <c r="E11" s="3174">
        <v>0.15</v>
      </c>
      <c r="F11" s="3174">
        <v>0.01</v>
      </c>
      <c r="G11" s="3174">
        <v>1.05</v>
      </c>
      <c r="H11" s="3191">
        <v>1.08</v>
      </c>
      <c r="I11" s="3175">
        <f t="shared" si="0"/>
        <v>0.01</v>
      </c>
      <c r="J11" s="3176"/>
      <c r="K11" s="3177">
        <f t="shared" si="1"/>
        <v>9.300000000000001E-3</v>
      </c>
      <c r="L11" s="3167">
        <f t="shared" si="1"/>
        <v>1.5E-3</v>
      </c>
      <c r="M11" s="3167">
        <f t="shared" si="1"/>
        <v>1E-4</v>
      </c>
      <c r="N11" s="3167">
        <f t="shared" si="1"/>
        <v>1.0500000000000001E-2</v>
      </c>
      <c r="O11" s="3167">
        <f t="shared" si="1"/>
        <v>1.0800000000000001E-2</v>
      </c>
      <c r="P11" s="3167">
        <f t="shared" si="4"/>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5"/>
        <v>1.0109999999999999</v>
      </c>
      <c r="X11" s="3176"/>
      <c r="Y11" s="3179">
        <f>IF(D11=0,0,ROUND(AVERAGE(D11:D16)/100,4))</f>
        <v>8.6999999999999994E-3</v>
      </c>
      <c r="Z11" s="3179">
        <f>IF(E11=0,0,ROUND(AVERAGE(E11:E16)/100,4))</f>
        <v>3.5000000000000001E-3</v>
      </c>
      <c r="AA11" s="3179">
        <f>IF(F11=0,0,ROUND(AVERAGE(F11:F16)/100,4))</f>
        <v>1.4E-3</v>
      </c>
      <c r="AB11" s="3179">
        <f>IF(G11=0,0,ROUND(AVERAGE(G11:G16)/100,4))</f>
        <v>9.4999999999999998E-3</v>
      </c>
      <c r="AC11" s="3179">
        <f>IF(H11=0,0,ROUND(AVERAGE(H11:H16)/100,4))</f>
        <v>6.8999999999999999E-3</v>
      </c>
      <c r="AD11" s="3179">
        <f t="shared" si="2"/>
        <v>1.4E-3</v>
      </c>
    </row>
    <row r="12" spans="1:30" s="3180" customFormat="1" ht="12.75">
      <c r="A12" s="3171" t="s">
        <v>2818</v>
      </c>
      <c r="B12" s="3172">
        <v>2022</v>
      </c>
      <c r="C12" s="3173">
        <v>1</v>
      </c>
      <c r="D12" s="3174">
        <v>0.89</v>
      </c>
      <c r="E12" s="3174">
        <v>0.44</v>
      </c>
      <c r="F12" s="3174">
        <v>0.37</v>
      </c>
      <c r="G12" s="3174">
        <v>0.96</v>
      </c>
      <c r="H12" s="3191">
        <v>0.64</v>
      </c>
      <c r="I12" s="3175">
        <f t="shared" si="0"/>
        <v>0.37</v>
      </c>
      <c r="J12" s="3176"/>
      <c r="K12" s="3177">
        <f t="shared" si="1"/>
        <v>8.8999999999999999E-3</v>
      </c>
      <c r="L12" s="3167">
        <f t="shared" si="1"/>
        <v>4.4000000000000003E-3</v>
      </c>
      <c r="M12" s="3167">
        <f t="shared" si="1"/>
        <v>3.7000000000000002E-3</v>
      </c>
      <c r="N12" s="3167">
        <f t="shared" si="1"/>
        <v>9.5999999999999992E-3</v>
      </c>
      <c r="O12" s="3167">
        <f t="shared" si="1"/>
        <v>6.4000000000000003E-3</v>
      </c>
      <c r="P12" s="3167">
        <f t="shared" si="4"/>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5"/>
        <v>1.0108999999999999</v>
      </c>
      <c r="X12" s="3176"/>
      <c r="Y12" s="3179">
        <f>IF(D12=0,0,ROUND(AVERAGE(D12:D16)/100,4))</f>
        <v>8.6E-3</v>
      </c>
      <c r="Z12" s="3179">
        <f>IF(E12=0,0,ROUND(AVERAGE(E12:E16)/100,4))</f>
        <v>3.8999999999999998E-3</v>
      </c>
      <c r="AA12" s="3179">
        <f>IF(F12=0,0,ROUND(AVERAGE(F12:F16)/100,4))</f>
        <v>1.6999999999999999E-3</v>
      </c>
      <c r="AB12" s="3179">
        <f>IF(G12=0,0,ROUND(AVERAGE(G12:G16)/100,4))</f>
        <v>9.2999999999999992E-3</v>
      </c>
      <c r="AC12" s="3179">
        <f>IF(H12=0,0,ROUND(AVERAGE(H12:H16)/100,4))</f>
        <v>6.1000000000000004E-3</v>
      </c>
      <c r="AD12" s="3179">
        <f t="shared" si="2"/>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0"/>
        <v>7.0000000000000007E-2</v>
      </c>
      <c r="J13" s="3176"/>
      <c r="K13" s="3177">
        <f t="shared" si="1"/>
        <v>1.03E-2</v>
      </c>
      <c r="L13" s="3167">
        <f t="shared" si="1"/>
        <v>2.3999999999999998E-3</v>
      </c>
      <c r="M13" s="3167">
        <f t="shared" si="1"/>
        <v>7.000000000000001E-4</v>
      </c>
      <c r="N13" s="3167">
        <f t="shared" si="1"/>
        <v>1.1699999999999999E-2</v>
      </c>
      <c r="O13" s="3167">
        <f t="shared" si="1"/>
        <v>5.5000000000000005E-3</v>
      </c>
      <c r="P13" s="3167">
        <f t="shared" si="4"/>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5"/>
        <v>1.0072000000000001</v>
      </c>
      <c r="X13" s="3176"/>
      <c r="Y13" s="3179">
        <f>IF(D13=0,0,ROUND(AVERAGE(D13:D16)/100,4))</f>
        <v>8.5000000000000006E-3</v>
      </c>
      <c r="Z13" s="3179">
        <f>IF(E13=0,0,ROUND(AVERAGE(E13:E16)/100,4))</f>
        <v>3.8E-3</v>
      </c>
      <c r="AA13" s="3179">
        <f>IF(F13=0,0,ROUND(AVERAGE(F13:F16)/100,4))</f>
        <v>1.1999999999999999E-3</v>
      </c>
      <c r="AB13" s="3179">
        <f>IF(G13=0,0,ROUND(AVERAGE(G13:G16)/100,4))</f>
        <v>9.2999999999999992E-3</v>
      </c>
      <c r="AC13" s="3179">
        <f>IF(H13=0,0,ROUND(AVERAGE(H13:H16)/100,4))</f>
        <v>6.0000000000000001E-3</v>
      </c>
      <c r="AD13" s="3179">
        <f t="shared" si="2"/>
        <v>1.1999999999999999E-3</v>
      </c>
    </row>
    <row r="14" spans="1:30" s="3180" customFormat="1" ht="12.75">
      <c r="A14" s="3171" t="s">
        <v>2820</v>
      </c>
      <c r="B14" s="3172">
        <v>2021</v>
      </c>
      <c r="C14" s="3173">
        <v>3</v>
      </c>
      <c r="D14" s="3174">
        <v>0.47</v>
      </c>
      <c r="E14" s="3174">
        <v>0.41</v>
      </c>
      <c r="F14" s="3174">
        <v>0.24</v>
      </c>
      <c r="G14" s="3174">
        <v>0.48</v>
      </c>
      <c r="H14" s="3191">
        <v>0.48</v>
      </c>
      <c r="I14" s="3175">
        <f t="shared" si="0"/>
        <v>0.24</v>
      </c>
      <c r="J14" s="3176"/>
      <c r="K14" s="3177">
        <f t="shared" si="1"/>
        <v>4.6999999999999993E-3</v>
      </c>
      <c r="L14" s="3167">
        <f t="shared" si="1"/>
        <v>4.0999999999999995E-3</v>
      </c>
      <c r="M14" s="3167">
        <f t="shared" si="1"/>
        <v>2.3999999999999998E-3</v>
      </c>
      <c r="N14" s="3167">
        <f t="shared" si="1"/>
        <v>4.7999999999999996E-3</v>
      </c>
      <c r="O14" s="3167">
        <f t="shared" si="1"/>
        <v>4.7999999999999996E-3</v>
      </c>
      <c r="P14" s="3167">
        <f t="shared" si="4"/>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5"/>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2"/>
        <v>1.2999999999999999E-3</v>
      </c>
    </row>
    <row r="15" spans="1:30" s="3180" customFormat="1" ht="12.75">
      <c r="A15" s="3171" t="s">
        <v>2821</v>
      </c>
      <c r="B15" s="3172">
        <v>2021</v>
      </c>
      <c r="C15" s="3173">
        <v>2</v>
      </c>
      <c r="D15" s="3174">
        <v>0.92</v>
      </c>
      <c r="E15" s="3174">
        <v>0.72</v>
      </c>
      <c r="F15" s="3174">
        <v>0.41</v>
      </c>
      <c r="G15" s="3174">
        <v>0.95</v>
      </c>
      <c r="H15" s="3191">
        <v>1.01</v>
      </c>
      <c r="I15" s="3175">
        <f t="shared" si="0"/>
        <v>0.41</v>
      </c>
      <c r="J15" s="3176"/>
      <c r="K15" s="3177">
        <f t="shared" si="1"/>
        <v>9.1999999999999998E-3</v>
      </c>
      <c r="L15" s="3167">
        <f t="shared" si="1"/>
        <v>7.1999999999999998E-3</v>
      </c>
      <c r="M15" s="3167">
        <f t="shared" si="1"/>
        <v>4.0999999999999995E-3</v>
      </c>
      <c r="N15" s="3167">
        <f t="shared" si="1"/>
        <v>9.4999999999999998E-3</v>
      </c>
      <c r="O15" s="3167">
        <f t="shared" si="1"/>
        <v>1.01E-2</v>
      </c>
      <c r="P15" s="3167">
        <f t="shared" si="4"/>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5"/>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2"/>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0"/>
        <v>-0.25</v>
      </c>
      <c r="J16" s="3198"/>
      <c r="K16" s="3199">
        <f t="shared" si="1"/>
        <v>9.7000000000000003E-3</v>
      </c>
      <c r="L16" s="3200">
        <f t="shared" si="1"/>
        <v>1.6000000000000001E-3</v>
      </c>
      <c r="M16" s="3200">
        <f>F16/100</f>
        <v>-2.5000000000000001E-3</v>
      </c>
      <c r="N16" s="3200">
        <f t="shared" si="1"/>
        <v>1.11E-2</v>
      </c>
      <c r="O16" s="3200">
        <f t="shared" si="1"/>
        <v>3.5999999999999999E-3</v>
      </c>
      <c r="P16" s="3200">
        <f t="shared" si="4"/>
        <v>-2.5000000000000001E-3</v>
      </c>
      <c r="Q16" s="3198"/>
      <c r="R16" s="3201">
        <v>1</v>
      </c>
      <c r="S16" s="3201">
        <v>1</v>
      </c>
      <c r="T16" s="3201">
        <v>1</v>
      </c>
      <c r="U16" s="3201">
        <v>1</v>
      </c>
      <c r="V16" s="3201">
        <v>1</v>
      </c>
      <c r="W16" s="3201">
        <f t="shared" si="5"/>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34" t="s">
        <v>2826</v>
      </c>
      <c r="S21" s="3835"/>
      <c r="T21" s="3835"/>
      <c r="U21" s="3835"/>
      <c r="V21" s="3835"/>
      <c r="W21" s="3835"/>
      <c r="X21" s="3160"/>
      <c r="Y21" s="3834" t="s">
        <v>2827</v>
      </c>
      <c r="Z21" s="3835"/>
      <c r="AA21" s="3835"/>
      <c r="AB21" s="3835"/>
      <c r="AC21" s="3835"/>
      <c r="AD21" s="3835"/>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ROUND(AVERAGEIF(E24:E36,"&lt;&gt;0"),2)</f>
        <v>0.42</v>
      </c>
      <c r="F23" s="3146">
        <f>ROUND(AVERAGEIF(F24:F36,"&lt;&gt;0"),2)</f>
        <v>0.3</v>
      </c>
      <c r="G23" s="3146">
        <f>ROUND(AVERAGEIF(G24:G36,"&lt;&gt;0"),2)</f>
        <v>0.73</v>
      </c>
      <c r="H23" s="3146"/>
      <c r="I23" s="3146">
        <f>F23</f>
        <v>0.3</v>
      </c>
      <c r="J23" s="3147"/>
      <c r="K23" s="3148"/>
      <c r="L23" s="3149">
        <f>ROUND(AVERAGEIF(L24:L36,"&lt;&gt;0"),4)</f>
        <v>4.1999999999999997E-3</v>
      </c>
      <c r="M23" s="3149">
        <f>ROUND(AVERAGEIF(M24:M36,"&lt;&gt;0"),4)</f>
        <v>3.0000000000000001E-3</v>
      </c>
      <c r="N23" s="3149">
        <f>ROUND(AVERAGEIF(N24:N36,"&lt;&gt;0"),4)</f>
        <v>7.3000000000000001E-3</v>
      </c>
      <c r="O23" s="3149"/>
      <c r="P23" s="3149">
        <f>M23</f>
        <v>3.0000000000000001E-3</v>
      </c>
      <c r="Q23" s="3147"/>
      <c r="R23" s="3150"/>
      <c r="S23" s="3151">
        <f>ROUND(SUMPRODUCT(PRODUCT(1+L24:L36)),4)</f>
        <v>1.038</v>
      </c>
      <c r="T23" s="3151">
        <f>ROUND(SUMPRODUCT(PRODUCT(1+M24:M36)),4)</f>
        <v>1.0273000000000001</v>
      </c>
      <c r="U23" s="3151">
        <f>ROUND(SUMPRODUCT(PRODUCT(1+N24:N36)),4)</f>
        <v>1.0677000000000001</v>
      </c>
      <c r="V23" s="3151"/>
      <c r="W23" s="3150">
        <f>T23</f>
        <v>1.0273000000000001</v>
      </c>
      <c r="X23" s="3147"/>
      <c r="Y23" s="3152"/>
      <c r="Z23" s="3153">
        <f>ROUND(AVERAGEIF(Z24:Z36,"&lt;&gt;0"),4)</f>
        <v>4.3E-3</v>
      </c>
      <c r="AA23" s="3154">
        <f>ROUND(AVERAGEIF(AA24:AA36,"&lt;&gt;0"),4)</f>
        <v>3.5999999999999999E-3</v>
      </c>
      <c r="AB23" s="3152">
        <f>ROUND(AVERAGEIF(AB24:AB36,"&lt;&gt;0"),4)</f>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6">F25</f>
        <v>0</v>
      </c>
      <c r="J25" s="3176"/>
      <c r="K25" s="3177"/>
      <c r="L25" s="3167">
        <f t="shared" ref="L25:N36" si="7">E25/100</f>
        <v>0</v>
      </c>
      <c r="M25" s="3167">
        <f t="shared" si="7"/>
        <v>0</v>
      </c>
      <c r="N25" s="3167">
        <f t="shared" si="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6"/>
        <v>0</v>
      </c>
      <c r="J26" s="3176"/>
      <c r="K26" s="3177"/>
      <c r="L26" s="3167">
        <f t="shared" ref="L26:N28" si="8">E26/100</f>
        <v>0</v>
      </c>
      <c r="M26" s="3167">
        <f t="shared" si="8"/>
        <v>0</v>
      </c>
      <c r="N26" s="3167">
        <f t="shared" si="8"/>
        <v>0</v>
      </c>
      <c r="O26" s="3167"/>
      <c r="P26" s="3167">
        <f>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T26</f>
        <v>1.0224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6"/>
        <v>0</v>
      </c>
      <c r="J27" s="3176"/>
      <c r="K27" s="3177"/>
      <c r="L27" s="3167">
        <f t="shared" si="8"/>
        <v>0</v>
      </c>
      <c r="M27" s="3167">
        <f t="shared" si="8"/>
        <v>0</v>
      </c>
      <c r="N27" s="3167">
        <f t="shared" si="8"/>
        <v>0</v>
      </c>
      <c r="O27" s="3167"/>
      <c r="P27" s="3167">
        <f>M27</f>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T27</f>
        <v>1.0224</v>
      </c>
      <c r="X27" s="3176"/>
      <c r="Y27" s="3179"/>
      <c r="Z27" s="3207"/>
      <c r="AA27" s="3444"/>
      <c r="AB27" s="3444"/>
      <c r="AC27" s="3208"/>
      <c r="AD27" s="3179"/>
    </row>
    <row r="28" spans="1:30" s="3190" customFormat="1" ht="12.75">
      <c r="A28" s="3181" t="s">
        <v>3371</v>
      </c>
      <c r="B28" s="3182">
        <v>2023</v>
      </c>
      <c r="C28" s="3183">
        <v>1</v>
      </c>
      <c r="D28" s="3184"/>
      <c r="E28" s="3184">
        <v>0.55000000000000004</v>
      </c>
      <c r="F28" s="3184">
        <v>0.59</v>
      </c>
      <c r="G28" s="3184">
        <v>0.64</v>
      </c>
      <c r="H28" s="3185"/>
      <c r="I28" s="3186">
        <f t="shared" si="6"/>
        <v>0.59</v>
      </c>
      <c r="J28" s="3187"/>
      <c r="K28" s="3188"/>
      <c r="L28" s="3189">
        <f t="shared" si="8"/>
        <v>5.5000000000000005E-3</v>
      </c>
      <c r="M28" s="3189">
        <f t="shared" si="8"/>
        <v>5.8999999999999999E-3</v>
      </c>
      <c r="N28" s="3189">
        <f t="shared" si="8"/>
        <v>6.4000000000000003E-3</v>
      </c>
      <c r="O28" s="3189"/>
      <c r="P28" s="3189">
        <f>M28</f>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T28</f>
        <v>1.0224</v>
      </c>
      <c r="X28" s="3187"/>
      <c r="Y28" s="3189"/>
      <c r="Z28" s="3210"/>
      <c r="AA28" s="3211"/>
      <c r="AB28" s="3189"/>
      <c r="AC28" s="3212"/>
      <c r="AD28" s="3189"/>
    </row>
    <row r="29" spans="1:30" s="3180" customFormat="1" ht="12.75">
      <c r="A29" s="3171" t="s">
        <v>3372</v>
      </c>
      <c r="B29" s="3172">
        <v>2022</v>
      </c>
      <c r="C29" s="3173">
        <v>4</v>
      </c>
      <c r="D29" s="3174"/>
      <c r="E29" s="3174">
        <v>0.45</v>
      </c>
      <c r="F29" s="3174">
        <v>0.2</v>
      </c>
      <c r="G29" s="3174">
        <v>0.38</v>
      </c>
      <c r="H29" s="3191"/>
      <c r="I29" s="3175">
        <f t="shared" si="6"/>
        <v>0.2</v>
      </c>
      <c r="J29" s="3176"/>
      <c r="K29" s="3177"/>
      <c r="L29" s="3167">
        <f t="shared" si="7"/>
        <v>4.5000000000000005E-3</v>
      </c>
      <c r="M29" s="3167">
        <f t="shared" si="7"/>
        <v>2E-3</v>
      </c>
      <c r="N29" s="3167">
        <f t="shared" si="7"/>
        <v>3.8E-3</v>
      </c>
      <c r="O29" s="3167"/>
      <c r="P29" s="3167">
        <f t="shared" ref="P29:P36" si="9">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10">T29</f>
        <v>1.0164</v>
      </c>
      <c r="X29" s="3176"/>
      <c r="Y29" s="3179"/>
      <c r="Z29" s="3207">
        <f t="shared" ref="Z29:AD36" si="11">IF(E29=0,0,ROUND(AVERAGE(E29:E37)/100,4))</f>
        <v>4.0000000000000001E-3</v>
      </c>
      <c r="AA29" s="3209">
        <f t="shared" si="11"/>
        <v>2.5999999999999999E-3</v>
      </c>
      <c r="AB29" s="3179">
        <f t="shared" si="11"/>
        <v>7.4000000000000003E-3</v>
      </c>
      <c r="AC29" s="3208"/>
      <c r="AD29" s="3179">
        <f t="shared" si="11"/>
        <v>2.5999999999999999E-3</v>
      </c>
    </row>
    <row r="30" spans="1:30" s="3180" customFormat="1" ht="12.75">
      <c r="A30" s="3171" t="s">
        <v>3365</v>
      </c>
      <c r="B30" s="3172">
        <v>2022</v>
      </c>
      <c r="C30" s="3173">
        <v>3</v>
      </c>
      <c r="D30" s="3174"/>
      <c r="E30" s="3174">
        <v>0.3</v>
      </c>
      <c r="F30" s="3174">
        <v>0.28999999999999998</v>
      </c>
      <c r="G30" s="3174">
        <v>0.83</v>
      </c>
      <c r="H30" s="3191"/>
      <c r="I30" s="3175">
        <f t="shared" si="6"/>
        <v>0.28999999999999998</v>
      </c>
      <c r="J30" s="3176"/>
      <c r="K30" s="3177"/>
      <c r="L30" s="3167">
        <f t="shared" si="7"/>
        <v>3.0000000000000001E-3</v>
      </c>
      <c r="M30" s="3167">
        <f t="shared" si="7"/>
        <v>2.8999999999999998E-3</v>
      </c>
      <c r="N30" s="3167">
        <f t="shared" si="7"/>
        <v>8.3000000000000001E-3</v>
      </c>
      <c r="O30" s="3167"/>
      <c r="P30" s="3167">
        <f t="shared" si="9"/>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10"/>
        <v>1.0144</v>
      </c>
      <c r="X30" s="3176"/>
      <c r="Y30" s="3179"/>
      <c r="Z30" s="3207">
        <f t="shared" si="11"/>
        <v>3.8999999999999998E-3</v>
      </c>
      <c r="AA30" s="3209">
        <f t="shared" si="11"/>
        <v>2.7000000000000001E-3</v>
      </c>
      <c r="AB30" s="3179">
        <f t="shared" si="11"/>
        <v>7.9000000000000008E-3</v>
      </c>
      <c r="AC30" s="3208"/>
      <c r="AD30" s="3179">
        <f t="shared" si="11"/>
        <v>2.7000000000000001E-3</v>
      </c>
    </row>
    <row r="31" spans="1:30" s="3180" customFormat="1" ht="12.75">
      <c r="A31" s="3171" t="s">
        <v>3355</v>
      </c>
      <c r="B31" s="3172">
        <v>2022</v>
      </c>
      <c r="C31" s="3173">
        <v>2</v>
      </c>
      <c r="D31" s="3174"/>
      <c r="E31" s="3174">
        <v>-0.11</v>
      </c>
      <c r="F31" s="3174">
        <v>-0.13</v>
      </c>
      <c r="G31" s="3174">
        <v>0.53</v>
      </c>
      <c r="H31" s="3191"/>
      <c r="I31" s="3175">
        <f t="shared" si="6"/>
        <v>-0.13</v>
      </c>
      <c r="J31" s="3176"/>
      <c r="K31" s="3177"/>
      <c r="L31" s="3167">
        <f t="shared" si="7"/>
        <v>-1.1000000000000001E-3</v>
      </c>
      <c r="M31" s="3167">
        <f t="shared" si="7"/>
        <v>-1.2999999999999999E-3</v>
      </c>
      <c r="N31" s="3167">
        <f t="shared" si="7"/>
        <v>5.3E-3</v>
      </c>
      <c r="O31" s="3167"/>
      <c r="P31" s="3167">
        <f t="shared" si="9"/>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10"/>
        <v>1.0114000000000001</v>
      </c>
      <c r="X31" s="3176"/>
      <c r="Y31" s="3179"/>
      <c r="Z31" s="3207">
        <f t="shared" si="11"/>
        <v>4.1000000000000003E-3</v>
      </c>
      <c r="AA31" s="3209">
        <f t="shared" si="11"/>
        <v>2.7000000000000001E-3</v>
      </c>
      <c r="AB31" s="3179">
        <f t="shared" si="11"/>
        <v>7.9000000000000008E-3</v>
      </c>
      <c r="AC31" s="3208"/>
      <c r="AD31" s="3179">
        <f t="shared" si="11"/>
        <v>2.7000000000000001E-3</v>
      </c>
    </row>
    <row r="32" spans="1:30" s="3180" customFormat="1" ht="12.75">
      <c r="A32" s="3171" t="s">
        <v>2834</v>
      </c>
      <c r="B32" s="3172">
        <v>2022</v>
      </c>
      <c r="C32" s="3173">
        <v>1</v>
      </c>
      <c r="D32" s="3174"/>
      <c r="E32" s="3174">
        <v>0.6</v>
      </c>
      <c r="F32" s="3174">
        <v>0.45</v>
      </c>
      <c r="G32" s="3174">
        <v>0.53</v>
      </c>
      <c r="H32" s="3191"/>
      <c r="I32" s="3175">
        <f t="shared" si="6"/>
        <v>0.45</v>
      </c>
      <c r="J32" s="3176"/>
      <c r="K32" s="3177"/>
      <c r="L32" s="3167">
        <f t="shared" si="7"/>
        <v>6.0000000000000001E-3</v>
      </c>
      <c r="M32" s="3167">
        <f t="shared" si="7"/>
        <v>4.5000000000000005E-3</v>
      </c>
      <c r="N32" s="3167">
        <f t="shared" si="7"/>
        <v>5.3E-3</v>
      </c>
      <c r="O32" s="3167"/>
      <c r="P32" s="3167">
        <f t="shared" si="9"/>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10"/>
        <v>1.0127999999999999</v>
      </c>
      <c r="X32" s="3176"/>
      <c r="Y32" s="3179"/>
      <c r="Z32" s="3207">
        <f t="shared" si="11"/>
        <v>5.1000000000000004E-3</v>
      </c>
      <c r="AA32" s="3209">
        <f t="shared" si="11"/>
        <v>3.5000000000000001E-3</v>
      </c>
      <c r="AB32" s="3179">
        <f t="shared" si="11"/>
        <v>8.3999999999999995E-3</v>
      </c>
      <c r="AC32" s="3208"/>
      <c r="AD32" s="3179">
        <f t="shared" si="11"/>
        <v>3.5000000000000001E-3</v>
      </c>
    </row>
    <row r="33" spans="1:30" s="3180" customFormat="1" ht="12.75">
      <c r="A33" s="3171" t="s">
        <v>2835</v>
      </c>
      <c r="B33" s="3172">
        <v>2021</v>
      </c>
      <c r="C33" s="3173">
        <v>4</v>
      </c>
      <c r="D33" s="3174"/>
      <c r="E33" s="3174">
        <v>0.57999999999999996</v>
      </c>
      <c r="F33" s="3174">
        <v>0.08</v>
      </c>
      <c r="G33" s="3174">
        <v>0.68</v>
      </c>
      <c r="H33" s="3191"/>
      <c r="I33" s="3175">
        <f t="shared" si="6"/>
        <v>0.08</v>
      </c>
      <c r="J33" s="3176"/>
      <c r="K33" s="3177"/>
      <c r="L33" s="3167">
        <f t="shared" si="7"/>
        <v>5.7999999999999996E-3</v>
      </c>
      <c r="M33" s="3167">
        <f t="shared" si="7"/>
        <v>8.0000000000000004E-4</v>
      </c>
      <c r="N33" s="3167">
        <f t="shared" si="7"/>
        <v>6.8000000000000005E-3</v>
      </c>
      <c r="O33" s="3167"/>
      <c r="P33" s="3167">
        <f t="shared" si="9"/>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10"/>
        <v>1.0082</v>
      </c>
      <c r="X33" s="3176"/>
      <c r="Y33" s="3179"/>
      <c r="Z33" s="3207">
        <f t="shared" si="11"/>
        <v>4.8999999999999998E-3</v>
      </c>
      <c r="AA33" s="3209">
        <f t="shared" si="11"/>
        <v>3.3E-3</v>
      </c>
      <c r="AB33" s="3179">
        <f t="shared" si="11"/>
        <v>9.1999999999999998E-3</v>
      </c>
      <c r="AC33" s="3208"/>
      <c r="AD33" s="3179">
        <f t="shared" si="11"/>
        <v>3.3E-3</v>
      </c>
    </row>
    <row r="34" spans="1:30" s="3180" customFormat="1" ht="12.75">
      <c r="A34" s="3171" t="s">
        <v>2836</v>
      </c>
      <c r="B34" s="3172">
        <v>2021</v>
      </c>
      <c r="C34" s="3173">
        <v>3</v>
      </c>
      <c r="D34" s="3174"/>
      <c r="E34" s="3174">
        <v>0.47</v>
      </c>
      <c r="F34" s="3174">
        <v>0.28000000000000003</v>
      </c>
      <c r="G34" s="3174">
        <v>0.91</v>
      </c>
      <c r="H34" s="3191"/>
      <c r="I34" s="3175">
        <f t="shared" si="6"/>
        <v>0.28000000000000003</v>
      </c>
      <c r="J34" s="3176"/>
      <c r="K34" s="3177"/>
      <c r="L34" s="3167">
        <f t="shared" si="7"/>
        <v>4.6999999999999993E-3</v>
      </c>
      <c r="M34" s="3167">
        <f t="shared" si="7"/>
        <v>2.8000000000000004E-3</v>
      </c>
      <c r="N34" s="3167">
        <f t="shared" si="7"/>
        <v>9.1000000000000004E-3</v>
      </c>
      <c r="O34" s="3167"/>
      <c r="P34" s="3167">
        <f t="shared" si="9"/>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10"/>
        <v>1.0074000000000001</v>
      </c>
      <c r="X34" s="3176"/>
      <c r="Y34" s="3179"/>
      <c r="Z34" s="3207">
        <f t="shared" si="11"/>
        <v>4.5999999999999999E-3</v>
      </c>
      <c r="AA34" s="3209">
        <f t="shared" si="11"/>
        <v>4.1000000000000003E-3</v>
      </c>
      <c r="AB34" s="3179">
        <f t="shared" si="11"/>
        <v>0.01</v>
      </c>
      <c r="AC34" s="3208"/>
      <c r="AD34" s="3179">
        <f t="shared" si="11"/>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6"/>
        <v>0.46</v>
      </c>
      <c r="J35" s="3176"/>
      <c r="K35" s="3177"/>
      <c r="L35" s="3167">
        <f t="shared" si="7"/>
        <v>5.5000000000000005E-3</v>
      </c>
      <c r="M35" s="3167">
        <f t="shared" si="7"/>
        <v>4.5999999999999999E-3</v>
      </c>
      <c r="N35" s="3167">
        <f t="shared" si="7"/>
        <v>1.1000000000000001E-2</v>
      </c>
      <c r="O35" s="3167"/>
      <c r="P35" s="3167">
        <f t="shared" si="9"/>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10"/>
        <v>1.0045999999999999</v>
      </c>
      <c r="X35" s="3176"/>
      <c r="Y35" s="3179"/>
      <c r="Z35" s="3207">
        <f t="shared" si="11"/>
        <v>4.4999999999999997E-3</v>
      </c>
      <c r="AA35" s="3209">
        <f t="shared" si="11"/>
        <v>4.7000000000000002E-3</v>
      </c>
      <c r="AB35" s="3179">
        <f t="shared" si="11"/>
        <v>1.04E-2</v>
      </c>
      <c r="AC35" s="3208"/>
      <c r="AD35" s="3179">
        <f t="shared" si="11"/>
        <v>4.7000000000000002E-3</v>
      </c>
    </row>
    <row r="36" spans="1:30" s="3202" customFormat="1" thickBot="1">
      <c r="A36" s="3192" t="s">
        <v>2822</v>
      </c>
      <c r="B36" s="3193">
        <v>2021</v>
      </c>
      <c r="C36" s="3194">
        <v>1</v>
      </c>
      <c r="D36" s="3195"/>
      <c r="E36" s="3195">
        <v>0.35</v>
      </c>
      <c r="F36" s="3195">
        <v>0.48</v>
      </c>
      <c r="G36" s="3195">
        <v>0.98</v>
      </c>
      <c r="H36" s="3196"/>
      <c r="I36" s="3197">
        <f t="shared" si="6"/>
        <v>0.48</v>
      </c>
      <c r="J36" s="3198"/>
      <c r="K36" s="3199"/>
      <c r="L36" s="3200">
        <f t="shared" si="7"/>
        <v>3.4999999999999996E-3</v>
      </c>
      <c r="M36" s="3200">
        <f>F36/100</f>
        <v>4.7999999999999996E-3</v>
      </c>
      <c r="N36" s="3200">
        <f t="shared" si="7"/>
        <v>9.7999999999999997E-3</v>
      </c>
      <c r="O36" s="3200"/>
      <c r="P36" s="3200">
        <f t="shared" si="9"/>
        <v>4.7999999999999996E-3</v>
      </c>
      <c r="Q36" s="3198"/>
      <c r="R36" s="3201"/>
      <c r="S36" s="3201">
        <v>1</v>
      </c>
      <c r="T36" s="3201">
        <v>1</v>
      </c>
      <c r="U36" s="3201">
        <v>1</v>
      </c>
      <c r="V36" s="3201"/>
      <c r="W36" s="3201">
        <f t="shared" si="10"/>
        <v>1</v>
      </c>
      <c r="X36" s="3198"/>
      <c r="Y36" s="3200"/>
      <c r="Z36" s="3213">
        <f t="shared" si="11"/>
        <v>3.5000000000000001E-3</v>
      </c>
      <c r="AA36" s="3214">
        <f t="shared" si="11"/>
        <v>4.7999999999999996E-3</v>
      </c>
      <c r="AB36" s="3200">
        <f t="shared" si="11"/>
        <v>9.7999999999999997E-3</v>
      </c>
      <c r="AC36" s="3215"/>
      <c r="AD36" s="3200">
        <f t="shared" si="11"/>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1" t="s">
        <v>452</v>
      </c>
      <c r="C1" s="3841"/>
      <c r="D1" s="3841"/>
      <c r="E1" s="3841"/>
      <c r="F1" s="3841"/>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3363</v>
      </c>
      <c r="B5" s="2202">
        <f t="shared" ref="B5:B24" si="0">B6*(1+N5)</f>
        <v>510.07089659554606</v>
      </c>
      <c r="C5" s="2202">
        <f t="shared" ref="C5:C24" si="1">C6*(1+O5)</f>
        <v>352.55593185737411</v>
      </c>
      <c r="D5" s="2202">
        <f t="shared" ref="D5:D29" si="2">C5</f>
        <v>352.55593185737411</v>
      </c>
      <c r="E5" s="2202">
        <f t="shared" ref="E5:E24" si="3">E6*(1+P5)</f>
        <v>737.27992463403655</v>
      </c>
      <c r="F5" s="2202">
        <f t="shared" ref="F5:F24" si="4">F6*(1+Q5)</f>
        <v>335.88319198297864</v>
      </c>
      <c r="G5" s="3431">
        <v>2022</v>
      </c>
      <c r="H5" s="2203">
        <v>1</v>
      </c>
      <c r="I5" s="2165">
        <v>0</v>
      </c>
      <c r="J5" s="2165">
        <v>0</v>
      </c>
      <c r="K5" s="2165">
        <v>0</v>
      </c>
      <c r="L5" s="2166">
        <v>0</v>
      </c>
      <c r="M5" s="2188"/>
      <c r="N5" s="2204">
        <f t="shared" ref="N5:N16" si="5">I5/100</f>
        <v>0</v>
      </c>
      <c r="O5" s="2189">
        <f t="shared" ref="O5:O16" si="6">J5/100</f>
        <v>0</v>
      </c>
      <c r="P5" s="2189">
        <f t="shared" ref="P5:P16" si="7">K5/100</f>
        <v>0</v>
      </c>
      <c r="Q5" s="2189">
        <f t="shared" ref="Q5:Q16" si="8">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Z39" si="9">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AF40" si="10">AE5</f>
        <v>9.7000000000000003E-3</v>
      </c>
      <c r="AG5" s="2207">
        <f>ROUND(AVERAGE(K5:K$40)/100,4)</f>
        <v>1.66E-2</v>
      </c>
      <c r="AH5" s="2207">
        <f>ROUND(AVERAGE(L5:L$40)/100,4)</f>
        <v>1.0999999999999999E-2</v>
      </c>
    </row>
    <row r="6" spans="1:34" s="2195" customFormat="1">
      <c r="A6" s="2190" t="s">
        <v>3360</v>
      </c>
      <c r="B6" s="2191">
        <f t="shared" si="0"/>
        <v>510.07089659554606</v>
      </c>
      <c r="C6" s="2191">
        <f t="shared" si="1"/>
        <v>352.55593185737411</v>
      </c>
      <c r="D6" s="2191">
        <f t="shared" si="2"/>
        <v>352.55593185737411</v>
      </c>
      <c r="E6" s="2191">
        <f t="shared" si="3"/>
        <v>737.27992463403655</v>
      </c>
      <c r="F6" s="2191">
        <f t="shared" si="4"/>
        <v>335.88319198297864</v>
      </c>
      <c r="G6" s="3431">
        <v>2022</v>
      </c>
      <c r="H6" s="2193">
        <v>1</v>
      </c>
      <c r="I6" s="2194">
        <v>0</v>
      </c>
      <c r="J6" s="2194">
        <v>0</v>
      </c>
      <c r="K6" s="2194">
        <v>0</v>
      </c>
      <c r="L6" s="2194">
        <v>0</v>
      </c>
      <c r="N6" s="2196">
        <f t="shared" si="5"/>
        <v>0</v>
      </c>
      <c r="O6" s="2196">
        <f t="shared" si="6"/>
        <v>0</v>
      </c>
      <c r="P6" s="2196">
        <f t="shared" si="7"/>
        <v>0</v>
      </c>
      <c r="Q6" s="2196">
        <f t="shared" si="8"/>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si="9"/>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si="10"/>
        <v>0.01</v>
      </c>
      <c r="AG6" s="2200">
        <f>ROUND(AVERAGE(K6:K$40)/100,4)</f>
        <v>1.7100000000000001E-2</v>
      </c>
      <c r="AH6" s="2200">
        <f>ROUND(AVERAGE(L6:L$40)/100,4)</f>
        <v>1.1299999999999999E-2</v>
      </c>
    </row>
    <row r="7" spans="1:34" s="2208" customFormat="1">
      <c r="A7" s="2201" t="s">
        <v>3361</v>
      </c>
      <c r="B7" s="2202">
        <f t="shared" si="0"/>
        <v>510.07089659554606</v>
      </c>
      <c r="C7" s="2202">
        <f t="shared" si="1"/>
        <v>352.55593185737411</v>
      </c>
      <c r="D7" s="2202">
        <f t="shared" si="2"/>
        <v>352.55593185737411</v>
      </c>
      <c r="E7" s="2202">
        <f t="shared" si="3"/>
        <v>737.27992463403655</v>
      </c>
      <c r="F7" s="2202">
        <f t="shared" si="4"/>
        <v>335.88319198297864</v>
      </c>
      <c r="G7" s="3431">
        <v>2022</v>
      </c>
      <c r="H7" s="2203">
        <v>1</v>
      </c>
      <c r="I7" s="2165">
        <v>0</v>
      </c>
      <c r="J7" s="2165">
        <v>0</v>
      </c>
      <c r="K7" s="2165">
        <v>0</v>
      </c>
      <c r="L7" s="2166">
        <v>0</v>
      </c>
      <c r="M7" s="2188"/>
      <c r="N7" s="2204">
        <f t="shared" si="5"/>
        <v>0</v>
      </c>
      <c r="O7" s="2189">
        <f t="shared" si="6"/>
        <v>0</v>
      </c>
      <c r="P7" s="2189">
        <f t="shared" si="7"/>
        <v>0</v>
      </c>
      <c r="Q7" s="2189">
        <f t="shared" si="8"/>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si="9"/>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si="10"/>
        <v>1.03E-2</v>
      </c>
      <c r="AG7" s="2207">
        <f>ROUND(AVERAGE(K7:K$40)/100,4)</f>
        <v>1.7600000000000001E-2</v>
      </c>
      <c r="AH7" s="2207">
        <f>ROUND(AVERAGE(L7:L$40)/100,4)</f>
        <v>1.1599999999999999E-2</v>
      </c>
    </row>
    <row r="8" spans="1:34" s="2208" customFormat="1">
      <c r="A8" s="2201" t="s">
        <v>3362</v>
      </c>
      <c r="B8" s="2202">
        <f t="shared" si="0"/>
        <v>510.07089659554606</v>
      </c>
      <c r="C8" s="2202">
        <f t="shared" si="1"/>
        <v>352.55593185737411</v>
      </c>
      <c r="D8" s="2202">
        <f t="shared" si="2"/>
        <v>352.55593185737411</v>
      </c>
      <c r="E8" s="2202">
        <f t="shared" si="3"/>
        <v>737.27992463403655</v>
      </c>
      <c r="F8" s="2202">
        <f t="shared" si="4"/>
        <v>335.88319198297864</v>
      </c>
      <c r="G8" s="3431">
        <v>2022</v>
      </c>
      <c r="H8" s="2203">
        <v>1</v>
      </c>
      <c r="I8" s="2165"/>
      <c r="J8" s="2165"/>
      <c r="K8" s="2165">
        <v>0</v>
      </c>
      <c r="L8" s="2166">
        <v>0</v>
      </c>
      <c r="M8" s="2188"/>
      <c r="N8" s="2204">
        <f t="shared" si="5"/>
        <v>0</v>
      </c>
      <c r="O8" s="2189">
        <f t="shared" si="6"/>
        <v>0</v>
      </c>
      <c r="P8" s="2189">
        <f t="shared" si="7"/>
        <v>0</v>
      </c>
      <c r="Q8" s="2189">
        <f t="shared" si="8"/>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si="9"/>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si="10"/>
        <v>1.06E-2</v>
      </c>
      <c r="AG8" s="2207">
        <f>ROUND(AVERAGE(K8:K$40)/100,4)</f>
        <v>1.8100000000000002E-2</v>
      </c>
      <c r="AH8" s="2207">
        <f>ROUND(AVERAGE(L8:L$40)/100,4)</f>
        <v>1.2E-2</v>
      </c>
    </row>
    <row r="9" spans="1:34" s="2208" customFormat="1">
      <c r="A9" s="2201" t="s">
        <v>2434</v>
      </c>
      <c r="B9" s="2202">
        <f t="shared" si="0"/>
        <v>510.07089659554606</v>
      </c>
      <c r="C9" s="2202">
        <f t="shared" si="1"/>
        <v>352.55593185737411</v>
      </c>
      <c r="D9" s="2202">
        <f t="shared" si="2"/>
        <v>352.55593185737411</v>
      </c>
      <c r="E9" s="2202">
        <f t="shared" si="3"/>
        <v>737.27992463403655</v>
      </c>
      <c r="F9" s="2202">
        <f t="shared" si="4"/>
        <v>335.88319198297864</v>
      </c>
      <c r="G9" s="3000">
        <v>2021</v>
      </c>
      <c r="H9" s="2203">
        <v>4</v>
      </c>
      <c r="I9" s="2165">
        <v>1.03</v>
      </c>
      <c r="J9" s="2165">
        <v>0.24</v>
      </c>
      <c r="K9" s="2165">
        <v>1.17</v>
      </c>
      <c r="L9" s="2166">
        <v>0.55000000000000004</v>
      </c>
      <c r="M9" s="2188"/>
      <c r="N9" s="2204">
        <f t="shared" si="5"/>
        <v>1.03E-2</v>
      </c>
      <c r="O9" s="2189">
        <f t="shared" si="6"/>
        <v>2.3999999999999998E-3</v>
      </c>
      <c r="P9" s="2189">
        <f t="shared" si="7"/>
        <v>1.1699999999999999E-2</v>
      </c>
      <c r="Q9" s="2189">
        <f t="shared" si="8"/>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si="9"/>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si="10"/>
        <v>1.06E-2</v>
      </c>
      <c r="AG9" s="2207">
        <f>ROUND(AVERAGE(K9:K$40)/100,4)</f>
        <v>1.8700000000000001E-2</v>
      </c>
      <c r="AH9" s="2207">
        <f>ROUND(AVERAGE(L9:L$40)/100,4)</f>
        <v>1.24E-2</v>
      </c>
    </row>
    <row r="10" spans="1:34" s="2208" customFormat="1">
      <c r="A10" s="2201" t="s">
        <v>2311</v>
      </c>
      <c r="B10" s="2202">
        <f t="shared" si="0"/>
        <v>504.87072809615569</v>
      </c>
      <c r="C10" s="2202">
        <f t="shared" si="1"/>
        <v>351.71182348101968</v>
      </c>
      <c r="D10" s="2202">
        <f t="shared" si="2"/>
        <v>351.71182348101968</v>
      </c>
      <c r="E10" s="2202">
        <f t="shared" si="3"/>
        <v>728.75350858360832</v>
      </c>
      <c r="F10" s="2202">
        <f t="shared" si="4"/>
        <v>334.04593931673656</v>
      </c>
      <c r="G10" s="2825">
        <v>2021</v>
      </c>
      <c r="H10" s="2203">
        <v>3</v>
      </c>
      <c r="I10" s="2165">
        <v>0.47</v>
      </c>
      <c r="J10" s="2165">
        <v>0.41</v>
      </c>
      <c r="K10" s="2165">
        <v>0.48</v>
      </c>
      <c r="L10" s="2166">
        <v>0.48</v>
      </c>
      <c r="M10" s="2188"/>
      <c r="N10" s="2204">
        <f t="shared" si="5"/>
        <v>4.6999999999999993E-3</v>
      </c>
      <c r="O10" s="2189">
        <f t="shared" si="6"/>
        <v>4.0999999999999995E-3</v>
      </c>
      <c r="P10" s="2189">
        <f t="shared" si="7"/>
        <v>4.7999999999999996E-3</v>
      </c>
      <c r="Q10" s="2189">
        <f t="shared" si="8"/>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si="9"/>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si="10"/>
        <v>1.09E-2</v>
      </c>
      <c r="AG10" s="2207">
        <f>ROUND(AVERAGE(K10:K$40)/100,4)</f>
        <v>1.89E-2</v>
      </c>
      <c r="AH10" s="2207">
        <f>ROUND(AVERAGE(L10:L$40)/100,4)</f>
        <v>1.26E-2</v>
      </c>
    </row>
    <row r="11" spans="1:34" s="2208" customFormat="1">
      <c r="A11" s="2201" t="s">
        <v>2310</v>
      </c>
      <c r="B11" s="2202">
        <f t="shared" si="0"/>
        <v>502.50893609650217</v>
      </c>
      <c r="C11" s="2202">
        <f t="shared" si="1"/>
        <v>350.27569313914915</v>
      </c>
      <c r="D11" s="2202">
        <f t="shared" si="2"/>
        <v>350.27569313914915</v>
      </c>
      <c r="E11" s="2202">
        <f t="shared" si="3"/>
        <v>725.27220201394141</v>
      </c>
      <c r="F11" s="2202">
        <f t="shared" si="4"/>
        <v>332.45017846012797</v>
      </c>
      <c r="G11" s="2824">
        <v>2021</v>
      </c>
      <c r="H11" s="2203">
        <v>2</v>
      </c>
      <c r="I11" s="2165">
        <v>0.92</v>
      </c>
      <c r="J11" s="2165">
        <v>0.72</v>
      </c>
      <c r="K11" s="2165">
        <v>0.95</v>
      </c>
      <c r="L11" s="2166">
        <v>1.01</v>
      </c>
      <c r="M11" s="2188"/>
      <c r="N11" s="2204">
        <f t="shared" si="5"/>
        <v>9.1999999999999998E-3</v>
      </c>
      <c r="O11" s="2189">
        <f t="shared" si="6"/>
        <v>7.1999999999999998E-3</v>
      </c>
      <c r="P11" s="2189">
        <f t="shared" si="7"/>
        <v>9.4999999999999998E-3</v>
      </c>
      <c r="Q11" s="2189">
        <f t="shared" si="8"/>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si="9"/>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si="10"/>
        <v>1.11E-2</v>
      </c>
      <c r="AG11" s="2207">
        <f>ROUND(AVERAGE(K11:K$40)/100,4)</f>
        <v>1.9400000000000001E-2</v>
      </c>
      <c r="AH11" s="2207">
        <f>ROUND(AVERAGE(L11:L$40)/100,4)</f>
        <v>1.2800000000000001E-2</v>
      </c>
    </row>
    <row r="12" spans="1:34" s="2208" customFormat="1">
      <c r="A12" s="2201" t="s">
        <v>2309</v>
      </c>
      <c r="B12" s="2202">
        <f t="shared" si="0"/>
        <v>497.92799851020823</v>
      </c>
      <c r="C12" s="2202">
        <f t="shared" si="1"/>
        <v>347.77173663537445</v>
      </c>
      <c r="D12" s="2202">
        <f t="shared" si="2"/>
        <v>347.77173663537445</v>
      </c>
      <c r="E12" s="2202">
        <f t="shared" si="3"/>
        <v>718.44695593258189</v>
      </c>
      <c r="F12" s="2202">
        <f t="shared" si="4"/>
        <v>329.12600580153247</v>
      </c>
      <c r="G12" s="2808">
        <v>2021</v>
      </c>
      <c r="H12" s="2203">
        <v>1</v>
      </c>
      <c r="I12" s="2165">
        <v>0.97</v>
      </c>
      <c r="J12" s="2165">
        <v>0.16</v>
      </c>
      <c r="K12" s="2165">
        <v>1.1100000000000001</v>
      </c>
      <c r="L12" s="2166">
        <v>0.36</v>
      </c>
      <c r="M12" s="2188"/>
      <c r="N12" s="2204">
        <f t="shared" si="5"/>
        <v>9.7000000000000003E-3</v>
      </c>
      <c r="O12" s="2189">
        <f t="shared" si="6"/>
        <v>1.6000000000000001E-3</v>
      </c>
      <c r="P12" s="2189">
        <f t="shared" si="7"/>
        <v>1.11E-2</v>
      </c>
      <c r="Q12" s="2189">
        <f t="shared" si="8"/>
        <v>3.5999999999999999E-3</v>
      </c>
      <c r="R12" s="2205"/>
      <c r="S12" s="2204">
        <f>B12/B13-1</f>
        <v>9.7000000000000419E-3</v>
      </c>
      <c r="T12" s="2189">
        <f>C12/C13-1</f>
        <v>1.6000000000000458E-3</v>
      </c>
      <c r="U12" s="2189">
        <f>D12/D13-1</f>
        <v>1.6000000000000458E-3</v>
      </c>
      <c r="V12" s="2189">
        <f>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si="9"/>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si="10"/>
        <v>1.12E-2</v>
      </c>
      <c r="AG12" s="2207">
        <f>ROUND(AVERAGE(K12:K$40)/100,4)</f>
        <v>1.9699999999999999E-2</v>
      </c>
      <c r="AH12" s="2207">
        <f>ROUND(AVERAGE(L12:L$40)/100,4)</f>
        <v>1.29E-2</v>
      </c>
    </row>
    <row r="13" spans="1:34" s="2208" customFormat="1">
      <c r="A13" s="2201" t="s">
        <v>2307</v>
      </c>
      <c r="B13" s="2202">
        <f t="shared" si="0"/>
        <v>493.14449689037161</v>
      </c>
      <c r="C13" s="2202">
        <f t="shared" si="1"/>
        <v>347.21619073020611</v>
      </c>
      <c r="D13" s="2202">
        <f t="shared" si="2"/>
        <v>347.21619073020611</v>
      </c>
      <c r="E13" s="2202">
        <f t="shared" si="3"/>
        <v>710.55974278763904</v>
      </c>
      <c r="F13" s="2202">
        <f t="shared" si="4"/>
        <v>327.94540235306141</v>
      </c>
      <c r="G13" s="2807">
        <v>2020</v>
      </c>
      <c r="H13" s="2203">
        <v>4</v>
      </c>
      <c r="I13" s="2165">
        <v>2.0699999999999998</v>
      </c>
      <c r="J13" s="2165">
        <v>0.37</v>
      </c>
      <c r="K13" s="2165">
        <v>2.35</v>
      </c>
      <c r="L13" s="2166">
        <v>2.69</v>
      </c>
      <c r="M13" s="2188"/>
      <c r="N13" s="2204">
        <f t="shared" si="5"/>
        <v>2.07E-2</v>
      </c>
      <c r="O13" s="2189">
        <f t="shared" si="6"/>
        <v>3.7000000000000002E-3</v>
      </c>
      <c r="P13" s="2189">
        <f t="shared" si="7"/>
        <v>2.35E-2</v>
      </c>
      <c r="Q13" s="2189">
        <f t="shared" si="8"/>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si="9"/>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si="10"/>
        <v>1.1599999999999999E-2</v>
      </c>
      <c r="AG13" s="2207">
        <f>ROUND(AVERAGE(K13:K$40)/100,4)</f>
        <v>0.02</v>
      </c>
      <c r="AH13" s="2207">
        <f>ROUND(AVERAGE(L13:L$40)/100,4)</f>
        <v>1.3299999999999999E-2</v>
      </c>
    </row>
    <row r="14" spans="1:34" s="2208" customFormat="1">
      <c r="A14" s="2201" t="s">
        <v>2306</v>
      </c>
      <c r="B14" s="2202">
        <f t="shared" si="0"/>
        <v>483.1434279321756</v>
      </c>
      <c r="C14" s="2202">
        <f t="shared" si="1"/>
        <v>345.93622669144776</v>
      </c>
      <c r="D14" s="2202">
        <f t="shared" si="2"/>
        <v>345.93622669144776</v>
      </c>
      <c r="E14" s="2202">
        <f t="shared" si="3"/>
        <v>694.24498562544113</v>
      </c>
      <c r="F14" s="2202">
        <f t="shared" si="4"/>
        <v>319.35475932716082</v>
      </c>
      <c r="G14" s="2804">
        <v>2020</v>
      </c>
      <c r="H14" s="2203">
        <v>3</v>
      </c>
      <c r="I14" s="2165">
        <v>0.36</v>
      </c>
      <c r="J14" s="2165">
        <v>-0.39</v>
      </c>
      <c r="K14" s="2165">
        <v>0.49</v>
      </c>
      <c r="L14" s="2166">
        <v>7.0000000000000007E-2</v>
      </c>
      <c r="M14" s="2188"/>
      <c r="N14" s="2204">
        <f t="shared" si="5"/>
        <v>3.5999999999999999E-3</v>
      </c>
      <c r="O14" s="2189">
        <f t="shared" si="6"/>
        <v>-3.9000000000000003E-3</v>
      </c>
      <c r="P14" s="2189">
        <f t="shared" si="7"/>
        <v>4.8999999999999998E-3</v>
      </c>
      <c r="Q14" s="2189">
        <f t="shared" si="8"/>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si="9"/>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si="10"/>
        <v>1.1900000000000001E-2</v>
      </c>
      <c r="AG14" s="2207">
        <f>ROUND(AVERAGE(K14:K$40)/100,4)</f>
        <v>1.9900000000000001E-2</v>
      </c>
      <c r="AH14" s="2207">
        <f>ROUND(AVERAGE(L14:L$40)/100,4)</f>
        <v>1.2800000000000001E-2</v>
      </c>
    </row>
    <row r="15" spans="1:34" s="2208" customFormat="1">
      <c r="A15" s="2201" t="s">
        <v>2127</v>
      </c>
      <c r="B15" s="2202">
        <f t="shared" si="0"/>
        <v>481.4103506697644</v>
      </c>
      <c r="C15" s="2202">
        <f t="shared" si="1"/>
        <v>347.29066026648707</v>
      </c>
      <c r="D15" s="2202">
        <f t="shared" si="2"/>
        <v>347.29066026648707</v>
      </c>
      <c r="E15" s="2202">
        <f t="shared" si="3"/>
        <v>690.85977273901995</v>
      </c>
      <c r="F15" s="2202">
        <f t="shared" si="4"/>
        <v>319.13136737000184</v>
      </c>
      <c r="G15" s="2192">
        <v>2020</v>
      </c>
      <c r="H15" s="2203">
        <v>2</v>
      </c>
      <c r="I15" s="2165">
        <v>0.31</v>
      </c>
      <c r="J15" s="2165">
        <v>-0.78</v>
      </c>
      <c r="K15" s="2165">
        <v>0.5</v>
      </c>
      <c r="L15" s="2166">
        <v>0.47</v>
      </c>
      <c r="M15" s="2188"/>
      <c r="N15" s="2204">
        <f t="shared" si="5"/>
        <v>3.0999999999999999E-3</v>
      </c>
      <c r="O15" s="2189">
        <f t="shared" si="6"/>
        <v>-7.8000000000000005E-3</v>
      </c>
      <c r="P15" s="2189">
        <f t="shared" si="7"/>
        <v>5.0000000000000001E-3</v>
      </c>
      <c r="Q15" s="2189">
        <f t="shared" si="8"/>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si="9"/>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si="10"/>
        <v>1.2500000000000001E-2</v>
      </c>
      <c r="AG15" s="2207">
        <f>ROUND(AVERAGE(K15:K$40)/100,4)</f>
        <v>2.0400000000000001E-2</v>
      </c>
      <c r="AH15" s="2207">
        <f>ROUND(AVERAGE(L15:L$40)/100,4)</f>
        <v>1.32E-2</v>
      </c>
    </row>
    <row r="16" spans="1:34" s="2208" customFormat="1">
      <c r="A16" s="2201" t="s">
        <v>2125</v>
      </c>
      <c r="B16" s="2202">
        <f t="shared" si="0"/>
        <v>479.92259063878413</v>
      </c>
      <c r="C16" s="2202">
        <f t="shared" si="1"/>
        <v>350.02082268341775</v>
      </c>
      <c r="D16" s="2202">
        <f t="shared" si="2"/>
        <v>350.02082268341775</v>
      </c>
      <c r="E16" s="2202">
        <f t="shared" si="3"/>
        <v>687.42265944181099</v>
      </c>
      <c r="F16" s="2202">
        <f t="shared" si="4"/>
        <v>317.63846657708956</v>
      </c>
      <c r="G16" s="2192">
        <v>2020</v>
      </c>
      <c r="H16" s="2203">
        <v>1</v>
      </c>
      <c r="I16" s="2165">
        <v>0.12</v>
      </c>
      <c r="J16" s="2165">
        <v>-0.4</v>
      </c>
      <c r="K16" s="2165">
        <v>0.21</v>
      </c>
      <c r="L16" s="2166">
        <v>0.27</v>
      </c>
      <c r="M16" s="2188"/>
      <c r="N16" s="2204">
        <f t="shared" si="5"/>
        <v>1.1999999999999999E-3</v>
      </c>
      <c r="O16" s="2189">
        <f t="shared" si="6"/>
        <v>-4.0000000000000001E-3</v>
      </c>
      <c r="P16" s="2189">
        <f t="shared" si="7"/>
        <v>2.0999999999999999E-3</v>
      </c>
      <c r="Q16" s="2189">
        <f t="shared" si="8"/>
        <v>2.7000000000000001E-3</v>
      </c>
      <c r="R16" s="2205"/>
      <c r="S16" s="2204">
        <f>B16/B17-1</f>
        <v>1.2000000000000899E-3</v>
      </c>
      <c r="T16" s="2189">
        <f>C16/C17-1</f>
        <v>-4.0000000000000036E-3</v>
      </c>
      <c r="U16" s="2189">
        <f>D16/D17-1</f>
        <v>-4.0000000000000036E-3</v>
      </c>
      <c r="V16" s="2189">
        <f>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si="9"/>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si="10"/>
        <v>1.3299999999999999E-2</v>
      </c>
      <c r="AG16" s="2207">
        <f>ROUND(AVERAGE(K16:K$40)/100,4)</f>
        <v>2.1100000000000001E-2</v>
      </c>
      <c r="AH16" s="2207">
        <f>ROUND(AVERAGE(L16:L$40)/100,4)</f>
        <v>1.3599999999999999E-2</v>
      </c>
    </row>
    <row r="17" spans="1:34" s="2208" customFormat="1">
      <c r="A17" s="2201" t="s">
        <v>2124</v>
      </c>
      <c r="B17" s="2202">
        <f t="shared" si="0"/>
        <v>479.34737379023579</v>
      </c>
      <c r="C17" s="2202">
        <f t="shared" si="1"/>
        <v>351.4265287986122</v>
      </c>
      <c r="D17" s="2202">
        <f t="shared" si="2"/>
        <v>351.4265287986122</v>
      </c>
      <c r="E17" s="2202">
        <f t="shared" si="3"/>
        <v>685.98209703803116</v>
      </c>
      <c r="F17" s="2202">
        <f t="shared" si="4"/>
        <v>316.78315206651001</v>
      </c>
      <c r="G17" s="2192">
        <v>2019</v>
      </c>
      <c r="H17" s="2203">
        <v>4</v>
      </c>
      <c r="I17" s="2203">
        <v>0.45</v>
      </c>
      <c r="J17" s="2203">
        <v>-0.12</v>
      </c>
      <c r="K17" s="2203">
        <v>0.54</v>
      </c>
      <c r="L17" s="2209">
        <v>0.48</v>
      </c>
      <c r="M17" s="2188"/>
      <c r="N17" s="2204">
        <f t="shared" ref="N17:N22" si="11">I17/100</f>
        <v>4.5000000000000005E-3</v>
      </c>
      <c r="O17" s="2189">
        <f t="shared" ref="O17:O27" si="12">J17/100</f>
        <v>-1.1999999999999999E-3</v>
      </c>
      <c r="P17" s="2189">
        <f t="shared" ref="P17:P27" si="13">K17/100</f>
        <v>5.4000000000000003E-3</v>
      </c>
      <c r="Q17" s="2189">
        <f t="shared" ref="Q17:Q27" si="14">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si="9"/>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si="10"/>
        <v>1.4E-2</v>
      </c>
      <c r="AG17" s="2207">
        <f>ROUND(AVERAGE(K17:K$40)/100,4)</f>
        <v>2.1899999999999999E-2</v>
      </c>
      <c r="AH17" s="2207">
        <f>ROUND(AVERAGE(L17:L$40)/100,4)</f>
        <v>1.4E-2</v>
      </c>
    </row>
    <row r="18" spans="1:34" s="2208" customFormat="1" ht="13.5" thickBot="1">
      <c r="A18" s="2201" t="s">
        <v>2123</v>
      </c>
      <c r="B18" s="2202">
        <f t="shared" si="0"/>
        <v>477.19997390765138</v>
      </c>
      <c r="C18" s="2202">
        <f t="shared" si="1"/>
        <v>351.84874729536665</v>
      </c>
      <c r="D18" s="2202">
        <f t="shared" si="2"/>
        <v>351.84874729536665</v>
      </c>
      <c r="E18" s="2202">
        <f t="shared" si="3"/>
        <v>682.29768951465201</v>
      </c>
      <c r="F18" s="2202">
        <f t="shared" si="4"/>
        <v>315.26985675409043</v>
      </c>
      <c r="G18" s="2192">
        <v>2019</v>
      </c>
      <c r="H18" s="2203">
        <v>3</v>
      </c>
      <c r="I18" s="2203">
        <v>0.61</v>
      </c>
      <c r="J18" s="2203">
        <v>0.67</v>
      </c>
      <c r="K18" s="2203">
        <v>0.6</v>
      </c>
      <c r="L18" s="2209">
        <v>1.03</v>
      </c>
      <c r="M18" s="2188"/>
      <c r="N18" s="2204">
        <f t="shared" si="11"/>
        <v>6.0999999999999995E-3</v>
      </c>
      <c r="O18" s="2189">
        <f t="shared" si="12"/>
        <v>6.7000000000000002E-3</v>
      </c>
      <c r="P18" s="2189">
        <f t="shared" si="13"/>
        <v>6.0000000000000001E-3</v>
      </c>
      <c r="Q18" s="2189">
        <f t="shared" si="14"/>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si="9"/>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si="10"/>
        <v>1.47E-2</v>
      </c>
      <c r="AG18" s="2207">
        <f>ROUND(AVERAGE(K18:K$40)/100,4)</f>
        <v>2.2599999999999999E-2</v>
      </c>
      <c r="AH18" s="2207">
        <f>ROUND(AVERAGE(L18:L$40)/100,4)</f>
        <v>1.44E-2</v>
      </c>
    </row>
    <row r="19" spans="1:34" s="2208" customFormat="1">
      <c r="A19" s="2201" t="s">
        <v>2121</v>
      </c>
      <c r="B19" s="2202">
        <f t="shared" si="0"/>
        <v>474.30670301923408</v>
      </c>
      <c r="C19" s="2202">
        <f t="shared" si="1"/>
        <v>349.50705005996491</v>
      </c>
      <c r="D19" s="2202">
        <f t="shared" si="2"/>
        <v>349.50705005996491</v>
      </c>
      <c r="E19" s="2202">
        <f t="shared" si="3"/>
        <v>678.22831959706957</v>
      </c>
      <c r="F19" s="2202">
        <f t="shared" si="4"/>
        <v>312.0556832169558</v>
      </c>
      <c r="G19" s="2192">
        <v>2019</v>
      </c>
      <c r="H19" s="2210">
        <v>2</v>
      </c>
      <c r="I19" s="2210">
        <v>1.53</v>
      </c>
      <c r="J19" s="2210">
        <v>1.01</v>
      </c>
      <c r="K19" s="2210">
        <v>1.62</v>
      </c>
      <c r="L19" s="2211">
        <v>1.25</v>
      </c>
      <c r="M19" s="2188"/>
      <c r="N19" s="2204">
        <f t="shared" si="11"/>
        <v>1.5300000000000001E-2</v>
      </c>
      <c r="O19" s="2189">
        <f t="shared" si="12"/>
        <v>1.01E-2</v>
      </c>
      <c r="P19" s="2189">
        <f t="shared" si="13"/>
        <v>1.6200000000000003E-2</v>
      </c>
      <c r="Q19" s="2189">
        <f t="shared" si="14"/>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si="9"/>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si="10"/>
        <v>1.4999999999999999E-2</v>
      </c>
      <c r="AG19" s="2207">
        <f>ROUND(AVERAGE(K19:K$40)/100,4)</f>
        <v>2.3300000000000001E-2</v>
      </c>
      <c r="AH19" s="2207">
        <f>ROUND(AVERAGE(L19:L$40)/100,4)</f>
        <v>1.46E-2</v>
      </c>
    </row>
    <row r="20" spans="1:34" s="2208" customFormat="1" ht="13.5" thickBot="1">
      <c r="A20" s="2201" t="s">
        <v>2120</v>
      </c>
      <c r="B20" s="2202">
        <f t="shared" si="0"/>
        <v>467.15916775261894</v>
      </c>
      <c r="C20" s="2202">
        <f t="shared" si="1"/>
        <v>346.01232557169084</v>
      </c>
      <c r="D20" s="2202">
        <f t="shared" si="2"/>
        <v>346.01232557169084</v>
      </c>
      <c r="E20" s="2202">
        <f t="shared" si="3"/>
        <v>667.41617752122568</v>
      </c>
      <c r="F20" s="2202">
        <f t="shared" si="4"/>
        <v>308.20314391798104</v>
      </c>
      <c r="G20" s="2192">
        <v>2019</v>
      </c>
      <c r="H20" s="2203">
        <v>1</v>
      </c>
      <c r="I20" s="2203">
        <v>0.6</v>
      </c>
      <c r="J20" s="2203">
        <v>0.37</v>
      </c>
      <c r="K20" s="2203">
        <v>0.63</v>
      </c>
      <c r="L20" s="2209">
        <v>1.1299999999999999</v>
      </c>
      <c r="M20" s="2188"/>
      <c r="N20" s="2204">
        <f t="shared" si="11"/>
        <v>6.0000000000000001E-3</v>
      </c>
      <c r="O20" s="2189">
        <f t="shared" si="12"/>
        <v>3.7000000000000002E-3</v>
      </c>
      <c r="P20" s="2189">
        <f t="shared" si="13"/>
        <v>6.3E-3</v>
      </c>
      <c r="Q20" s="2189">
        <f t="shared" si="14"/>
        <v>1.1299999999999999E-2</v>
      </c>
      <c r="R20" s="2205"/>
      <c r="S20" s="2204">
        <f>B20/B21-1</f>
        <v>6.0000000000000053E-3</v>
      </c>
      <c r="T20" s="2189">
        <f>C20/C21-1</f>
        <v>3.7000000000000366E-3</v>
      </c>
      <c r="U20" s="2189">
        <f>D20/D21-1</f>
        <v>3.7000000000000366E-3</v>
      </c>
      <c r="V20" s="2189">
        <f>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si="9"/>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si="10"/>
        <v>1.5299999999999999E-2</v>
      </c>
      <c r="AG20" s="2207">
        <f>ROUND(AVERAGE(K20:K$40)/100,4)</f>
        <v>2.3699999999999999E-2</v>
      </c>
      <c r="AH20" s="2207">
        <f>ROUND(AVERAGE(L20:L$40)/100,4)</f>
        <v>1.47E-2</v>
      </c>
    </row>
    <row r="21" spans="1:34" s="2208" customFormat="1">
      <c r="A21" s="2201" t="s">
        <v>2122</v>
      </c>
      <c r="B21" s="2212">
        <f t="shared" si="0"/>
        <v>464.37293017158942</v>
      </c>
      <c r="C21" s="2212">
        <f t="shared" si="1"/>
        <v>344.73679941385956</v>
      </c>
      <c r="D21" s="2212">
        <f t="shared" si="2"/>
        <v>344.73679941385956</v>
      </c>
      <c r="E21" s="2212">
        <f t="shared" si="3"/>
        <v>663.2377795103107</v>
      </c>
      <c r="F21" s="2213">
        <f t="shared" si="4"/>
        <v>304.75936311478398</v>
      </c>
      <c r="G21" s="3837">
        <v>2018</v>
      </c>
      <c r="H21" s="2210">
        <v>4</v>
      </c>
      <c r="I21" s="2210">
        <v>0.96</v>
      </c>
      <c r="J21" s="2210">
        <v>1.03</v>
      </c>
      <c r="K21" s="2210">
        <v>0.92</v>
      </c>
      <c r="L21" s="2211">
        <v>1.29</v>
      </c>
      <c r="M21" s="2188"/>
      <c r="N21" s="2204">
        <f t="shared" si="11"/>
        <v>9.5999999999999992E-3</v>
      </c>
      <c r="O21" s="2189">
        <f t="shared" si="12"/>
        <v>1.03E-2</v>
      </c>
      <c r="P21" s="2189">
        <f t="shared" si="13"/>
        <v>9.1999999999999998E-3</v>
      </c>
      <c r="Q21" s="2189">
        <f t="shared" si="14"/>
        <v>1.29E-2</v>
      </c>
      <c r="R21" s="2205"/>
      <c r="S21" s="2204"/>
      <c r="T21" s="2189"/>
      <c r="U21" s="2189"/>
      <c r="V21" s="2189"/>
      <c r="W21" s="2206"/>
      <c r="X21" s="2206">
        <f>ROUND(SUMPRODUCT(PRODUCT(1+N21:N$39)),4)</f>
        <v>1.5099</v>
      </c>
      <c r="Y21" s="2206">
        <f>ROUND(SUMPRODUCT(PRODUCT(1+O21:O$39)),4)</f>
        <v>1.3372999999999999</v>
      </c>
      <c r="Z21" s="2206">
        <f t="shared" si="9"/>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si="10"/>
        <v>1.5800000000000002E-2</v>
      </c>
      <c r="AG21" s="2207">
        <f>ROUND(AVERAGE(K21:K$40)/100,4)</f>
        <v>2.4500000000000001E-2</v>
      </c>
      <c r="AH21" s="2207">
        <f>ROUND(AVERAGE(L21:L$40)/100,4)</f>
        <v>1.49E-2</v>
      </c>
    </row>
    <row r="22" spans="1:34" s="2208" customFormat="1" ht="14.45" customHeight="1">
      <c r="A22" s="2201" t="s">
        <v>2118</v>
      </c>
      <c r="B22" s="2202">
        <f t="shared" si="0"/>
        <v>459.95733971036987</v>
      </c>
      <c r="C22" s="2202">
        <f t="shared" si="1"/>
        <v>341.22221064422405</v>
      </c>
      <c r="D22" s="2202">
        <f t="shared" si="2"/>
        <v>341.22221064422405</v>
      </c>
      <c r="E22" s="2202">
        <f t="shared" si="3"/>
        <v>657.19161663724799</v>
      </c>
      <c r="F22" s="2202">
        <f t="shared" si="4"/>
        <v>300.87803644464805</v>
      </c>
      <c r="G22" s="3837"/>
      <c r="H22" s="2203">
        <v>3</v>
      </c>
      <c r="I22" s="2203">
        <v>1.51</v>
      </c>
      <c r="J22" s="2203">
        <v>1.41</v>
      </c>
      <c r="K22" s="2203">
        <v>1.52</v>
      </c>
      <c r="L22" s="2209">
        <v>1.74</v>
      </c>
      <c r="M22" s="2188"/>
      <c r="N22" s="2204">
        <f t="shared" si="11"/>
        <v>1.5100000000000001E-2</v>
      </c>
      <c r="O22" s="2189">
        <f t="shared" si="12"/>
        <v>1.41E-2</v>
      </c>
      <c r="P22" s="2189">
        <f t="shared" si="13"/>
        <v>1.52E-2</v>
      </c>
      <c r="Q22" s="2189">
        <f t="shared" si="14"/>
        <v>1.7399999999999999E-2</v>
      </c>
      <c r="R22" s="2205"/>
      <c r="S22" s="2204"/>
      <c r="T22" s="2189"/>
      <c r="U22" s="2189"/>
      <c r="V22" s="2189"/>
      <c r="W22" s="2206"/>
      <c r="X22" s="2206">
        <f>ROUND(SUMPRODUCT(PRODUCT(1+N22:N$39)),4)</f>
        <v>1.4956</v>
      </c>
      <c r="Y22" s="2206">
        <f>ROUND(SUMPRODUCT(PRODUCT(1+O22:O$39)),4)</f>
        <v>1.3237000000000001</v>
      </c>
      <c r="Z22" s="2206">
        <f t="shared" si="9"/>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si="10"/>
        <v>1.61E-2</v>
      </c>
      <c r="AG22" s="2207">
        <f>ROUND(AVERAGE(K22:K$40)/100,4)</f>
        <v>2.53E-2</v>
      </c>
      <c r="AH22" s="2207">
        <f>ROUND(AVERAGE(L22:L$40)/100,4)</f>
        <v>1.4999999999999999E-2</v>
      </c>
    </row>
    <row r="23" spans="1:34" s="2208" customFormat="1" ht="14.45" customHeight="1">
      <c r="A23" s="2201" t="s">
        <v>2117</v>
      </c>
      <c r="B23" s="2202">
        <f t="shared" si="0"/>
        <v>453.11529869999993</v>
      </c>
      <c r="C23" s="2202">
        <f t="shared" si="1"/>
        <v>336.47787264000004</v>
      </c>
      <c r="D23" s="2202">
        <f t="shared" si="2"/>
        <v>336.47787264000004</v>
      </c>
      <c r="E23" s="2202">
        <f t="shared" si="3"/>
        <v>647.35186823999993</v>
      </c>
      <c r="F23" s="2202">
        <f t="shared" si="4"/>
        <v>295.73229452000004</v>
      </c>
      <c r="G23" s="3837"/>
      <c r="H23" s="2214">
        <v>2</v>
      </c>
      <c r="I23" s="2214">
        <v>1.49</v>
      </c>
      <c r="J23" s="2214">
        <v>0.96</v>
      </c>
      <c r="K23" s="2214">
        <v>1.58</v>
      </c>
      <c r="L23" s="2215">
        <v>2.44</v>
      </c>
      <c r="M23" s="2188"/>
      <c r="N23" s="2204">
        <f>I23/100</f>
        <v>1.49E-2</v>
      </c>
      <c r="O23" s="2189">
        <f t="shared" si="12"/>
        <v>9.5999999999999992E-3</v>
      </c>
      <c r="P23" s="2189">
        <f t="shared" si="13"/>
        <v>1.5800000000000002E-2</v>
      </c>
      <c r="Q23" s="2189">
        <f t="shared" si="14"/>
        <v>2.4399999999999998E-2</v>
      </c>
      <c r="R23" s="2205"/>
      <c r="S23" s="2204"/>
      <c r="T23" s="2189"/>
      <c r="U23" s="2189"/>
      <c r="V23" s="2189"/>
      <c r="W23" s="2206"/>
      <c r="X23" s="2206">
        <f>ROUND(SUMPRODUCT(PRODUCT(1+N23:N$39)),4)</f>
        <v>1.4733000000000001</v>
      </c>
      <c r="Y23" s="2206">
        <f>ROUND(SUMPRODUCT(PRODUCT(1+O23:O$39)),4)</f>
        <v>1.3052999999999999</v>
      </c>
      <c r="Z23" s="2206">
        <f t="shared" si="9"/>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si="10"/>
        <v>1.6199999999999999E-2</v>
      </c>
      <c r="AG23" s="2207">
        <f>ROUND(AVERAGE(K23:K$40)/100,4)</f>
        <v>2.5899999999999999E-2</v>
      </c>
      <c r="AH23" s="2207">
        <f>ROUND(AVERAGE(L23:L$40)/100,4)</f>
        <v>1.49E-2</v>
      </c>
    </row>
    <row r="24" spans="1:34" s="2208" customFormat="1" ht="15" customHeight="1" thickBot="1">
      <c r="A24" s="2201" t="s">
        <v>2110</v>
      </c>
      <c r="B24" s="2202">
        <f t="shared" si="0"/>
        <v>446.46299999999997</v>
      </c>
      <c r="C24" s="2202">
        <f t="shared" si="1"/>
        <v>333.27840000000003</v>
      </c>
      <c r="D24" s="2202">
        <f t="shared" si="2"/>
        <v>333.27840000000003</v>
      </c>
      <c r="E24" s="2202">
        <f t="shared" si="3"/>
        <v>637.28279999999995</v>
      </c>
      <c r="F24" s="2202">
        <f t="shared" si="4"/>
        <v>288.68830000000003</v>
      </c>
      <c r="G24" s="3846"/>
      <c r="H24" s="2203">
        <v>1</v>
      </c>
      <c r="I24" s="2203">
        <v>1.7</v>
      </c>
      <c r="J24" s="2203">
        <v>1.92</v>
      </c>
      <c r="K24" s="2203">
        <v>1.64</v>
      </c>
      <c r="L24" s="2209">
        <v>2.0099999999999998</v>
      </c>
      <c r="M24" s="2188"/>
      <c r="N24" s="2204">
        <f t="shared" ref="N24:N29" si="15">I24/100</f>
        <v>1.7000000000000001E-2</v>
      </c>
      <c r="O24" s="2189">
        <f t="shared" si="12"/>
        <v>1.9199999999999998E-2</v>
      </c>
      <c r="P24" s="2189">
        <f t="shared" si="13"/>
        <v>1.6399999999999998E-2</v>
      </c>
      <c r="Q24" s="2189">
        <f t="shared" si="14"/>
        <v>2.0099999999999996E-2</v>
      </c>
      <c r="R24" s="2205"/>
      <c r="S24" s="2204">
        <f>B24/B25-1</f>
        <v>1.6999999999999904E-2</v>
      </c>
      <c r="T24" s="2189">
        <f>C24/C25-1</f>
        <v>1.9200000000000106E-2</v>
      </c>
      <c r="U24" s="2189">
        <f>D24/D25-1</f>
        <v>1.9200000000000106E-2</v>
      </c>
      <c r="V24" s="2189">
        <f>E24/E25-1</f>
        <v>1.639999999999997E-2</v>
      </c>
      <c r="W24" s="2206"/>
      <c r="X24" s="2206">
        <f>ROUND(SUMPRODUCT(PRODUCT(1+N24:N$39)),4)</f>
        <v>1.4517</v>
      </c>
      <c r="Y24" s="2206">
        <f>ROUND(SUMPRODUCT(PRODUCT(1+O24:O$39)),4)</f>
        <v>1.2928999999999999</v>
      </c>
      <c r="Z24" s="2206">
        <f t="shared" si="9"/>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si="10"/>
        <v>1.66E-2</v>
      </c>
      <c r="AG24" s="2207">
        <f>ROUND(AVERAGE(K24:K$40)/100,4)</f>
        <v>2.6499999999999999E-2</v>
      </c>
      <c r="AH24" s="2207">
        <f>ROUND(AVERAGE(L24:L$40)/100,4)</f>
        <v>1.43E-2</v>
      </c>
    </row>
    <row r="25" spans="1:34">
      <c r="A25" s="2201" t="s">
        <v>2108</v>
      </c>
      <c r="B25" s="2216">
        <v>439</v>
      </c>
      <c r="C25" s="2216">
        <v>327</v>
      </c>
      <c r="D25" s="2216">
        <f t="shared" si="2"/>
        <v>327</v>
      </c>
      <c r="E25" s="2216">
        <v>627</v>
      </c>
      <c r="F25" s="2217">
        <v>283</v>
      </c>
      <c r="G25" s="3842">
        <v>2017</v>
      </c>
      <c r="H25" s="2210">
        <v>4</v>
      </c>
      <c r="I25" s="2210">
        <v>1.71</v>
      </c>
      <c r="J25" s="2210">
        <v>1.78</v>
      </c>
      <c r="K25" s="2210">
        <v>1.71</v>
      </c>
      <c r="L25" s="2211">
        <v>1.43</v>
      </c>
      <c r="N25" s="2204">
        <f t="shared" si="15"/>
        <v>1.7100000000000001E-2</v>
      </c>
      <c r="O25" s="2189">
        <f t="shared" si="12"/>
        <v>1.78E-2</v>
      </c>
      <c r="P25" s="2189">
        <f t="shared" si="13"/>
        <v>1.7100000000000001E-2</v>
      </c>
      <c r="Q25" s="2189">
        <f t="shared" si="14"/>
        <v>1.43E-2</v>
      </c>
      <c r="R25" s="2205"/>
      <c r="S25" s="2218"/>
      <c r="T25" s="2219"/>
      <c r="U25" s="2219"/>
      <c r="V25" s="2219"/>
      <c r="X25" s="2188">
        <f>ROUND(SUMPRODUCT(PRODUCT(1+N25:N$39)),4)</f>
        <v>1.4274</v>
      </c>
      <c r="Y25" s="2188">
        <f>ROUND(SUMPRODUCT(PRODUCT(1+O25:O$39)),4)</f>
        <v>1.2685</v>
      </c>
      <c r="Z25" s="2188">
        <f t="shared" si="9"/>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0"/>
        <v>1.6500000000000001E-2</v>
      </c>
      <c r="AG25" s="2189">
        <f>ROUND(AVERAGE(K25:K$40)/100,4)</f>
        <v>2.7099999999999999E-2</v>
      </c>
      <c r="AH25" s="2189">
        <f>ROUND(AVERAGE(L25:L$40)/100,4)</f>
        <v>1.3899999999999999E-2</v>
      </c>
    </row>
    <row r="26" spans="1:34" s="2208" customFormat="1" ht="14.45" customHeight="1">
      <c r="A26" s="2201" t="s">
        <v>2109</v>
      </c>
      <c r="B26" s="2202">
        <f t="shared" ref="B26:C28" si="16">B27*(1+N26)</f>
        <v>431.80730811680002</v>
      </c>
      <c r="C26" s="2202">
        <f t="shared" si="16"/>
        <v>320.57880516480003</v>
      </c>
      <c r="D26" s="2202">
        <f t="shared" si="2"/>
        <v>320.57880516480003</v>
      </c>
      <c r="E26" s="2202">
        <f t="shared" ref="E26:F28" si="17">E27*(1+P26)</f>
        <v>615.96110553196797</v>
      </c>
      <c r="F26" s="2202">
        <f t="shared" si="17"/>
        <v>279.46777300108801</v>
      </c>
      <c r="G26" s="3837"/>
      <c r="H26" s="2203">
        <v>3</v>
      </c>
      <c r="I26" s="2203">
        <v>2.98</v>
      </c>
      <c r="J26" s="2203">
        <v>2.11</v>
      </c>
      <c r="K26" s="2203">
        <v>3.24</v>
      </c>
      <c r="L26" s="2209">
        <v>1.72</v>
      </c>
      <c r="M26" s="2188"/>
      <c r="N26" s="2204">
        <f t="shared" si="15"/>
        <v>2.98E-2</v>
      </c>
      <c r="O26" s="2189">
        <f t="shared" si="12"/>
        <v>2.1099999999999997E-2</v>
      </c>
      <c r="P26" s="2189">
        <f t="shared" si="13"/>
        <v>3.2400000000000005E-2</v>
      </c>
      <c r="Q26" s="2189">
        <f t="shared" si="14"/>
        <v>1.72E-2</v>
      </c>
      <c r="R26" s="2205"/>
      <c r="S26" s="2204"/>
      <c r="T26" s="2189"/>
      <c r="U26" s="2189"/>
      <c r="V26" s="2189"/>
      <c r="W26" s="2206"/>
      <c r="X26" s="2206">
        <f>ROUND(SUMPRODUCT(PRODUCT(1+N26:N$39)),4)</f>
        <v>1.4034</v>
      </c>
      <c r="Y26" s="2206">
        <f>ROUND(SUMPRODUCT(PRODUCT(1+O26:O$39)),4)</f>
        <v>1.2463</v>
      </c>
      <c r="Z26" s="2206">
        <f t="shared" si="9"/>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0"/>
        <v>1.6400000000000001E-2</v>
      </c>
      <c r="AG26" s="2207">
        <f>ROUND(AVERAGE(K26:K$40)/100,4)</f>
        <v>2.7799999999999998E-2</v>
      </c>
      <c r="AH26" s="2207">
        <f>ROUND(AVERAGE(L26:L$40)/100,4)</f>
        <v>1.3899999999999999E-2</v>
      </c>
    </row>
    <row r="27" spans="1:34" s="2195" customFormat="1" ht="14.45" customHeight="1">
      <c r="A27" s="2201" t="s">
        <v>677</v>
      </c>
      <c r="B27" s="2202">
        <f t="shared" si="16"/>
        <v>419.31181600000002</v>
      </c>
      <c r="C27" s="2202">
        <f t="shared" si="16"/>
        <v>313.95436800000004</v>
      </c>
      <c r="D27" s="2202">
        <f t="shared" si="2"/>
        <v>313.95436800000004</v>
      </c>
      <c r="E27" s="2202">
        <f t="shared" si="17"/>
        <v>596.63028431999999</v>
      </c>
      <c r="F27" s="2202">
        <f t="shared" si="17"/>
        <v>274.74220703999998</v>
      </c>
      <c r="G27" s="3837"/>
      <c r="H27" s="2214">
        <v>2</v>
      </c>
      <c r="I27" s="2214">
        <v>3.4</v>
      </c>
      <c r="J27" s="2214">
        <v>2</v>
      </c>
      <c r="K27" s="2214">
        <v>3.82</v>
      </c>
      <c r="L27" s="2215">
        <v>1.68</v>
      </c>
      <c r="M27" s="2188"/>
      <c r="N27" s="2204">
        <f t="shared" si="15"/>
        <v>3.4000000000000002E-2</v>
      </c>
      <c r="O27" s="2189">
        <f t="shared" si="12"/>
        <v>0.02</v>
      </c>
      <c r="P27" s="2189">
        <f t="shared" si="13"/>
        <v>3.8199999999999998E-2</v>
      </c>
      <c r="Q27" s="2189">
        <f t="shared" si="14"/>
        <v>1.6799999999999999E-2</v>
      </c>
      <c r="R27" s="2205"/>
      <c r="S27" s="2218"/>
      <c r="T27" s="2219"/>
      <c r="U27" s="2219"/>
      <c r="V27" s="2219"/>
      <c r="W27" s="2182"/>
      <c r="X27" s="2206">
        <f>ROUND(SUMPRODUCT(PRODUCT(1+N27:N$39)),4)</f>
        <v>1.3628</v>
      </c>
      <c r="Y27" s="2206">
        <f>ROUND(SUMPRODUCT(PRODUCT(1+O27:O$39)),4)</f>
        <v>1.2205999999999999</v>
      </c>
      <c r="Z27" s="2206">
        <f t="shared" si="9"/>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0"/>
        <v>1.6E-2</v>
      </c>
      <c r="AG27" s="2207">
        <f>ROUND(AVERAGE(K27:K$40)/100,4)</f>
        <v>2.75E-2</v>
      </c>
      <c r="AH27" s="2207">
        <f>ROUND(AVERAGE(L27:L$40)/100,4)</f>
        <v>1.37E-2</v>
      </c>
    </row>
    <row r="28" spans="1:34" s="2208" customFormat="1" ht="15" customHeight="1" thickBot="1">
      <c r="A28" s="2201" t="s">
        <v>463</v>
      </c>
      <c r="B28" s="2202">
        <f t="shared" si="16"/>
        <v>405.524</v>
      </c>
      <c r="C28" s="2202">
        <f t="shared" si="16"/>
        <v>307.79840000000002</v>
      </c>
      <c r="D28" s="2202">
        <f t="shared" si="2"/>
        <v>307.79840000000002</v>
      </c>
      <c r="E28" s="2202">
        <f t="shared" si="17"/>
        <v>574.67759999999998</v>
      </c>
      <c r="F28" s="2202">
        <f t="shared" si="17"/>
        <v>270.20280000000002</v>
      </c>
      <c r="G28" s="3846"/>
      <c r="H28" s="2203">
        <v>1</v>
      </c>
      <c r="I28" s="2203">
        <v>3.45</v>
      </c>
      <c r="J28" s="2203">
        <v>1.92</v>
      </c>
      <c r="K28" s="2203">
        <v>3.92</v>
      </c>
      <c r="L28" s="2209">
        <v>1.58</v>
      </c>
      <c r="M28" s="2188"/>
      <c r="N28" s="2204">
        <f t="shared" si="15"/>
        <v>3.4500000000000003E-2</v>
      </c>
      <c r="O28" s="2189">
        <f t="shared" ref="O28:Q43" si="18">J28/100</f>
        <v>1.9199999999999998E-2</v>
      </c>
      <c r="P28" s="2189">
        <f t="shared" si="18"/>
        <v>3.9199999999999999E-2</v>
      </c>
      <c r="Q28" s="2189">
        <f t="shared" si="18"/>
        <v>1.5800000000000002E-2</v>
      </c>
      <c r="R28" s="2205"/>
      <c r="S28" s="2204">
        <f>B28/B29-1</f>
        <v>3.4499999999999975E-2</v>
      </c>
      <c r="T28" s="2189">
        <f>C28/C29-1</f>
        <v>1.9200000000000106E-2</v>
      </c>
      <c r="U28" s="2189">
        <f>D28/D29-1</f>
        <v>1.9200000000000106E-2</v>
      </c>
      <c r="V28" s="2189">
        <f>E28/E29-1</f>
        <v>3.9199999999999902E-2</v>
      </c>
      <c r="W28" s="2206"/>
      <c r="X28" s="2206">
        <f>ROUND(SUMPRODUCT(PRODUCT(1+N28:N$39)),4)</f>
        <v>1.3180000000000001</v>
      </c>
      <c r="Y28" s="2206">
        <f>ROUND(SUMPRODUCT(PRODUCT(1+O28:O$39)),4)</f>
        <v>1.1966000000000001</v>
      </c>
      <c r="Z28" s="2206">
        <f t="shared" si="9"/>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0"/>
        <v>1.5699999999999999E-2</v>
      </c>
      <c r="AG28" s="2207">
        <f>ROUND(AVERAGE(K28:K$40)/100,4)</f>
        <v>2.6599999999999999E-2</v>
      </c>
      <c r="AH28" s="2207">
        <f>ROUND(AVERAGE(L28:L$40)/100,4)</f>
        <v>1.34E-2</v>
      </c>
    </row>
    <row r="29" spans="1:34">
      <c r="A29" s="2201" t="s">
        <v>127</v>
      </c>
      <c r="B29" s="2216">
        <v>392</v>
      </c>
      <c r="C29" s="2216">
        <v>302</v>
      </c>
      <c r="D29" s="2216">
        <f t="shared" si="2"/>
        <v>302</v>
      </c>
      <c r="E29" s="2216">
        <v>553</v>
      </c>
      <c r="F29" s="2217">
        <v>266</v>
      </c>
      <c r="G29" s="3842">
        <v>2016</v>
      </c>
      <c r="H29" s="2210">
        <v>4</v>
      </c>
      <c r="I29" s="2210">
        <v>4.5599999999999996</v>
      </c>
      <c r="J29" s="2210">
        <v>2.15</v>
      </c>
      <c r="K29" s="2210">
        <v>5.32</v>
      </c>
      <c r="L29" s="2211">
        <v>1.57</v>
      </c>
      <c r="N29" s="2204">
        <f t="shared" si="15"/>
        <v>4.5599999999999995E-2</v>
      </c>
      <c r="O29" s="2189">
        <f t="shared" si="18"/>
        <v>2.1499999999999998E-2</v>
      </c>
      <c r="P29" s="2189">
        <f t="shared" si="18"/>
        <v>5.3200000000000004E-2</v>
      </c>
      <c r="Q29" s="2189">
        <f t="shared" si="18"/>
        <v>1.5700000000000002E-2</v>
      </c>
      <c r="R29" s="2205"/>
      <c r="S29" s="2218"/>
      <c r="T29" s="2219"/>
      <c r="U29" s="2219"/>
      <c r="V29" s="2219"/>
      <c r="X29" s="2188">
        <f>ROUND(SUMPRODUCT(PRODUCT(1+N29:N$39)),4)</f>
        <v>1.274</v>
      </c>
      <c r="Y29" s="2188">
        <f>ROUND(SUMPRODUCT(PRODUCT(1+O29:O$39)),4)</f>
        <v>1.1740999999999999</v>
      </c>
      <c r="Z29" s="2188">
        <f t="shared" si="9"/>
        <v>1.1740999999999999</v>
      </c>
      <c r="AA29" s="2188">
        <f>ROUND(SUMPRODUCT(PRODUCT(1+P29:P$39)),4)</f>
        <v>1.3087</v>
      </c>
      <c r="AB29" s="2188">
        <f>ROUND(SUMPRODUCT(PRODUCT(1+Q29:Q$39)),4)</f>
        <v>1.1551</v>
      </c>
      <c r="AD29" s="2189">
        <f>ROUND(AVERAGE(I29:I$40)/100,4)</f>
        <v>2.3E-2</v>
      </c>
      <c r="AE29" s="2189">
        <f>ROUND(AVERAGE(J29:J$40)/100,4)</f>
        <v>1.55E-2</v>
      </c>
      <c r="AF29" s="2189">
        <f t="shared" si="10"/>
        <v>1.55E-2</v>
      </c>
      <c r="AG29" s="2189">
        <f>ROUND(AVERAGE(K29:K$40)/100,4)</f>
        <v>2.5600000000000001E-2</v>
      </c>
      <c r="AH29" s="2189">
        <f>ROUND(AVERAGE(L29:L$40)/100,4)</f>
        <v>1.32E-2</v>
      </c>
    </row>
    <row r="30" spans="1:34">
      <c r="A30" s="2201" t="s">
        <v>126</v>
      </c>
      <c r="B30" s="2202">
        <f t="shared" ref="B30:C32" si="19">B29/(1+N29)</f>
        <v>374.90436113236416</v>
      </c>
      <c r="C30" s="2202">
        <f t="shared" si="19"/>
        <v>295.64366128242779</v>
      </c>
      <c r="D30" s="2202">
        <f t="shared" ref="D30:D89" si="20">C30</f>
        <v>295.64366128242779</v>
      </c>
      <c r="E30" s="2202">
        <f t="shared" ref="E30:F32" si="21">E29/(1+P29)</f>
        <v>525.06646410938095</v>
      </c>
      <c r="F30" s="2202">
        <f t="shared" si="21"/>
        <v>261.88835286009646</v>
      </c>
      <c r="G30" s="3837"/>
      <c r="H30" s="2203">
        <v>3</v>
      </c>
      <c r="I30" s="2203">
        <v>4.12</v>
      </c>
      <c r="J30" s="2203">
        <v>2</v>
      </c>
      <c r="K30" s="2203">
        <v>4.79</v>
      </c>
      <c r="L30" s="2209">
        <v>1.97</v>
      </c>
      <c r="N30" s="2204">
        <f t="shared" ref="N30:Q64" si="22">I30/100</f>
        <v>4.1200000000000001E-2</v>
      </c>
      <c r="O30" s="2189">
        <f t="shared" si="18"/>
        <v>0.02</v>
      </c>
      <c r="P30" s="2189">
        <f t="shared" si="18"/>
        <v>4.7899999999999998E-2</v>
      </c>
      <c r="Q30" s="2189">
        <f t="shared" si="18"/>
        <v>1.9699999999999999E-2</v>
      </c>
      <c r="R30" s="2205"/>
      <c r="S30" s="2204"/>
      <c r="T30" s="2189"/>
      <c r="U30" s="2189"/>
      <c r="V30" s="2189"/>
      <c r="X30" s="2188">
        <f>ROUND(SUMPRODUCT(PRODUCT(1+N30:N$39)),4)</f>
        <v>1.2184999999999999</v>
      </c>
      <c r="Y30" s="2188">
        <f>ROUND(SUMPRODUCT(PRODUCT(1+O30:O$39)),4)</f>
        <v>1.1494</v>
      </c>
      <c r="Z30" s="2188">
        <f t="shared" si="9"/>
        <v>1.1494</v>
      </c>
      <c r="AA30" s="2188">
        <f>ROUND(SUMPRODUCT(PRODUCT(1+P30:P$39)),4)</f>
        <v>1.2425999999999999</v>
      </c>
      <c r="AB30" s="2188">
        <f>ROUND(SUMPRODUCT(PRODUCT(1+Q30:Q$39)),4)</f>
        <v>1.1372</v>
      </c>
      <c r="AD30" s="2189">
        <f>ROUND(AVERAGE(I30:I$40)/100,4)</f>
        <v>2.0899999999999998E-2</v>
      </c>
      <c r="AE30" s="2189">
        <f>ROUND(AVERAGE(J30:J$40)/100,4)</f>
        <v>1.49E-2</v>
      </c>
      <c r="AF30" s="2189">
        <f t="shared" si="10"/>
        <v>1.49E-2</v>
      </c>
      <c r="AG30" s="2189">
        <f>ROUND(AVERAGE(K30:K$40)/100,4)</f>
        <v>2.3099999999999999E-2</v>
      </c>
      <c r="AH30" s="2189">
        <f>ROUND(AVERAGE(L30:L$40)/100,4)</f>
        <v>1.2999999999999999E-2</v>
      </c>
    </row>
    <row r="31" spans="1:34">
      <c r="A31" s="2201" t="s">
        <v>116</v>
      </c>
      <c r="B31" s="2202">
        <f t="shared" si="19"/>
        <v>360.06949782209392</v>
      </c>
      <c r="C31" s="2202">
        <f t="shared" si="19"/>
        <v>289.84672674747821</v>
      </c>
      <c r="D31" s="2202">
        <f t="shared" si="20"/>
        <v>289.84672674747821</v>
      </c>
      <c r="E31" s="2202">
        <f t="shared" si="21"/>
        <v>501.06543001181495</v>
      </c>
      <c r="F31" s="2202">
        <f t="shared" si="21"/>
        <v>256.82882500744967</v>
      </c>
      <c r="G31" s="3837"/>
      <c r="H31" s="2214">
        <v>2</v>
      </c>
      <c r="I31" s="2214">
        <v>3.85</v>
      </c>
      <c r="J31" s="2214">
        <v>1.95</v>
      </c>
      <c r="K31" s="2214">
        <v>4.4800000000000004</v>
      </c>
      <c r="L31" s="2215">
        <v>1.41</v>
      </c>
      <c r="N31" s="2204">
        <f t="shared" si="22"/>
        <v>3.85E-2</v>
      </c>
      <c r="O31" s="2189">
        <f t="shared" si="18"/>
        <v>1.95E-2</v>
      </c>
      <c r="P31" s="2189">
        <f t="shared" si="18"/>
        <v>4.4800000000000006E-2</v>
      </c>
      <c r="Q31" s="2189">
        <f t="shared" si="18"/>
        <v>1.41E-2</v>
      </c>
      <c r="R31" s="2205"/>
      <c r="S31" s="2204"/>
      <c r="T31" s="2189"/>
      <c r="U31" s="2189"/>
      <c r="V31" s="2189"/>
      <c r="X31" s="2188">
        <f>ROUND(SUMPRODUCT(PRODUCT(1+N31:N$39)),4)</f>
        <v>1.1702999999999999</v>
      </c>
      <c r="Y31" s="2188">
        <f>ROUND(SUMPRODUCT(PRODUCT(1+O31:O$39)),4)</f>
        <v>1.1269</v>
      </c>
      <c r="Z31" s="2188">
        <f t="shared" si="9"/>
        <v>1.1269</v>
      </c>
      <c r="AA31" s="2188">
        <f>ROUND(SUMPRODUCT(PRODUCT(1+P31:P$39)),4)</f>
        <v>1.1858</v>
      </c>
      <c r="AB31" s="2188">
        <f>ROUND(SUMPRODUCT(PRODUCT(1+Q31:Q$39)),4)</f>
        <v>1.1152</v>
      </c>
      <c r="AD31" s="2189">
        <f>ROUND(AVERAGE(I31:I$40)/100,4)</f>
        <v>1.89E-2</v>
      </c>
      <c r="AE31" s="2189">
        <f>ROUND(AVERAGE(J31:J$40)/100,4)</f>
        <v>1.44E-2</v>
      </c>
      <c r="AF31" s="2189">
        <f t="shared" si="10"/>
        <v>1.44E-2</v>
      </c>
      <c r="AG31" s="2189">
        <f>ROUND(AVERAGE(K31:K$40)/100,4)</f>
        <v>2.06E-2</v>
      </c>
      <c r="AH31" s="2189">
        <f>ROUND(AVERAGE(L31:L$40)/100,4)</f>
        <v>1.23E-2</v>
      </c>
    </row>
    <row r="32" spans="1:34" ht="13.5" thickBot="1">
      <c r="A32" s="2201" t="s">
        <v>125</v>
      </c>
      <c r="B32" s="2202">
        <f t="shared" si="19"/>
        <v>346.720748986128</v>
      </c>
      <c r="C32" s="2202">
        <f t="shared" si="19"/>
        <v>284.30282172386285</v>
      </c>
      <c r="D32" s="2202">
        <f t="shared" si="20"/>
        <v>284.30282172386285</v>
      </c>
      <c r="E32" s="2202">
        <f t="shared" si="21"/>
        <v>479.58023546306947</v>
      </c>
      <c r="F32" s="2202">
        <f t="shared" si="21"/>
        <v>253.25788877571213</v>
      </c>
      <c r="G32" s="3838"/>
      <c r="H32" s="2203">
        <v>1</v>
      </c>
      <c r="I32" s="2203">
        <v>4.09</v>
      </c>
      <c r="J32" s="2203">
        <v>2.93</v>
      </c>
      <c r="K32" s="2203">
        <v>4.54</v>
      </c>
      <c r="L32" s="2209">
        <v>1.48</v>
      </c>
      <c r="N32" s="2204">
        <f t="shared" si="22"/>
        <v>4.0899999999999999E-2</v>
      </c>
      <c r="O32" s="2189">
        <f t="shared" si="18"/>
        <v>2.9300000000000003E-2</v>
      </c>
      <c r="P32" s="2189">
        <f t="shared" si="18"/>
        <v>4.5400000000000003E-2</v>
      </c>
      <c r="Q32" s="2189">
        <f t="shared" si="18"/>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9"/>
        <v>1.1052999999999999</v>
      </c>
      <c r="AA32" s="2188">
        <f>ROUND(SUMPRODUCT(PRODUCT(1+P32:P$39)),4)</f>
        <v>1.1349</v>
      </c>
      <c r="AB32" s="2188">
        <f>ROUND(SUMPRODUCT(PRODUCT(1+Q32:Q$39)),4)</f>
        <v>1.0996999999999999</v>
      </c>
      <c r="AD32" s="2189">
        <f>ROUND(AVERAGE(I32:I$40)/100,4)</f>
        <v>1.67E-2</v>
      </c>
      <c r="AE32" s="2189">
        <f>ROUND(AVERAGE(J32:J$40)/100,4)</f>
        <v>1.38E-2</v>
      </c>
      <c r="AF32" s="2189">
        <f t="shared" si="10"/>
        <v>1.38E-2</v>
      </c>
      <c r="AG32" s="2189">
        <f>ROUND(AVERAGE(K32:K$40)/100,4)</f>
        <v>1.7899999999999999E-2</v>
      </c>
      <c r="AH32" s="2189">
        <f>ROUND(AVERAGE(L32:L$40)/100,4)</f>
        <v>1.21E-2</v>
      </c>
    </row>
    <row r="33" spans="1:34" ht="13.5" thickBot="1">
      <c r="A33" s="2201" t="s">
        <v>124</v>
      </c>
      <c r="B33" s="2216">
        <v>333</v>
      </c>
      <c r="C33" s="2216">
        <v>277</v>
      </c>
      <c r="D33" s="2216">
        <f t="shared" si="20"/>
        <v>277</v>
      </c>
      <c r="E33" s="2216">
        <v>459</v>
      </c>
      <c r="F33" s="2217">
        <v>249</v>
      </c>
      <c r="G33" s="3836">
        <v>2015</v>
      </c>
      <c r="H33" s="2222">
        <v>4</v>
      </c>
      <c r="I33" s="2222">
        <v>1.63</v>
      </c>
      <c r="J33" s="2222">
        <v>1.1100000000000001</v>
      </c>
      <c r="K33" s="2222">
        <v>1.77</v>
      </c>
      <c r="L33" s="2223">
        <v>1.89</v>
      </c>
      <c r="N33" s="2224">
        <f t="shared" si="22"/>
        <v>1.6299999999999999E-2</v>
      </c>
      <c r="O33" s="2225">
        <f t="shared" si="18"/>
        <v>1.11E-2</v>
      </c>
      <c r="P33" s="2225">
        <f t="shared" si="18"/>
        <v>1.77E-2</v>
      </c>
      <c r="Q33" s="2225">
        <f t="shared" si="18"/>
        <v>1.89E-2</v>
      </c>
      <c r="R33" s="2205"/>
      <c r="X33" s="2188">
        <f>ROUND(SUMPRODUCT(PRODUCT(1+N33:N$39)),4)</f>
        <v>1.0826</v>
      </c>
      <c r="Y33" s="2188">
        <f>ROUND(SUMPRODUCT(PRODUCT(1+O33:O$39)),4)</f>
        <v>1.0738000000000001</v>
      </c>
      <c r="Z33" s="2188">
        <f t="shared" si="9"/>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0"/>
        <v>1.1900000000000001E-2</v>
      </c>
      <c r="AG33" s="2189">
        <f>ROUND(AVERAGE(K33:K$40)/100,4)</f>
        <v>1.4500000000000001E-2</v>
      </c>
      <c r="AH33" s="2189">
        <f>ROUND(AVERAGE(L33:L$40)/100,4)</f>
        <v>1.18E-2</v>
      </c>
    </row>
    <row r="34" spans="1:34">
      <c r="A34" s="2201" t="s">
        <v>123</v>
      </c>
      <c r="B34" s="2202">
        <f t="shared" ref="B34:C36" si="23">B33/(1+N33)</f>
        <v>327.65915576109415</v>
      </c>
      <c r="C34" s="2202">
        <f t="shared" si="23"/>
        <v>273.95905449510434</v>
      </c>
      <c r="D34" s="2202">
        <f t="shared" si="20"/>
        <v>273.95905449510434</v>
      </c>
      <c r="E34" s="2202">
        <f t="shared" ref="E34:F36" si="24">E33/(1+P33)</f>
        <v>451.01699911565294</v>
      </c>
      <c r="F34" s="2202">
        <f t="shared" si="24"/>
        <v>244.38119540681129</v>
      </c>
      <c r="G34" s="3837"/>
      <c r="H34" s="2227">
        <v>3</v>
      </c>
      <c r="I34" s="2227">
        <v>1.65</v>
      </c>
      <c r="J34" s="2227">
        <v>0.92</v>
      </c>
      <c r="K34" s="2227">
        <v>1.88</v>
      </c>
      <c r="L34" s="2228">
        <v>1.26</v>
      </c>
      <c r="N34" s="2204">
        <f t="shared" si="22"/>
        <v>1.6500000000000001E-2</v>
      </c>
      <c r="O34" s="2229">
        <f t="shared" si="18"/>
        <v>9.1999999999999998E-3</v>
      </c>
      <c r="P34" s="2229">
        <f t="shared" si="18"/>
        <v>1.8799999999999997E-2</v>
      </c>
      <c r="Q34" s="2229">
        <f t="shared" si="18"/>
        <v>1.26E-2</v>
      </c>
      <c r="R34" s="2205"/>
      <c r="S34" s="2204"/>
      <c r="T34" s="2189"/>
      <c r="U34" s="2189"/>
      <c r="V34" s="2189"/>
      <c r="X34" s="2188">
        <f>ROUND(SUMPRODUCT(PRODUCT(1+N34:N$39)),4)</f>
        <v>1.0651999999999999</v>
      </c>
      <c r="Y34" s="2188">
        <f>ROUND(SUMPRODUCT(PRODUCT(1+O34:O$39)),4)</f>
        <v>1.0621</v>
      </c>
      <c r="Z34" s="2188">
        <f t="shared" si="9"/>
        <v>1.0621</v>
      </c>
      <c r="AA34" s="2188">
        <f>ROUND(SUMPRODUCT(PRODUCT(1+P34:P$39)),4)</f>
        <v>1.0668</v>
      </c>
      <c r="AB34" s="2188">
        <f>ROUND(SUMPRODUCT(PRODUCT(1+Q34:Q$39)),4)</f>
        <v>1.0636000000000001</v>
      </c>
      <c r="AD34" s="2189">
        <f>ROUND(AVERAGE(I34:I$40)/100,4)</f>
        <v>1.3299999999999999E-2</v>
      </c>
      <c r="AE34" s="2189">
        <f>ROUND(AVERAGE(J34:J$40)/100,4)</f>
        <v>1.2E-2</v>
      </c>
      <c r="AF34" s="2189">
        <f t="shared" si="10"/>
        <v>1.2E-2</v>
      </c>
      <c r="AG34" s="2189">
        <f>ROUND(AVERAGE(K34:K$40)/100,4)</f>
        <v>1.4E-2</v>
      </c>
      <c r="AH34" s="2189">
        <f>ROUND(AVERAGE(L34:L$40)/100,4)</f>
        <v>1.0800000000000001E-2</v>
      </c>
    </row>
    <row r="35" spans="1:34">
      <c r="A35" s="2201" t="s">
        <v>122</v>
      </c>
      <c r="B35" s="2202">
        <f t="shared" si="23"/>
        <v>322.34053690220776</v>
      </c>
      <c r="C35" s="2202">
        <f t="shared" si="23"/>
        <v>271.46160770422546</v>
      </c>
      <c r="D35" s="2202">
        <f t="shared" si="20"/>
        <v>271.46160770422546</v>
      </c>
      <c r="E35" s="2202">
        <f t="shared" si="24"/>
        <v>442.69434542172456</v>
      </c>
      <c r="F35" s="2202">
        <f t="shared" si="24"/>
        <v>241.34030753190925</v>
      </c>
      <c r="G35" s="3837"/>
      <c r="H35" s="2214">
        <v>2</v>
      </c>
      <c r="I35" s="2214">
        <v>0.77</v>
      </c>
      <c r="J35" s="2214">
        <v>0.69</v>
      </c>
      <c r="K35" s="2214">
        <v>0.8</v>
      </c>
      <c r="L35" s="2215">
        <v>0.88</v>
      </c>
      <c r="N35" s="2204">
        <f t="shared" si="22"/>
        <v>7.7000000000000002E-3</v>
      </c>
      <c r="O35" s="2229">
        <f t="shared" si="18"/>
        <v>6.8999999999999999E-3</v>
      </c>
      <c r="P35" s="2229">
        <f t="shared" si="18"/>
        <v>8.0000000000000002E-3</v>
      </c>
      <c r="Q35" s="2229">
        <f t="shared" si="18"/>
        <v>8.8000000000000005E-3</v>
      </c>
      <c r="R35" s="2205"/>
      <c r="S35" s="2204"/>
      <c r="T35" s="2189"/>
      <c r="U35" s="2189"/>
      <c r="V35" s="2189"/>
      <c r="X35" s="2188">
        <f>ROUND(SUMPRODUCT(PRODUCT(1+N35:N$39)),4)</f>
        <v>1.048</v>
      </c>
      <c r="Y35" s="2188">
        <f>ROUND(SUMPRODUCT(PRODUCT(1+O35:O$39)),4)</f>
        <v>1.0524</v>
      </c>
      <c r="Z35" s="2188">
        <f t="shared" si="9"/>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0"/>
        <v>1.2500000000000001E-2</v>
      </c>
      <c r="AG35" s="2189">
        <f>ROUND(AVERAGE(K35:K$40)/100,4)</f>
        <v>1.32E-2</v>
      </c>
      <c r="AH35" s="2189">
        <f>ROUND(AVERAGE(L35:L$40)/100,4)</f>
        <v>1.0500000000000001E-2</v>
      </c>
    </row>
    <row r="36" spans="1:34">
      <c r="A36" s="2201" t="s">
        <v>121</v>
      </c>
      <c r="B36" s="2202">
        <f t="shared" si="23"/>
        <v>319.87748030386797</v>
      </c>
      <c r="C36" s="2202">
        <f t="shared" si="23"/>
        <v>269.60135833173649</v>
      </c>
      <c r="D36" s="2202">
        <f t="shared" si="20"/>
        <v>269.60135833173649</v>
      </c>
      <c r="E36" s="2202">
        <f t="shared" si="24"/>
        <v>439.18089823583784</v>
      </c>
      <c r="F36" s="2202">
        <f t="shared" si="24"/>
        <v>239.23503918706311</v>
      </c>
      <c r="G36" s="3838"/>
      <c r="H36" s="2203">
        <v>1</v>
      </c>
      <c r="I36" s="2203">
        <v>0.51</v>
      </c>
      <c r="J36" s="2203">
        <v>0.54</v>
      </c>
      <c r="K36" s="2203">
        <v>0.48</v>
      </c>
      <c r="L36" s="2209">
        <v>0.93</v>
      </c>
      <c r="N36" s="2220">
        <f t="shared" si="22"/>
        <v>5.1000000000000004E-3</v>
      </c>
      <c r="O36" s="2221">
        <f t="shared" si="18"/>
        <v>5.4000000000000003E-3</v>
      </c>
      <c r="P36" s="2221">
        <f t="shared" si="18"/>
        <v>4.7999999999999996E-3</v>
      </c>
      <c r="Q36" s="2221">
        <f t="shared" si="18"/>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9"/>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0"/>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0"/>
        <v>268</v>
      </c>
      <c r="E37" s="2230">
        <v>437</v>
      </c>
      <c r="F37" s="2231">
        <v>237</v>
      </c>
      <c r="G37" s="3836">
        <v>2014</v>
      </c>
      <c r="H37" s="2222">
        <v>4</v>
      </c>
      <c r="I37" s="2222">
        <v>0.21</v>
      </c>
      <c r="J37" s="2222">
        <v>0.41</v>
      </c>
      <c r="K37" s="2222">
        <v>0.12</v>
      </c>
      <c r="L37" s="2223">
        <v>0.89</v>
      </c>
      <c r="N37" s="2204">
        <f t="shared" si="22"/>
        <v>2.0999999999999999E-3</v>
      </c>
      <c r="O37" s="2189">
        <f t="shared" si="18"/>
        <v>4.0999999999999995E-3</v>
      </c>
      <c r="P37" s="2189">
        <f t="shared" si="18"/>
        <v>1.1999999999999999E-3</v>
      </c>
      <c r="Q37" s="2189">
        <f t="shared" si="18"/>
        <v>8.8999999999999999E-3</v>
      </c>
      <c r="R37" s="2205"/>
      <c r="S37" s="2218"/>
      <c r="T37" s="2219"/>
      <c r="U37" s="2219"/>
      <c r="V37" s="2219"/>
      <c r="X37" s="2188">
        <f>ROUND(SUMPRODUCT(PRODUCT(1+N37:N$39)),4)</f>
        <v>1.0347</v>
      </c>
      <c r="Y37" s="2188">
        <f>ROUND(SUMPRODUCT(PRODUCT(1+O37:O$39)),4)</f>
        <v>1.0395000000000001</v>
      </c>
      <c r="Z37" s="2188">
        <f t="shared" si="9"/>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0"/>
        <v>1.5599999999999999E-2</v>
      </c>
      <c r="AG37" s="2189">
        <f>ROUND(AVERAGE(K37:K$40)/100,4)</f>
        <v>1.66E-2</v>
      </c>
      <c r="AH37" s="2189">
        <f>ROUND(AVERAGE(L37:L$40)/100,4)</f>
        <v>1.12E-2</v>
      </c>
    </row>
    <row r="38" spans="1:34">
      <c r="A38" s="2201" t="s">
        <v>119</v>
      </c>
      <c r="B38" s="2202">
        <f t="shared" ref="B38:C40" si="25">B37/(1+N37)</f>
        <v>317.33359944117353</v>
      </c>
      <c r="C38" s="2202">
        <f t="shared" si="25"/>
        <v>266.90568668459315</v>
      </c>
      <c r="D38" s="2202">
        <f t="shared" si="20"/>
        <v>266.90568668459315</v>
      </c>
      <c r="E38" s="2202">
        <f t="shared" ref="E38:F40" si="26">E37/(1+P37)</f>
        <v>436.47622852576905</v>
      </c>
      <c r="F38" s="2202">
        <f t="shared" si="26"/>
        <v>234.90930716622066</v>
      </c>
      <c r="G38" s="3837"/>
      <c r="H38" s="2232">
        <v>3</v>
      </c>
      <c r="I38" s="2232">
        <v>0.83</v>
      </c>
      <c r="J38" s="2232">
        <v>1.47</v>
      </c>
      <c r="K38" s="2232">
        <v>0.65</v>
      </c>
      <c r="L38" s="2233">
        <v>0.72</v>
      </c>
      <c r="N38" s="2204">
        <f t="shared" si="22"/>
        <v>8.3000000000000001E-3</v>
      </c>
      <c r="O38" s="2189">
        <f t="shared" si="18"/>
        <v>1.47E-2</v>
      </c>
      <c r="P38" s="2189">
        <f t="shared" si="18"/>
        <v>6.5000000000000006E-3</v>
      </c>
      <c r="Q38" s="2189">
        <f t="shared" si="18"/>
        <v>7.1999999999999998E-3</v>
      </c>
      <c r="R38" s="2205"/>
      <c r="S38" s="2204"/>
      <c r="T38" s="2189"/>
      <c r="U38" s="2189"/>
      <c r="V38" s="2189"/>
      <c r="X38" s="2188">
        <f>ROUND(SUMPRODUCT(PRODUCT(1+N38:N$39)),4)</f>
        <v>1.0325</v>
      </c>
      <c r="Y38" s="2188">
        <f>ROUND(SUMPRODUCT(PRODUCT(1+O38:O$39)),4)</f>
        <v>1.0353000000000001</v>
      </c>
      <c r="Z38" s="2188">
        <f t="shared" si="9"/>
        <v>1.0353000000000001</v>
      </c>
      <c r="AA38" s="2188">
        <f>ROUND(SUMPRODUCT(PRODUCT(1+P38:P$39)),4)</f>
        <v>1.0326</v>
      </c>
      <c r="AB38" s="2188">
        <f>ROUND(SUMPRODUCT(PRODUCT(1+Q38:Q$39)),4)</f>
        <v>1.0225</v>
      </c>
      <c r="AD38" s="2189">
        <f>ROUND(AVERAGE(I38:I$40)/100,4)</f>
        <v>2.07E-2</v>
      </c>
      <c r="AE38" s="2189">
        <f>ROUND(AVERAGE(J38:J$40)/100,4)</f>
        <v>1.95E-2</v>
      </c>
      <c r="AF38" s="2189">
        <f t="shared" si="10"/>
        <v>1.95E-2</v>
      </c>
      <c r="AG38" s="2189">
        <f>ROUND(AVERAGE(K38:K$40)/100,4)</f>
        <v>2.1700000000000001E-2</v>
      </c>
      <c r="AH38" s="2189">
        <f>ROUND(AVERAGE(L38:L$40)/100,4)</f>
        <v>1.2E-2</v>
      </c>
    </row>
    <row r="39" spans="1:34" ht="13.5" thickBot="1">
      <c r="A39" s="2201" t="s">
        <v>118</v>
      </c>
      <c r="B39" s="2202">
        <f t="shared" si="25"/>
        <v>314.72141172386546</v>
      </c>
      <c r="C39" s="2202">
        <f t="shared" si="25"/>
        <v>263.03901319069001</v>
      </c>
      <c r="D39" s="2202">
        <f t="shared" si="20"/>
        <v>263.03901319069001</v>
      </c>
      <c r="E39" s="2202">
        <f t="shared" si="26"/>
        <v>433.65745506782821</v>
      </c>
      <c r="F39" s="2202">
        <f t="shared" si="26"/>
        <v>233.23005080045735</v>
      </c>
      <c r="G39" s="3837"/>
      <c r="H39" s="2222">
        <v>2</v>
      </c>
      <c r="I39" s="2222">
        <v>2.4</v>
      </c>
      <c r="J39" s="2222">
        <v>2.0299999999999998</v>
      </c>
      <c r="K39" s="2222">
        <v>2.59</v>
      </c>
      <c r="L39" s="2223">
        <v>1.52</v>
      </c>
      <c r="N39" s="2204">
        <f t="shared" si="22"/>
        <v>2.4E-2</v>
      </c>
      <c r="O39" s="2189">
        <f t="shared" si="18"/>
        <v>2.0299999999999999E-2</v>
      </c>
      <c r="P39" s="2189">
        <f t="shared" si="18"/>
        <v>2.5899999999999999E-2</v>
      </c>
      <c r="Q39" s="2189">
        <f t="shared" si="18"/>
        <v>1.52E-2</v>
      </c>
      <c r="R39" s="2205"/>
      <c r="S39" s="2204"/>
      <c r="T39" s="2189"/>
      <c r="U39" s="2189"/>
      <c r="V39" s="2189"/>
      <c r="X39" s="2188">
        <f>1+N39</f>
        <v>1.024</v>
      </c>
      <c r="Y39" s="2188">
        <f>1+O39</f>
        <v>1.0203</v>
      </c>
      <c r="Z39" s="2188">
        <f t="shared" si="9"/>
        <v>1.0203</v>
      </c>
      <c r="AA39" s="2188">
        <f>1+P39</f>
        <v>1.0259</v>
      </c>
      <c r="AB39" s="2188">
        <f>1+Q39</f>
        <v>1.0152000000000001</v>
      </c>
      <c r="AD39" s="2189">
        <f>ROUND(AVERAGE(I39:I$40)/100,4)</f>
        <v>2.69E-2</v>
      </c>
      <c r="AE39" s="2189">
        <f>ROUND(AVERAGE(J39:J$40)/100,4)</f>
        <v>2.1899999999999999E-2</v>
      </c>
      <c r="AF39" s="2189">
        <f t="shared" si="10"/>
        <v>2.1899999999999999E-2</v>
      </c>
      <c r="AG39" s="2189">
        <f>ROUND(AVERAGE(K39:K$40)/100,4)</f>
        <v>2.9399999999999999E-2</v>
      </c>
      <c r="AH39" s="2189">
        <f>ROUND(AVERAGE(L39:L$40)/100,4)</f>
        <v>1.44E-2</v>
      </c>
    </row>
    <row r="40" spans="1:34" s="2238" customFormat="1" ht="13.5" thickBot="1">
      <c r="A40" s="2234" t="s">
        <v>117</v>
      </c>
      <c r="B40" s="2235">
        <f t="shared" si="25"/>
        <v>307.34512863658733</v>
      </c>
      <c r="C40" s="2235">
        <f t="shared" si="25"/>
        <v>257.80556031626975</v>
      </c>
      <c r="D40" s="2235">
        <f t="shared" si="20"/>
        <v>257.80556031626975</v>
      </c>
      <c r="E40" s="2235">
        <f t="shared" si="26"/>
        <v>422.70928459677179</v>
      </c>
      <c r="F40" s="2235">
        <f t="shared" si="26"/>
        <v>229.73803270336617</v>
      </c>
      <c r="G40" s="3838"/>
      <c r="H40" s="2236">
        <v>1</v>
      </c>
      <c r="I40" s="2236">
        <v>2.97</v>
      </c>
      <c r="J40" s="2236">
        <v>2.34</v>
      </c>
      <c r="K40" s="2236">
        <v>3.28</v>
      </c>
      <c r="L40" s="2237">
        <v>1.36</v>
      </c>
      <c r="N40" s="2239">
        <f t="shared" si="22"/>
        <v>2.9700000000000001E-2</v>
      </c>
      <c r="O40" s="2240">
        <f t="shared" si="18"/>
        <v>2.3399999999999997E-2</v>
      </c>
      <c r="P40" s="2240">
        <f t="shared" si="18"/>
        <v>3.2799999999999996E-2</v>
      </c>
      <c r="Q40" s="2240">
        <f t="shared" si="18"/>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 t="shared" si="10"/>
        <v>2.3399999999999997E-2</v>
      </c>
      <c r="AG40" s="2240">
        <f>K40/100</f>
        <v>3.2799999999999996E-2</v>
      </c>
      <c r="AH40" s="2240">
        <f>L40/100</f>
        <v>1.3600000000000001E-2</v>
      </c>
    </row>
    <row r="41" spans="1:34" ht="13.5" thickBot="1">
      <c r="A41" s="2201" t="s">
        <v>465</v>
      </c>
      <c r="B41" s="2216">
        <v>299</v>
      </c>
      <c r="C41" s="2216">
        <v>252</v>
      </c>
      <c r="D41" s="2216">
        <f t="shared" si="20"/>
        <v>252</v>
      </c>
      <c r="E41" s="2216">
        <v>409</v>
      </c>
      <c r="F41" s="2217">
        <v>227</v>
      </c>
      <c r="G41" s="3843">
        <v>2013</v>
      </c>
      <c r="H41" s="2246">
        <v>4</v>
      </c>
      <c r="I41" s="2246">
        <v>1.83</v>
      </c>
      <c r="J41" s="2246">
        <v>1.68</v>
      </c>
      <c r="K41" s="2246">
        <v>1.97</v>
      </c>
      <c r="L41" s="2247">
        <v>0.87</v>
      </c>
      <c r="N41" s="2224">
        <f t="shared" si="22"/>
        <v>1.83E-2</v>
      </c>
      <c r="O41" s="2225">
        <f t="shared" si="18"/>
        <v>1.6799999999999999E-2</v>
      </c>
      <c r="P41" s="2225">
        <f t="shared" si="18"/>
        <v>1.9699999999999999E-2</v>
      </c>
      <c r="Q41" s="2225">
        <f t="shared" si="18"/>
        <v>8.6999999999999994E-3</v>
      </c>
      <c r="R41" s="2205"/>
      <c r="S41" s="2218"/>
      <c r="T41" s="2219"/>
      <c r="U41" s="2219"/>
      <c r="V41" s="2219"/>
      <c r="X41" s="2219"/>
      <c r="Y41" s="2219"/>
      <c r="Z41" s="2219"/>
    </row>
    <row r="42" spans="1:34">
      <c r="A42" s="2201" t="s">
        <v>466</v>
      </c>
      <c r="B42" s="2202">
        <f t="shared" ref="B42:C44" si="27">B41/(1+N41)</f>
        <v>293.62663262299913</v>
      </c>
      <c r="C42" s="2202">
        <f t="shared" si="27"/>
        <v>247.83634933123525</v>
      </c>
      <c r="D42" s="2202">
        <f t="shared" si="20"/>
        <v>247.83634933123525</v>
      </c>
      <c r="E42" s="2202">
        <f t="shared" ref="E42:F44" si="28">E41/(1+P41)</f>
        <v>401.09836226341076</v>
      </c>
      <c r="F42" s="2202">
        <f t="shared" si="28"/>
        <v>225.04213343908003</v>
      </c>
      <c r="G42" s="3844"/>
      <c r="H42" s="2227">
        <v>3</v>
      </c>
      <c r="I42" s="2227">
        <v>1.86</v>
      </c>
      <c r="J42" s="2227">
        <v>1.72</v>
      </c>
      <c r="K42" s="2227">
        <v>1.98</v>
      </c>
      <c r="L42" s="2228">
        <v>0.88</v>
      </c>
      <c r="N42" s="2204">
        <f t="shared" si="22"/>
        <v>1.8600000000000002E-2</v>
      </c>
      <c r="O42" s="2229">
        <f t="shared" si="18"/>
        <v>1.72E-2</v>
      </c>
      <c r="P42" s="2229">
        <f t="shared" si="18"/>
        <v>1.9799999999999998E-2</v>
      </c>
      <c r="Q42" s="2229">
        <f t="shared" si="18"/>
        <v>8.8000000000000005E-3</v>
      </c>
      <c r="R42" s="2205"/>
      <c r="S42" s="2204"/>
      <c r="T42" s="2189"/>
      <c r="U42" s="2189"/>
      <c r="V42" s="2189"/>
    </row>
    <row r="43" spans="1:34">
      <c r="A43" s="2201" t="s">
        <v>467</v>
      </c>
      <c r="B43" s="2202">
        <f t="shared" si="27"/>
        <v>288.2649053828776</v>
      </c>
      <c r="C43" s="2202">
        <f t="shared" si="27"/>
        <v>243.64564425013293</v>
      </c>
      <c r="D43" s="2202">
        <f t="shared" si="20"/>
        <v>243.64564425013293</v>
      </c>
      <c r="E43" s="2202">
        <f t="shared" si="28"/>
        <v>393.31080825986544</v>
      </c>
      <c r="F43" s="2202">
        <f t="shared" si="28"/>
        <v>223.07903790551154</v>
      </c>
      <c r="G43" s="3844"/>
      <c r="H43" s="2214">
        <v>2</v>
      </c>
      <c r="I43" s="2214">
        <v>2.04</v>
      </c>
      <c r="J43" s="2214">
        <v>2.33</v>
      </c>
      <c r="K43" s="2214">
        <v>2.0699999999999998</v>
      </c>
      <c r="L43" s="2215">
        <v>0.69</v>
      </c>
      <c r="N43" s="2204">
        <f t="shared" si="22"/>
        <v>2.0400000000000001E-2</v>
      </c>
      <c r="O43" s="2229">
        <f t="shared" si="18"/>
        <v>2.3300000000000001E-2</v>
      </c>
      <c r="P43" s="2229">
        <f t="shared" si="18"/>
        <v>2.07E-2</v>
      </c>
      <c r="Q43" s="2229">
        <f t="shared" si="18"/>
        <v>6.8999999999999999E-3</v>
      </c>
      <c r="R43" s="2205"/>
      <c r="S43" s="2204"/>
      <c r="T43" s="2189"/>
      <c r="U43" s="2189"/>
      <c r="V43" s="2189"/>
      <c r="X43" s="2248"/>
      <c r="Y43" s="2249"/>
    </row>
    <row r="44" spans="1:34">
      <c r="A44" s="2201" t="s">
        <v>468</v>
      </c>
      <c r="B44" s="2202">
        <f t="shared" si="27"/>
        <v>282.50186729015837</v>
      </c>
      <c r="C44" s="2202">
        <f t="shared" si="27"/>
        <v>238.09796174155468</v>
      </c>
      <c r="D44" s="2202">
        <f t="shared" si="20"/>
        <v>238.09796174155468</v>
      </c>
      <c r="E44" s="2202">
        <f t="shared" si="28"/>
        <v>385.33438646014054</v>
      </c>
      <c r="F44" s="2202">
        <f t="shared" si="28"/>
        <v>221.55034055567739</v>
      </c>
      <c r="G44" s="3845"/>
      <c r="H44" s="2203">
        <v>1</v>
      </c>
      <c r="I44" s="2203">
        <v>1.67</v>
      </c>
      <c r="J44" s="2203">
        <v>1.31</v>
      </c>
      <c r="K44" s="2203">
        <v>1.85</v>
      </c>
      <c r="L44" s="2209">
        <v>0.96</v>
      </c>
      <c r="N44" s="2220">
        <f t="shared" si="22"/>
        <v>1.67E-2</v>
      </c>
      <c r="O44" s="2221">
        <f t="shared" si="22"/>
        <v>1.3100000000000001E-2</v>
      </c>
      <c r="P44" s="2221">
        <f t="shared" si="22"/>
        <v>1.8500000000000003E-2</v>
      </c>
      <c r="Q44" s="2221">
        <f t="shared" si="22"/>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0"/>
        <v>234</v>
      </c>
      <c r="E45" s="2251">
        <v>379</v>
      </c>
      <c r="F45" s="2252">
        <v>220</v>
      </c>
      <c r="G45" s="3836">
        <v>2012</v>
      </c>
      <c r="H45" s="2222">
        <v>4</v>
      </c>
      <c r="I45" s="2222">
        <v>0.91</v>
      </c>
      <c r="J45" s="2222">
        <v>0.68</v>
      </c>
      <c r="K45" s="2222">
        <v>0.98</v>
      </c>
      <c r="L45" s="2223">
        <v>0.9</v>
      </c>
      <c r="N45" s="2204">
        <f t="shared" si="22"/>
        <v>9.1000000000000004E-3</v>
      </c>
      <c r="O45" s="2189">
        <f t="shared" si="22"/>
        <v>6.8000000000000005E-3</v>
      </c>
      <c r="P45" s="2189">
        <f t="shared" si="22"/>
        <v>9.7999999999999997E-3</v>
      </c>
      <c r="Q45" s="2189">
        <f t="shared" si="22"/>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0"/>
        <v>232.41954707985698</v>
      </c>
      <c r="E46" s="2202">
        <f t="shared" ref="E46:F48" si="29">E45/(1+P45)</f>
        <v>375.32184591008121</v>
      </c>
      <c r="F46" s="2202">
        <f t="shared" si="29"/>
        <v>218.03766105054513</v>
      </c>
      <c r="G46" s="3837"/>
      <c r="H46" s="2227">
        <v>3</v>
      </c>
      <c r="I46" s="2227">
        <v>0.09</v>
      </c>
      <c r="J46" s="2227">
        <v>0.28999999999999998</v>
      </c>
      <c r="K46" s="2227">
        <v>-0.01</v>
      </c>
      <c r="L46" s="2228">
        <v>0.57999999999999996</v>
      </c>
      <c r="N46" s="2204">
        <f t="shared" si="22"/>
        <v>8.9999999999999998E-4</v>
      </c>
      <c r="O46" s="2189">
        <f t="shared" si="22"/>
        <v>2.8999999999999998E-3</v>
      </c>
      <c r="P46" s="2189">
        <f t="shared" si="22"/>
        <v>-1E-4</v>
      </c>
      <c r="Q46" s="2189">
        <f t="shared" si="22"/>
        <v>5.7999999999999996E-3</v>
      </c>
      <c r="R46" s="2205"/>
      <c r="S46" s="2204"/>
      <c r="T46" s="2189"/>
      <c r="U46" s="2189"/>
      <c r="V46" s="2189"/>
    </row>
    <row r="47" spans="1:34">
      <c r="A47" s="2201" t="s">
        <v>471</v>
      </c>
      <c r="B47" s="2202">
        <f>B46/(1+N46)</f>
        <v>275.24529281292263</v>
      </c>
      <c r="C47" s="2202">
        <f>C46/(1+O46)</f>
        <v>231.74747938962707</v>
      </c>
      <c r="D47" s="2202">
        <f t="shared" si="20"/>
        <v>231.74747938962707</v>
      </c>
      <c r="E47" s="2202">
        <f t="shared" si="29"/>
        <v>375.35938184826603</v>
      </c>
      <c r="F47" s="2202">
        <f t="shared" si="29"/>
        <v>216.78033510692495</v>
      </c>
      <c r="G47" s="3837"/>
      <c r="H47" s="2214">
        <v>2</v>
      </c>
      <c r="I47" s="2214">
        <v>0.02</v>
      </c>
      <c r="J47" s="2214">
        <v>0.12</v>
      </c>
      <c r="K47" s="2214">
        <v>-0.08</v>
      </c>
      <c r="L47" s="2215">
        <v>1.24</v>
      </c>
      <c r="N47" s="2204">
        <f t="shared" si="22"/>
        <v>2.0000000000000001E-4</v>
      </c>
      <c r="O47" s="2189">
        <f t="shared" si="22"/>
        <v>1.1999999999999999E-3</v>
      </c>
      <c r="P47" s="2189">
        <f t="shared" si="22"/>
        <v>-8.0000000000000004E-4</v>
      </c>
      <c r="Q47" s="2189">
        <f t="shared" si="22"/>
        <v>1.24E-2</v>
      </c>
      <c r="R47" s="2205"/>
      <c r="S47" s="2204"/>
      <c r="T47" s="2189"/>
      <c r="U47" s="2189"/>
      <c r="V47" s="2189"/>
    </row>
    <row r="48" spans="1:34" ht="13.5" thickBot="1">
      <c r="A48" s="2201" t="s">
        <v>472</v>
      </c>
      <c r="B48" s="2202">
        <f>B47/(1+N47)</f>
        <v>275.19025476197027</v>
      </c>
      <c r="C48" s="2253">
        <v>232</v>
      </c>
      <c r="D48" s="2253">
        <f t="shared" si="20"/>
        <v>232</v>
      </c>
      <c r="E48" s="2202">
        <f t="shared" si="29"/>
        <v>375.65990977608692</v>
      </c>
      <c r="F48" s="2202">
        <f t="shared" si="29"/>
        <v>214.12518283971252</v>
      </c>
      <c r="G48" s="3838"/>
      <c r="H48" s="2203">
        <v>1</v>
      </c>
      <c r="I48" s="2203">
        <v>0.02</v>
      </c>
      <c r="J48" s="2203">
        <v>0.13</v>
      </c>
      <c r="K48" s="2203">
        <v>-0.04</v>
      </c>
      <c r="L48" s="2209">
        <v>0.46</v>
      </c>
      <c r="N48" s="2204">
        <f t="shared" si="22"/>
        <v>2.0000000000000001E-4</v>
      </c>
      <c r="O48" s="2189">
        <f t="shared" si="22"/>
        <v>1.2999999999999999E-3</v>
      </c>
      <c r="P48" s="2189">
        <f t="shared" si="22"/>
        <v>-4.0000000000000002E-4</v>
      </c>
      <c r="Q48" s="2189">
        <f t="shared" si="22"/>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0"/>
        <v>232</v>
      </c>
      <c r="E49" s="2216">
        <v>376</v>
      </c>
      <c r="F49" s="2217">
        <v>213</v>
      </c>
      <c r="G49" s="3836">
        <v>2011</v>
      </c>
      <c r="H49" s="2222">
        <v>4</v>
      </c>
      <c r="I49" s="2222">
        <v>-0.2</v>
      </c>
      <c r="J49" s="2222">
        <v>0.04</v>
      </c>
      <c r="K49" s="2222">
        <v>-0.34</v>
      </c>
      <c r="L49" s="2223">
        <v>0.46</v>
      </c>
      <c r="N49" s="2224">
        <f t="shared" si="22"/>
        <v>-2E-3</v>
      </c>
      <c r="O49" s="2225">
        <f t="shared" si="22"/>
        <v>4.0000000000000002E-4</v>
      </c>
      <c r="P49" s="2225">
        <f t="shared" si="22"/>
        <v>-3.4000000000000002E-3</v>
      </c>
      <c r="Q49" s="2225">
        <f t="shared" si="22"/>
        <v>4.5999999999999999E-3</v>
      </c>
      <c r="R49" s="2205"/>
      <c r="S49" s="2218"/>
      <c r="T49" s="2219"/>
      <c r="U49" s="2219"/>
      <c r="V49" s="2219"/>
      <c r="X49" s="2219"/>
      <c r="Y49" s="2219"/>
      <c r="Z49" s="2219"/>
    </row>
    <row r="50" spans="1:26">
      <c r="A50" s="2201" t="s">
        <v>474</v>
      </c>
      <c r="B50" s="2202">
        <f t="shared" ref="B50:C52" si="30">B49/(1+N49)</f>
        <v>275.55110220440883</v>
      </c>
      <c r="C50" s="2202">
        <f t="shared" si="30"/>
        <v>231.90723710515795</v>
      </c>
      <c r="D50" s="2202">
        <f t="shared" si="20"/>
        <v>231.90723710515795</v>
      </c>
      <c r="E50" s="2202">
        <f t="shared" ref="E50:F52" si="31">E49/(1+P49)</f>
        <v>377.28276138872161</v>
      </c>
      <c r="F50" s="2202">
        <f t="shared" si="31"/>
        <v>212.02468644236512</v>
      </c>
      <c r="G50" s="3837">
        <v>2011</v>
      </c>
      <c r="H50" s="2227">
        <v>3</v>
      </c>
      <c r="I50" s="2227">
        <v>0.13</v>
      </c>
      <c r="J50" s="2227">
        <v>0.75</v>
      </c>
      <c r="K50" s="2227">
        <v>-0.08</v>
      </c>
      <c r="L50" s="2228">
        <v>0.53</v>
      </c>
      <c r="N50" s="2204">
        <f t="shared" si="22"/>
        <v>1.2999999999999999E-3</v>
      </c>
      <c r="O50" s="2229">
        <f t="shared" si="22"/>
        <v>7.4999999999999997E-3</v>
      </c>
      <c r="P50" s="2229">
        <f t="shared" si="22"/>
        <v>-8.0000000000000004E-4</v>
      </c>
      <c r="Q50" s="2229">
        <f t="shared" si="22"/>
        <v>5.3E-3</v>
      </c>
      <c r="R50" s="2205"/>
      <c r="S50" s="2204"/>
      <c r="T50" s="2189"/>
      <c r="U50" s="2189"/>
      <c r="V50" s="2189"/>
    </row>
    <row r="51" spans="1:26">
      <c r="A51" s="2201" t="s">
        <v>475</v>
      </c>
      <c r="B51" s="2202">
        <f t="shared" si="30"/>
        <v>275.19335084830601</v>
      </c>
      <c r="C51" s="2202">
        <f t="shared" si="30"/>
        <v>230.18088050139744</v>
      </c>
      <c r="D51" s="2202">
        <f t="shared" si="20"/>
        <v>230.18088050139744</v>
      </c>
      <c r="E51" s="2202">
        <f t="shared" si="31"/>
        <v>377.58482925212331</v>
      </c>
      <c r="F51" s="2202">
        <f t="shared" si="31"/>
        <v>210.90687997847917</v>
      </c>
      <c r="G51" s="3837">
        <v>2011</v>
      </c>
      <c r="H51" s="2214">
        <v>2</v>
      </c>
      <c r="I51" s="2214">
        <v>-0.4</v>
      </c>
      <c r="J51" s="2214">
        <v>0.17</v>
      </c>
      <c r="K51" s="2214">
        <v>-0.57999999999999996</v>
      </c>
      <c r="L51" s="2215">
        <v>-0.2</v>
      </c>
      <c r="N51" s="2204">
        <f t="shared" si="22"/>
        <v>-4.0000000000000001E-3</v>
      </c>
      <c r="O51" s="2229">
        <f t="shared" si="22"/>
        <v>1.7000000000000001E-3</v>
      </c>
      <c r="P51" s="2229">
        <f t="shared" si="22"/>
        <v>-5.7999999999999996E-3</v>
      </c>
      <c r="Q51" s="2229">
        <f t="shared" si="22"/>
        <v>-2E-3</v>
      </c>
      <c r="R51" s="2205"/>
      <c r="S51" s="2204"/>
      <c r="T51" s="2189"/>
      <c r="U51" s="2189"/>
      <c r="V51" s="2189"/>
    </row>
    <row r="52" spans="1:26" ht="13.5" thickBot="1">
      <c r="A52" s="2201" t="s">
        <v>476</v>
      </c>
      <c r="B52" s="2202">
        <f t="shared" si="30"/>
        <v>276.29854502841971</v>
      </c>
      <c r="C52" s="2202">
        <f t="shared" si="30"/>
        <v>229.79023709833027</v>
      </c>
      <c r="D52" s="2202">
        <f t="shared" si="20"/>
        <v>229.79023709833027</v>
      </c>
      <c r="E52" s="2202">
        <f t="shared" si="31"/>
        <v>379.78759731655936</v>
      </c>
      <c r="F52" s="2202">
        <f t="shared" si="31"/>
        <v>211.32953905659235</v>
      </c>
      <c r="G52" s="3838">
        <v>2011</v>
      </c>
      <c r="H52" s="2203">
        <v>1</v>
      </c>
      <c r="I52" s="2203">
        <v>2.65</v>
      </c>
      <c r="J52" s="2203">
        <v>3.76</v>
      </c>
      <c r="K52" s="2203">
        <v>1.89</v>
      </c>
      <c r="L52" s="2209">
        <v>7.95</v>
      </c>
      <c r="N52" s="2220">
        <f t="shared" si="22"/>
        <v>2.6499999999999999E-2</v>
      </c>
      <c r="O52" s="2221">
        <f t="shared" si="22"/>
        <v>3.7599999999999995E-2</v>
      </c>
      <c r="P52" s="2221">
        <f t="shared" si="22"/>
        <v>1.89E-2</v>
      </c>
      <c r="Q52" s="2221">
        <f t="shared" si="22"/>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0"/>
        <v>221</v>
      </c>
      <c r="E53" s="2216">
        <v>373</v>
      </c>
      <c r="F53" s="2217">
        <v>196</v>
      </c>
      <c r="G53" s="3836">
        <v>2010</v>
      </c>
      <c r="H53" s="2222">
        <v>4</v>
      </c>
      <c r="I53" s="2222">
        <v>5.72</v>
      </c>
      <c r="J53" s="2222">
        <v>6.57</v>
      </c>
      <c r="K53" s="2222">
        <v>5.72</v>
      </c>
      <c r="L53" s="2223">
        <v>2.72</v>
      </c>
      <c r="N53" s="2204">
        <f t="shared" si="22"/>
        <v>5.7200000000000001E-2</v>
      </c>
      <c r="O53" s="2189">
        <f t="shared" si="22"/>
        <v>6.5700000000000008E-2</v>
      </c>
      <c r="P53" s="2189">
        <f t="shared" si="22"/>
        <v>5.7200000000000001E-2</v>
      </c>
      <c r="Q53" s="2189">
        <f t="shared" si="22"/>
        <v>2.7200000000000002E-2</v>
      </c>
      <c r="R53" s="2205"/>
      <c r="S53" s="2218"/>
      <c r="T53" s="2219"/>
      <c r="U53" s="2219"/>
      <c r="V53" s="2219"/>
      <c r="X53" s="2219"/>
      <c r="Y53" s="2219"/>
      <c r="Z53" s="2219"/>
    </row>
    <row r="54" spans="1:26">
      <c r="A54" s="2201" t="s">
        <v>478</v>
      </c>
      <c r="B54" s="2202">
        <f t="shared" ref="B54:C56" si="32">B53/(1+N53)</f>
        <v>254.44570563753314</v>
      </c>
      <c r="C54" s="2202">
        <f t="shared" si="32"/>
        <v>207.37543398705074</v>
      </c>
      <c r="D54" s="2202">
        <f t="shared" si="20"/>
        <v>207.37543398705074</v>
      </c>
      <c r="E54" s="2202">
        <f t="shared" ref="E54:F56" si="33">E53/(1+P53)</f>
        <v>352.81876655315932</v>
      </c>
      <c r="F54" s="2202">
        <f t="shared" si="33"/>
        <v>190.809968847352</v>
      </c>
      <c r="G54" s="3837">
        <v>2010</v>
      </c>
      <c r="H54" s="2227">
        <v>3</v>
      </c>
      <c r="I54" s="2227">
        <v>4.7300000000000004</v>
      </c>
      <c r="J54" s="2227">
        <v>3.9</v>
      </c>
      <c r="K54" s="2227">
        <v>5.03</v>
      </c>
      <c r="L54" s="2228">
        <v>4.21</v>
      </c>
      <c r="N54" s="2204">
        <f t="shared" si="22"/>
        <v>4.7300000000000002E-2</v>
      </c>
      <c r="O54" s="2189">
        <f t="shared" si="22"/>
        <v>3.9E-2</v>
      </c>
      <c r="P54" s="2189">
        <f t="shared" si="22"/>
        <v>5.0300000000000004E-2</v>
      </c>
      <c r="Q54" s="2189">
        <f t="shared" si="22"/>
        <v>4.2099999999999999E-2</v>
      </c>
      <c r="R54" s="2205"/>
      <c r="S54" s="2204"/>
      <c r="T54" s="2189"/>
      <c r="U54" s="2189"/>
      <c r="V54" s="2189"/>
    </row>
    <row r="55" spans="1:26">
      <c r="A55" s="2201" t="s">
        <v>479</v>
      </c>
      <c r="B55" s="2202">
        <f t="shared" si="32"/>
        <v>242.95398227588385</v>
      </c>
      <c r="C55" s="2202">
        <f t="shared" si="32"/>
        <v>199.59137053614126</v>
      </c>
      <c r="D55" s="2202">
        <f t="shared" si="20"/>
        <v>199.59137053614126</v>
      </c>
      <c r="E55" s="2202">
        <f t="shared" si="33"/>
        <v>335.92189522342125</v>
      </c>
      <c r="F55" s="2202">
        <f t="shared" si="33"/>
        <v>183.10139991109489</v>
      </c>
      <c r="G55" s="3837">
        <v>2010</v>
      </c>
      <c r="H55" s="2214">
        <v>2</v>
      </c>
      <c r="I55" s="2214">
        <v>4.6900000000000004</v>
      </c>
      <c r="J55" s="2214">
        <v>3.55</v>
      </c>
      <c r="K55" s="2214">
        <v>5.07</v>
      </c>
      <c r="L55" s="2215">
        <v>4.2300000000000004</v>
      </c>
      <c r="N55" s="2204">
        <f t="shared" si="22"/>
        <v>4.6900000000000004E-2</v>
      </c>
      <c r="O55" s="2189">
        <f t="shared" si="22"/>
        <v>3.5499999999999997E-2</v>
      </c>
      <c r="P55" s="2189">
        <f t="shared" si="22"/>
        <v>5.0700000000000002E-2</v>
      </c>
      <c r="Q55" s="2189">
        <f t="shared" si="22"/>
        <v>4.2300000000000004E-2</v>
      </c>
      <c r="R55" s="2205"/>
      <c r="S55" s="2204"/>
      <c r="T55" s="2189"/>
      <c r="U55" s="2189"/>
      <c r="V55" s="2189"/>
    </row>
    <row r="56" spans="1:26" ht="13.5" thickBot="1">
      <c r="A56" s="2201" t="s">
        <v>480</v>
      </c>
      <c r="B56" s="2202">
        <f t="shared" si="32"/>
        <v>232.06990378821649</v>
      </c>
      <c r="C56" s="2202">
        <f t="shared" si="32"/>
        <v>192.74878854286936</v>
      </c>
      <c r="D56" s="2202">
        <f t="shared" si="20"/>
        <v>192.74878854286936</v>
      </c>
      <c r="E56" s="2202">
        <f t="shared" si="33"/>
        <v>319.71247284992984</v>
      </c>
      <c r="F56" s="2202">
        <f t="shared" si="33"/>
        <v>175.67053622862409</v>
      </c>
      <c r="G56" s="3838">
        <v>2010</v>
      </c>
      <c r="H56" s="2203">
        <v>1</v>
      </c>
      <c r="I56" s="2203">
        <v>5.4</v>
      </c>
      <c r="J56" s="2203">
        <v>3.2</v>
      </c>
      <c r="K56" s="2203">
        <v>6.16</v>
      </c>
      <c r="L56" s="2209">
        <v>4.51</v>
      </c>
      <c r="N56" s="2204">
        <f t="shared" si="22"/>
        <v>5.4000000000000006E-2</v>
      </c>
      <c r="O56" s="2189">
        <f t="shared" si="22"/>
        <v>3.2000000000000001E-2</v>
      </c>
      <c r="P56" s="2189">
        <f t="shared" si="22"/>
        <v>6.1600000000000002E-2</v>
      </c>
      <c r="Q56" s="2189">
        <f t="shared" si="22"/>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0"/>
        <v>187</v>
      </c>
      <c r="E57" s="2216">
        <v>301</v>
      </c>
      <c r="F57" s="2217">
        <v>168</v>
      </c>
      <c r="G57" s="3836">
        <v>2009</v>
      </c>
      <c r="H57" s="2222">
        <v>4</v>
      </c>
      <c r="I57" s="2222">
        <v>2.2999999999999998</v>
      </c>
      <c r="J57" s="2222">
        <v>1.04</v>
      </c>
      <c r="K57" s="2222">
        <v>2.84</v>
      </c>
      <c r="L57" s="2223">
        <v>0.67</v>
      </c>
      <c r="N57" s="2224">
        <f t="shared" si="22"/>
        <v>2.3E-2</v>
      </c>
      <c r="O57" s="2225">
        <f t="shared" si="22"/>
        <v>1.04E-2</v>
      </c>
      <c r="P57" s="2225">
        <f t="shared" si="22"/>
        <v>2.8399999999999998E-2</v>
      </c>
      <c r="Q57" s="2225">
        <f t="shared" si="22"/>
        <v>6.7000000000000002E-3</v>
      </c>
      <c r="R57" s="2205"/>
      <c r="S57" s="2218"/>
      <c r="T57" s="2219"/>
      <c r="U57" s="2219"/>
      <c r="V57" s="2219"/>
      <c r="X57" s="2219"/>
      <c r="Y57" s="2219"/>
      <c r="Z57" s="2219"/>
    </row>
    <row r="58" spans="1:26">
      <c r="A58" s="2201" t="s">
        <v>482</v>
      </c>
      <c r="B58" s="2202">
        <f t="shared" ref="B58:C60" si="34">B57/(1+N57)</f>
        <v>215.05376344086022</v>
      </c>
      <c r="C58" s="2202">
        <f t="shared" si="34"/>
        <v>185.0752177355503</v>
      </c>
      <c r="D58" s="2202">
        <f t="shared" si="20"/>
        <v>185.0752177355503</v>
      </c>
      <c r="E58" s="2202">
        <f t="shared" ref="E58:F60" si="35">E57/(1+P57)</f>
        <v>292.68767016725008</v>
      </c>
      <c r="F58" s="2202">
        <f t="shared" si="35"/>
        <v>166.88189132810174</v>
      </c>
      <c r="G58" s="3837">
        <v>2009</v>
      </c>
      <c r="H58" s="2227">
        <v>3</v>
      </c>
      <c r="I58" s="2227">
        <v>2.1</v>
      </c>
      <c r="J58" s="2227">
        <v>1.86</v>
      </c>
      <c r="K58" s="2227">
        <v>2.29</v>
      </c>
      <c r="L58" s="2228">
        <v>0.85</v>
      </c>
      <c r="N58" s="2204">
        <f t="shared" si="22"/>
        <v>2.1000000000000001E-2</v>
      </c>
      <c r="O58" s="2229">
        <f t="shared" si="22"/>
        <v>1.8600000000000002E-2</v>
      </c>
      <c r="P58" s="2229">
        <f t="shared" si="22"/>
        <v>2.29E-2</v>
      </c>
      <c r="Q58" s="2229">
        <f t="shared" si="22"/>
        <v>8.5000000000000006E-3</v>
      </c>
      <c r="R58" s="2205"/>
      <c r="S58" s="2204"/>
      <c r="T58" s="2189"/>
      <c r="U58" s="2189"/>
      <c r="V58" s="2189"/>
    </row>
    <row r="59" spans="1:26">
      <c r="A59" s="2201" t="s">
        <v>483</v>
      </c>
      <c r="B59" s="2202">
        <f t="shared" si="34"/>
        <v>210.630522469011</v>
      </c>
      <c r="C59" s="2202">
        <f t="shared" si="34"/>
        <v>181.69567812247232</v>
      </c>
      <c r="D59" s="2202">
        <f t="shared" si="20"/>
        <v>181.69567812247232</v>
      </c>
      <c r="E59" s="2202">
        <f t="shared" si="35"/>
        <v>286.13517466736738</v>
      </c>
      <c r="F59" s="2202">
        <f t="shared" si="35"/>
        <v>165.47535084591149</v>
      </c>
      <c r="G59" s="3837">
        <v>2009</v>
      </c>
      <c r="H59" s="2214">
        <v>2</v>
      </c>
      <c r="I59" s="2214">
        <v>0.86</v>
      </c>
      <c r="J59" s="2214">
        <v>-1.1299999999999999</v>
      </c>
      <c r="K59" s="2214">
        <v>1.79</v>
      </c>
      <c r="L59" s="2215">
        <v>-2.0699999999999998</v>
      </c>
      <c r="N59" s="2204">
        <f t="shared" si="22"/>
        <v>8.6E-3</v>
      </c>
      <c r="O59" s="2229">
        <f t="shared" si="22"/>
        <v>-1.1299999999999999E-2</v>
      </c>
      <c r="P59" s="2229">
        <f t="shared" si="22"/>
        <v>1.7899999999999999E-2</v>
      </c>
      <c r="Q59" s="2229">
        <f t="shared" si="22"/>
        <v>-2.07E-2</v>
      </c>
      <c r="R59" s="2205"/>
      <c r="S59" s="2204"/>
      <c r="T59" s="2189"/>
      <c r="U59" s="2189"/>
      <c r="V59" s="2189"/>
    </row>
    <row r="60" spans="1:26">
      <c r="A60" s="2201" t="s">
        <v>484</v>
      </c>
      <c r="B60" s="2202">
        <f t="shared" si="34"/>
        <v>208.83454537875372</v>
      </c>
      <c r="C60" s="2202">
        <f t="shared" si="34"/>
        <v>183.77230517090351</v>
      </c>
      <c r="D60" s="2202">
        <f t="shared" si="20"/>
        <v>183.77230517090351</v>
      </c>
      <c r="E60" s="2202">
        <f t="shared" si="35"/>
        <v>281.10342338870947</v>
      </c>
      <c r="F60" s="2202">
        <f t="shared" si="35"/>
        <v>168.97309388942256</v>
      </c>
      <c r="G60" s="3838">
        <v>2009</v>
      </c>
      <c r="H60" s="2203">
        <v>1</v>
      </c>
      <c r="I60" s="2203">
        <v>-2.64</v>
      </c>
      <c r="J60" s="2203">
        <v>-2.5299999999999998</v>
      </c>
      <c r="K60" s="2203">
        <v>-3.02</v>
      </c>
      <c r="L60" s="2209">
        <v>1.52</v>
      </c>
      <c r="N60" s="2220">
        <f t="shared" si="22"/>
        <v>-2.64E-2</v>
      </c>
      <c r="O60" s="2221">
        <f t="shared" si="22"/>
        <v>-2.53E-2</v>
      </c>
      <c r="P60" s="2221">
        <f t="shared" si="22"/>
        <v>-3.0200000000000001E-2</v>
      </c>
      <c r="Q60" s="2221">
        <f t="shared" si="22"/>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0"/>
        <v>188</v>
      </c>
      <c r="E61" s="2251">
        <v>289</v>
      </c>
      <c r="F61" s="2252">
        <v>166</v>
      </c>
      <c r="G61" s="3836">
        <v>2008</v>
      </c>
      <c r="H61" s="2222">
        <v>4</v>
      </c>
      <c r="I61" s="2222">
        <v>1.73</v>
      </c>
      <c r="J61" s="2222">
        <v>0.03</v>
      </c>
      <c r="K61" s="2222">
        <v>2.59</v>
      </c>
      <c r="L61" s="2223">
        <v>-1.66</v>
      </c>
      <c r="N61" s="2204">
        <f t="shared" si="22"/>
        <v>1.7299999999999999E-2</v>
      </c>
      <c r="O61" s="2189">
        <f t="shared" si="22"/>
        <v>2.9999999999999997E-4</v>
      </c>
      <c r="P61" s="2189">
        <f t="shared" si="22"/>
        <v>2.5899999999999999E-2</v>
      </c>
      <c r="Q61" s="2189">
        <f t="shared" si="22"/>
        <v>-1.66E-2</v>
      </c>
      <c r="R61" s="2205"/>
      <c r="S61" s="2218"/>
      <c r="T61" s="2219"/>
      <c r="U61" s="2219"/>
      <c r="V61" s="2219"/>
      <c r="X61" s="2219"/>
      <c r="Y61" s="2219"/>
      <c r="Z61" s="2219"/>
    </row>
    <row r="62" spans="1:26">
      <c r="A62" s="2201" t="s">
        <v>486</v>
      </c>
      <c r="B62" s="2202">
        <f t="shared" ref="B62:C64" si="36">B61/(1+N61)</f>
        <v>210.36075887152265</v>
      </c>
      <c r="C62" s="2202">
        <f t="shared" si="36"/>
        <v>187.94361691492554</v>
      </c>
      <c r="D62" s="2202">
        <f t="shared" si="20"/>
        <v>187.94361691492554</v>
      </c>
      <c r="E62" s="2202">
        <f t="shared" ref="E62:F64" si="37">E61/(1+P61)</f>
        <v>281.70386977288234</v>
      </c>
      <c r="F62" s="2202">
        <f t="shared" si="37"/>
        <v>168.80211511083994</v>
      </c>
      <c r="G62" s="3837">
        <v>2008</v>
      </c>
      <c r="H62" s="2227">
        <v>3</v>
      </c>
      <c r="I62" s="2227">
        <v>1.96</v>
      </c>
      <c r="J62" s="2227">
        <v>2.36</v>
      </c>
      <c r="K62" s="2227">
        <v>1.82</v>
      </c>
      <c r="L62" s="2228">
        <v>2.2200000000000002</v>
      </c>
      <c r="N62" s="2204">
        <f t="shared" si="22"/>
        <v>1.9599999999999999E-2</v>
      </c>
      <c r="O62" s="2189">
        <f t="shared" si="22"/>
        <v>2.3599999999999999E-2</v>
      </c>
      <c r="P62" s="2189">
        <f t="shared" si="22"/>
        <v>1.8200000000000001E-2</v>
      </c>
      <c r="Q62" s="2189">
        <f t="shared" si="22"/>
        <v>2.2200000000000001E-2</v>
      </c>
      <c r="R62" s="2205"/>
      <c r="S62" s="2204"/>
      <c r="T62" s="2189"/>
      <c r="U62" s="2189"/>
      <c r="V62" s="2189"/>
    </row>
    <row r="63" spans="1:26">
      <c r="A63" s="2201" t="s">
        <v>487</v>
      </c>
      <c r="B63" s="2202">
        <f t="shared" si="36"/>
        <v>206.31694671589116</v>
      </c>
      <c r="C63" s="2202">
        <f t="shared" si="36"/>
        <v>183.61041121036101</v>
      </c>
      <c r="D63" s="2202">
        <f t="shared" si="20"/>
        <v>183.61041121036101</v>
      </c>
      <c r="E63" s="2202">
        <f t="shared" si="37"/>
        <v>276.66850301795557</v>
      </c>
      <c r="F63" s="2202">
        <f t="shared" si="37"/>
        <v>165.1360938278614</v>
      </c>
      <c r="G63" s="3837">
        <v>2008</v>
      </c>
      <c r="H63" s="2214">
        <v>2</v>
      </c>
      <c r="I63" s="2214">
        <v>4.93</v>
      </c>
      <c r="J63" s="2214">
        <v>7.38</v>
      </c>
      <c r="K63" s="2214">
        <v>3.98</v>
      </c>
      <c r="L63" s="2215">
        <v>6.86</v>
      </c>
      <c r="N63" s="2204">
        <f t="shared" si="22"/>
        <v>4.9299999999999997E-2</v>
      </c>
      <c r="O63" s="2189">
        <f t="shared" si="22"/>
        <v>7.3800000000000004E-2</v>
      </c>
      <c r="P63" s="2189">
        <f t="shared" si="22"/>
        <v>3.9800000000000002E-2</v>
      </c>
      <c r="Q63" s="2189">
        <f t="shared" si="22"/>
        <v>6.8600000000000008E-2</v>
      </c>
      <c r="R63" s="2205"/>
      <c r="S63" s="2204"/>
      <c r="T63" s="2189"/>
      <c r="U63" s="2189"/>
      <c r="V63" s="2189"/>
    </row>
    <row r="64" spans="1:26" s="2257" customFormat="1" ht="13.5" thickBot="1">
      <c r="A64" s="2201" t="s">
        <v>488</v>
      </c>
      <c r="B64" s="2254">
        <f t="shared" si="36"/>
        <v>196.62341248059772</v>
      </c>
      <c r="C64" s="2254">
        <f t="shared" si="36"/>
        <v>170.99125648199012</v>
      </c>
      <c r="D64" s="2254">
        <f t="shared" si="20"/>
        <v>170.99125648199012</v>
      </c>
      <c r="E64" s="2254">
        <f t="shared" si="37"/>
        <v>266.07857570490052</v>
      </c>
      <c r="F64" s="2254">
        <f t="shared" si="37"/>
        <v>154.53499328828505</v>
      </c>
      <c r="G64" s="3838">
        <v>2008</v>
      </c>
      <c r="H64" s="2255">
        <v>1</v>
      </c>
      <c r="I64" s="2255">
        <v>4.1399999999999997</v>
      </c>
      <c r="J64" s="2255">
        <v>3.45</v>
      </c>
      <c r="K64" s="2255">
        <v>4.95</v>
      </c>
      <c r="L64" s="2256">
        <v>4.82</v>
      </c>
      <c r="N64" s="2258">
        <f t="shared" si="22"/>
        <v>4.1399999999999999E-2</v>
      </c>
      <c r="O64" s="2259">
        <f t="shared" si="22"/>
        <v>3.4500000000000003E-2</v>
      </c>
      <c r="P64" s="2259">
        <f t="shared" si="22"/>
        <v>4.9500000000000002E-2</v>
      </c>
      <c r="Q64" s="2259">
        <f t="shared" si="22"/>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0"/>
        <v>165</v>
      </c>
      <c r="E65" s="2216">
        <v>254</v>
      </c>
      <c r="F65" s="2217">
        <v>148</v>
      </c>
      <c r="G65" s="3836">
        <v>2007</v>
      </c>
      <c r="H65" s="2261">
        <v>4</v>
      </c>
      <c r="I65" s="2261">
        <v>5.51</v>
      </c>
      <c r="J65" s="2261">
        <v>4.8899999999999997</v>
      </c>
      <c r="K65" s="2261">
        <v>6.43</v>
      </c>
      <c r="L65" s="2262">
        <v>5.36</v>
      </c>
      <c r="N65" s="2263">
        <f t="shared" ref="N65:O68" si="38">B65/B66-1</f>
        <v>4.1339718365245526E-2</v>
      </c>
      <c r="O65" s="2264">
        <f t="shared" si="38"/>
        <v>4.0324492593776018E-2</v>
      </c>
      <c r="P65" s="2264">
        <f t="shared" ref="P65:Q68" si="39">E65/E66-1</f>
        <v>6.1625555347990968E-2</v>
      </c>
      <c r="Q65" s="2264">
        <f t="shared" si="39"/>
        <v>4.6757569250590603E-2</v>
      </c>
      <c r="R65" s="2205"/>
      <c r="S65" s="2218"/>
      <c r="T65" s="2219"/>
      <c r="U65" s="2219"/>
      <c r="V65" s="2219"/>
      <c r="X65" s="2219"/>
      <c r="Y65" s="2219"/>
      <c r="Z65" s="2219"/>
    </row>
    <row r="66" spans="1:26">
      <c r="A66" s="2201" t="s">
        <v>490</v>
      </c>
      <c r="B66" s="2202">
        <f t="shared" ref="B66:C68" si="40">B67+(B$65-B$69)*I66/SUM(I$65:I$68)</f>
        <v>180.5366651097618</v>
      </c>
      <c r="C66" s="2202">
        <f t="shared" si="40"/>
        <v>158.60435967302453</v>
      </c>
      <c r="D66" s="2202">
        <f t="shared" si="20"/>
        <v>158.60435967302453</v>
      </c>
      <c r="E66" s="2202">
        <f t="shared" ref="E66:F68" si="41">E67+(E$65-E$69)*K66/SUM(K$65:K$68)</f>
        <v>239.25573260785075</v>
      </c>
      <c r="F66" s="2202">
        <f t="shared" si="41"/>
        <v>141.38899430740037</v>
      </c>
      <c r="G66" s="3837">
        <v>2007</v>
      </c>
      <c r="H66" s="2227">
        <v>3</v>
      </c>
      <c r="I66" s="2227">
        <v>8.65</v>
      </c>
      <c r="J66" s="2227">
        <v>8.06</v>
      </c>
      <c r="K66" s="2227">
        <v>9.94</v>
      </c>
      <c r="L66" s="2228">
        <v>5.8</v>
      </c>
      <c r="N66" s="2263">
        <f t="shared" si="38"/>
        <v>6.940217571740015E-2</v>
      </c>
      <c r="O66" s="2264">
        <f t="shared" si="38"/>
        <v>7.1197482471153428E-2</v>
      </c>
      <c r="P66" s="2264">
        <f t="shared" si="39"/>
        <v>0.10529679922579582</v>
      </c>
      <c r="Q66" s="2264">
        <f t="shared" si="39"/>
        <v>5.3292245059512133E-2</v>
      </c>
      <c r="R66" s="2205"/>
      <c r="S66" s="2204"/>
      <c r="T66" s="2189"/>
      <c r="U66" s="2189"/>
      <c r="V66" s="2189"/>
      <c r="X66" s="2265"/>
      <c r="Y66" s="2265"/>
      <c r="Z66" s="2265"/>
    </row>
    <row r="67" spans="1:26">
      <c r="A67" s="2201" t="s">
        <v>491</v>
      </c>
      <c r="B67" s="2202">
        <f t="shared" si="40"/>
        <v>168.82017748715555</v>
      </c>
      <c r="C67" s="2202">
        <f t="shared" si="40"/>
        <v>148.06267029972753</v>
      </c>
      <c r="D67" s="2202">
        <f t="shared" si="20"/>
        <v>148.06267029972753</v>
      </c>
      <c r="E67" s="2202">
        <f t="shared" si="41"/>
        <v>216.46288379323747</v>
      </c>
      <c r="F67" s="2202">
        <f t="shared" si="41"/>
        <v>134.23529411764704</v>
      </c>
      <c r="G67" s="3837">
        <v>2007</v>
      </c>
      <c r="H67" s="2214">
        <v>2</v>
      </c>
      <c r="I67" s="2214">
        <v>3.67</v>
      </c>
      <c r="J67" s="2214">
        <v>2.3199999999999998</v>
      </c>
      <c r="K67" s="2214">
        <v>5.0199999999999996</v>
      </c>
      <c r="L67" s="2215">
        <v>6.71</v>
      </c>
      <c r="N67" s="2263">
        <f t="shared" si="38"/>
        <v>3.0339138143848032E-2</v>
      </c>
      <c r="O67" s="2264">
        <f t="shared" si="38"/>
        <v>2.0922341588790472E-2</v>
      </c>
      <c r="P67" s="2264">
        <f t="shared" si="39"/>
        <v>5.6164796592717003E-2</v>
      </c>
      <c r="Q67" s="2264">
        <f t="shared" si="39"/>
        <v>6.5704536723887319E-2</v>
      </c>
      <c r="R67" s="2205"/>
      <c r="S67" s="2204"/>
      <c r="T67" s="2189"/>
      <c r="U67" s="2189"/>
      <c r="V67" s="2189"/>
      <c r="X67" s="2265"/>
      <c r="Y67" s="2265"/>
      <c r="Z67" s="2265"/>
    </row>
    <row r="68" spans="1:26">
      <c r="A68" s="2201" t="s">
        <v>492</v>
      </c>
      <c r="B68" s="2202">
        <f t="shared" si="40"/>
        <v>163.84913591779542</v>
      </c>
      <c r="C68" s="2202">
        <f t="shared" si="40"/>
        <v>145.0283378746594</v>
      </c>
      <c r="D68" s="2202">
        <f t="shared" si="20"/>
        <v>145.0283378746594</v>
      </c>
      <c r="E68" s="2202">
        <f t="shared" si="41"/>
        <v>204.95180722891567</v>
      </c>
      <c r="F68" s="2202">
        <f t="shared" si="41"/>
        <v>125.95920303605313</v>
      </c>
      <c r="G68" s="3838">
        <v>2007</v>
      </c>
      <c r="H68" s="2203">
        <v>1</v>
      </c>
      <c r="I68" s="2203">
        <v>3.58</v>
      </c>
      <c r="J68" s="2203">
        <v>3.08</v>
      </c>
      <c r="K68" s="2203">
        <v>4.34</v>
      </c>
      <c r="L68" s="2209">
        <v>3.21</v>
      </c>
      <c r="N68" s="2266">
        <f t="shared" si="38"/>
        <v>3.0497710174814063E-2</v>
      </c>
      <c r="O68" s="2267">
        <f t="shared" si="38"/>
        <v>2.8569772160704998E-2</v>
      </c>
      <c r="P68" s="2267">
        <f t="shared" si="39"/>
        <v>5.1034908866234296E-2</v>
      </c>
      <c r="Q68" s="2267">
        <f t="shared" si="39"/>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0"/>
        <v>141</v>
      </c>
      <c r="E69" s="2230">
        <v>195</v>
      </c>
      <c r="F69" s="2231">
        <v>122</v>
      </c>
      <c r="G69" s="3836">
        <v>2006</v>
      </c>
      <c r="H69" s="2222">
        <v>4</v>
      </c>
      <c r="I69" s="2222">
        <v>3.79</v>
      </c>
      <c r="J69" s="2222">
        <v>2.21</v>
      </c>
      <c r="K69" s="2222">
        <v>5.65</v>
      </c>
      <c r="L69" s="2223">
        <v>5.41</v>
      </c>
      <c r="N69" s="2263">
        <f t="shared" ref="N69:O72" si="42">I69/SUM(I$69:I$72)*(B$69/B$73-1)</f>
        <v>7.245466462748526E-2</v>
      </c>
      <c r="O69" s="2264">
        <f t="shared" si="42"/>
        <v>2.3237230038062766E-2</v>
      </c>
      <c r="P69" s="2264">
        <f t="shared" ref="P69:Q72" si="43">K69/SUM(K$69:K$72)*(E$69/E$73-1)</f>
        <v>0.16146893866323722</v>
      </c>
      <c r="Q69" s="2264">
        <f t="shared" si="43"/>
        <v>5.0755230321793784E-2</v>
      </c>
      <c r="R69" s="2205"/>
      <c r="S69" s="2218"/>
      <c r="T69" s="2219"/>
      <c r="U69" s="2219"/>
      <c r="V69" s="2219"/>
      <c r="X69" s="2265"/>
      <c r="Y69" s="2265"/>
      <c r="Z69" s="2265"/>
    </row>
    <row r="70" spans="1:26">
      <c r="A70" s="2201" t="s">
        <v>494</v>
      </c>
      <c r="B70" s="2202">
        <f t="shared" ref="B70:C72" si="44">B71+(B$69-B$73)*I70/SUM(I$69:I$72)</f>
        <v>149.00125628140702</v>
      </c>
      <c r="C70" s="2202">
        <f t="shared" si="44"/>
        <v>137.95592286501378</v>
      </c>
      <c r="D70" s="2202">
        <f t="shared" si="20"/>
        <v>137.95592286501378</v>
      </c>
      <c r="E70" s="2202">
        <f t="shared" ref="E70:F72" si="45">E71+(E$69-E$73)*K70/SUM(K$69:K$72)</f>
        <v>169.97231450719823</v>
      </c>
      <c r="F70" s="2202">
        <f t="shared" si="45"/>
        <v>116.21390374331551</v>
      </c>
      <c r="G70" s="3837">
        <v>2006</v>
      </c>
      <c r="H70" s="2227">
        <v>3</v>
      </c>
      <c r="I70" s="2227">
        <v>0.92</v>
      </c>
      <c r="J70" s="2227">
        <v>1.08</v>
      </c>
      <c r="K70" s="2227">
        <v>0.73</v>
      </c>
      <c r="L70" s="2228">
        <v>1.08</v>
      </c>
      <c r="N70" s="2263">
        <f t="shared" si="42"/>
        <v>1.7587939698492462E-2</v>
      </c>
      <c r="O70" s="2264">
        <f t="shared" si="42"/>
        <v>1.1355750425840628E-2</v>
      </c>
      <c r="P70" s="2264">
        <f t="shared" si="43"/>
        <v>2.0862358446754544E-2</v>
      </c>
      <c r="Q70" s="2264">
        <f t="shared" si="43"/>
        <v>1.0132282578103011E-2</v>
      </c>
      <c r="R70" s="2205"/>
      <c r="S70" s="2204"/>
      <c r="T70" s="2189"/>
      <c r="U70" s="2189"/>
      <c r="V70" s="2189"/>
      <c r="X70" s="2265"/>
      <c r="Y70" s="2265"/>
      <c r="Z70" s="2265"/>
    </row>
    <row r="71" spans="1:26">
      <c r="A71" s="2201" t="s">
        <v>495</v>
      </c>
      <c r="B71" s="2202">
        <f t="shared" si="44"/>
        <v>146.57412060301507</v>
      </c>
      <c r="C71" s="2202">
        <f t="shared" si="44"/>
        <v>136.46831955922866</v>
      </c>
      <c r="D71" s="2202">
        <f t="shared" si="20"/>
        <v>136.46831955922866</v>
      </c>
      <c r="E71" s="2202">
        <f t="shared" si="45"/>
        <v>166.73864894795128</v>
      </c>
      <c r="F71" s="2202">
        <f t="shared" si="45"/>
        <v>115.05882352941177</v>
      </c>
      <c r="G71" s="3837">
        <v>2006</v>
      </c>
      <c r="H71" s="2214">
        <v>2</v>
      </c>
      <c r="I71" s="2214">
        <v>0.96</v>
      </c>
      <c r="J71" s="2214">
        <v>0.25</v>
      </c>
      <c r="K71" s="2214">
        <v>1.9</v>
      </c>
      <c r="L71" s="2215">
        <v>0.95</v>
      </c>
      <c r="N71" s="2263">
        <f t="shared" si="42"/>
        <v>1.8352632728861701E-2</v>
      </c>
      <c r="O71" s="2264">
        <f t="shared" si="42"/>
        <v>2.6286459319075526E-3</v>
      </c>
      <c r="P71" s="2264">
        <f t="shared" si="43"/>
        <v>5.4299289107991269E-2</v>
      </c>
      <c r="Q71" s="2264">
        <f t="shared" si="43"/>
        <v>8.9126559714794995E-3</v>
      </c>
      <c r="R71" s="2205"/>
      <c r="S71" s="2204"/>
      <c r="T71" s="2189"/>
      <c r="U71" s="2189"/>
      <c r="V71" s="2189"/>
      <c r="X71" s="2265"/>
      <c r="Y71" s="2265"/>
      <c r="Z71" s="2265"/>
    </row>
    <row r="72" spans="1:26">
      <c r="A72" s="2201" t="s">
        <v>496</v>
      </c>
      <c r="B72" s="2202">
        <f t="shared" si="44"/>
        <v>144.04145728643215</v>
      </c>
      <c r="C72" s="2202">
        <f t="shared" si="44"/>
        <v>136.12396694214877</v>
      </c>
      <c r="D72" s="2202">
        <f t="shared" si="20"/>
        <v>136.12396694214877</v>
      </c>
      <c r="E72" s="2202">
        <f t="shared" si="45"/>
        <v>158.32225913621264</v>
      </c>
      <c r="F72" s="2202">
        <f t="shared" si="45"/>
        <v>114.04278074866311</v>
      </c>
      <c r="G72" s="3838">
        <v>2006</v>
      </c>
      <c r="H72" s="2203">
        <v>1</v>
      </c>
      <c r="I72" s="2203">
        <v>2.29</v>
      </c>
      <c r="J72" s="2203">
        <v>3.72</v>
      </c>
      <c r="K72" s="2203">
        <v>0.75</v>
      </c>
      <c r="L72" s="2209">
        <v>0.04</v>
      </c>
      <c r="N72" s="2266">
        <f t="shared" si="42"/>
        <v>4.3778675988638847E-2</v>
      </c>
      <c r="O72" s="2267">
        <f t="shared" si="42"/>
        <v>3.9114251466784385E-2</v>
      </c>
      <c r="P72" s="2267">
        <f t="shared" si="43"/>
        <v>2.1433929911049188E-2</v>
      </c>
      <c r="Q72" s="2267">
        <f t="shared" si="43"/>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0"/>
        <v>131</v>
      </c>
      <c r="E73" s="2230">
        <v>155</v>
      </c>
      <c r="F73" s="2231">
        <v>114</v>
      </c>
      <c r="G73" s="3836">
        <v>2005</v>
      </c>
      <c r="H73" s="2222">
        <v>4</v>
      </c>
      <c r="I73" s="2222">
        <v>3.29</v>
      </c>
      <c r="J73" s="2222">
        <v>1.44</v>
      </c>
      <c r="K73" s="2222">
        <v>0.66</v>
      </c>
      <c r="L73" s="2223">
        <v>7.78</v>
      </c>
      <c r="N73" s="2263">
        <f t="shared" ref="N73:O76" si="46">I73/SUM(I$73:I$76)*(B$73/B$77-1)</f>
        <v>9.9404603216919935E-2</v>
      </c>
      <c r="O73" s="2264">
        <f t="shared" si="46"/>
        <v>4.7636550760861554E-2</v>
      </c>
      <c r="P73" s="2264">
        <f t="shared" ref="P73:Q76" si="47">K73/SUM(K$73:K$76)*(E$73/E$77-1)</f>
        <v>8.3756345177664976E-2</v>
      </c>
      <c r="Q73" s="2264">
        <f t="shared" si="47"/>
        <v>5.2148766661559584E-2</v>
      </c>
      <c r="R73" s="2205"/>
      <c r="S73" s="2218"/>
      <c r="T73" s="2219"/>
      <c r="U73" s="2219"/>
      <c r="V73" s="2219"/>
      <c r="X73" s="2265"/>
      <c r="Y73" s="2265"/>
      <c r="Z73" s="2265"/>
    </row>
    <row r="74" spans="1:26">
      <c r="A74" s="2201" t="s">
        <v>498</v>
      </c>
      <c r="B74" s="2202">
        <f t="shared" ref="B74:C76" si="48">B75+(B$73-B$77)*I74/SUM(I$73:I$76)</f>
        <v>125.9720430107527</v>
      </c>
      <c r="C74" s="2202">
        <f t="shared" si="48"/>
        <v>125.1883408071749</v>
      </c>
      <c r="D74" s="2202">
        <f t="shared" si="20"/>
        <v>125.1883408071749</v>
      </c>
      <c r="E74" s="2202">
        <f t="shared" ref="E74:F76" si="49">E75+(E$73-E$77)*K74/SUM(K$73:K$76)</f>
        <v>144.61421319796952</v>
      </c>
      <c r="F74" s="2202">
        <f t="shared" si="49"/>
        <v>108.42008196721311</v>
      </c>
      <c r="G74" s="3837">
        <v>2005</v>
      </c>
      <c r="H74" s="2227">
        <v>3</v>
      </c>
      <c r="I74" s="2227">
        <v>0.46</v>
      </c>
      <c r="J74" s="2227">
        <v>0.32</v>
      </c>
      <c r="K74" s="2227">
        <v>0.42</v>
      </c>
      <c r="L74" s="2228">
        <v>0.64</v>
      </c>
      <c r="N74" s="2263">
        <f t="shared" si="46"/>
        <v>1.3898515951301874E-2</v>
      </c>
      <c r="O74" s="2264">
        <f t="shared" si="46"/>
        <v>1.0585900169080346E-2</v>
      </c>
      <c r="P74" s="2264">
        <f t="shared" si="47"/>
        <v>5.3299492385786795E-2</v>
      </c>
      <c r="Q74" s="2264">
        <f t="shared" si="47"/>
        <v>4.2898728359123568E-3</v>
      </c>
      <c r="R74" s="2205"/>
      <c r="S74" s="2204"/>
      <c r="T74" s="2189"/>
      <c r="U74" s="2189"/>
      <c r="V74" s="2189"/>
      <c r="X74" s="2265"/>
      <c r="Y74" s="2265"/>
      <c r="Z74" s="2265"/>
    </row>
    <row r="75" spans="1:26">
      <c r="A75" s="2201" t="s">
        <v>499</v>
      </c>
      <c r="B75" s="2202">
        <f t="shared" si="48"/>
        <v>124.29032258064517</v>
      </c>
      <c r="C75" s="2202">
        <f t="shared" si="48"/>
        <v>123.8968609865471</v>
      </c>
      <c r="D75" s="2202">
        <f t="shared" si="20"/>
        <v>123.8968609865471</v>
      </c>
      <c r="E75" s="2202">
        <f t="shared" si="49"/>
        <v>138.00507614213197</v>
      </c>
      <c r="F75" s="2202">
        <f t="shared" si="49"/>
        <v>107.96106557377048</v>
      </c>
      <c r="G75" s="3837">
        <v>2005</v>
      </c>
      <c r="H75" s="2214">
        <v>2</v>
      </c>
      <c r="I75" s="2214">
        <v>0.47</v>
      </c>
      <c r="J75" s="2214">
        <v>0.1</v>
      </c>
      <c r="K75" s="2214">
        <v>0.52</v>
      </c>
      <c r="L75" s="2215">
        <v>0.79</v>
      </c>
      <c r="N75" s="2263">
        <f t="shared" si="46"/>
        <v>1.420065760241713E-2</v>
      </c>
      <c r="O75" s="2264">
        <f t="shared" si="46"/>
        <v>3.3080938028376083E-3</v>
      </c>
      <c r="P75" s="2264">
        <f t="shared" si="47"/>
        <v>6.598984771573603E-2</v>
      </c>
      <c r="Q75" s="2264">
        <f t="shared" si="47"/>
        <v>5.2953117818293153E-3</v>
      </c>
      <c r="R75" s="2205"/>
      <c r="S75" s="2204"/>
      <c r="T75" s="2189"/>
      <c r="U75" s="2189"/>
      <c r="V75" s="2189"/>
      <c r="X75" s="2265"/>
      <c r="Y75" s="2265"/>
      <c r="Z75" s="2265"/>
    </row>
    <row r="76" spans="1:26">
      <c r="A76" s="2201" t="s">
        <v>500</v>
      </c>
      <c r="B76" s="2202">
        <f t="shared" si="48"/>
        <v>122.57204301075269</v>
      </c>
      <c r="C76" s="2202">
        <f t="shared" si="48"/>
        <v>123.4932735426009</v>
      </c>
      <c r="D76" s="2202">
        <f t="shared" si="20"/>
        <v>123.4932735426009</v>
      </c>
      <c r="E76" s="2202">
        <f t="shared" si="49"/>
        <v>129.82233502538071</v>
      </c>
      <c r="F76" s="2202">
        <f t="shared" si="49"/>
        <v>107.39446721311475</v>
      </c>
      <c r="G76" s="3838">
        <v>2005</v>
      </c>
      <c r="H76" s="2203">
        <v>1</v>
      </c>
      <c r="I76" s="2203">
        <v>0.43</v>
      </c>
      <c r="J76" s="2203">
        <v>0.37</v>
      </c>
      <c r="K76" s="2203">
        <v>0.37</v>
      </c>
      <c r="L76" s="2209">
        <v>0.55000000000000004</v>
      </c>
      <c r="N76" s="2266">
        <f t="shared" si="46"/>
        <v>1.2992090997956099E-2</v>
      </c>
      <c r="O76" s="2267">
        <f t="shared" si="46"/>
        <v>1.2239947070499151E-2</v>
      </c>
      <c r="P76" s="2267">
        <f t="shared" si="47"/>
        <v>4.6954314720812178E-2</v>
      </c>
      <c r="Q76" s="2267">
        <f t="shared" si="47"/>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0"/>
        <v>122</v>
      </c>
      <c r="E77" s="2251">
        <v>124</v>
      </c>
      <c r="F77" s="2252">
        <v>107</v>
      </c>
      <c r="G77" s="3836">
        <v>2004</v>
      </c>
      <c r="H77" s="2222">
        <v>4</v>
      </c>
      <c r="I77" s="2222">
        <v>0.33</v>
      </c>
      <c r="J77" s="2222">
        <v>0.5</v>
      </c>
      <c r="K77" s="2222">
        <v>0.5</v>
      </c>
      <c r="L77" s="2223">
        <v>0</v>
      </c>
      <c r="N77" s="2263">
        <f t="shared" ref="N77:O80" si="50">I77/SUM(I$77:I$80)*(B$77/B$81-1)</f>
        <v>1.3391770148526898E-2</v>
      </c>
      <c r="O77" s="2264">
        <f t="shared" si="50"/>
        <v>1.063264221158958E-2</v>
      </c>
      <c r="P77" s="2264">
        <f t="shared" ref="P77:Q80" si="51">K77/SUM(K$77:K$80)*(E$77/E$81-1)</f>
        <v>2.2244466688911134E-2</v>
      </c>
      <c r="Q77" s="2264">
        <f t="shared" si="51"/>
        <v>0</v>
      </c>
      <c r="R77" s="2205"/>
      <c r="S77" s="2218"/>
      <c r="T77" s="2219"/>
      <c r="U77" s="2219"/>
      <c r="V77" s="2219"/>
      <c r="X77" s="2265"/>
      <c r="Y77" s="2265"/>
      <c r="Z77" s="2265"/>
    </row>
    <row r="78" spans="1:26">
      <c r="A78" s="2201" t="s">
        <v>502</v>
      </c>
      <c r="B78" s="2202">
        <f t="shared" ref="B78:C80" si="52">B79+(B$77-B$81)*I78/SUM(I$77:I$80)</f>
        <v>119.51351351351352</v>
      </c>
      <c r="C78" s="2202">
        <f t="shared" si="52"/>
        <v>120.7878787878788</v>
      </c>
      <c r="D78" s="2202">
        <f t="shared" si="20"/>
        <v>120.7878787878788</v>
      </c>
      <c r="E78" s="2202">
        <f t="shared" ref="E78:F80" si="53">E79+(E$77-E$81)*K78/SUM(K$77:K$80)</f>
        <v>121.5975975975976</v>
      </c>
      <c r="F78" s="2202">
        <f t="shared" si="53"/>
        <v>107</v>
      </c>
      <c r="G78" s="3837">
        <v>2004</v>
      </c>
      <c r="H78" s="2227">
        <v>3</v>
      </c>
      <c r="I78" s="2227">
        <v>0.56000000000000005</v>
      </c>
      <c r="J78" s="2227">
        <v>0.8</v>
      </c>
      <c r="K78" s="2227">
        <v>0.83</v>
      </c>
      <c r="L78" s="2228">
        <v>0.06</v>
      </c>
      <c r="N78" s="2263">
        <f t="shared" si="50"/>
        <v>2.2725428130833527E-2</v>
      </c>
      <c r="O78" s="2264">
        <f t="shared" si="50"/>
        <v>1.7012227538543329E-2</v>
      </c>
      <c r="P78" s="2264">
        <f t="shared" si="51"/>
        <v>3.6925814703592477E-2</v>
      </c>
      <c r="Q78" s="2264">
        <f t="shared" si="51"/>
        <v>2.8846153846153744E-2</v>
      </c>
      <c r="R78" s="2205"/>
      <c r="S78" s="2204"/>
      <c r="T78" s="2189"/>
      <c r="U78" s="2189"/>
      <c r="V78" s="2189"/>
      <c r="X78" s="2265"/>
      <c r="Y78" s="2265"/>
      <c r="Z78" s="2265"/>
    </row>
    <row r="79" spans="1:26">
      <c r="A79" s="2201" t="s">
        <v>503</v>
      </c>
      <c r="B79" s="2202">
        <f t="shared" si="52"/>
        <v>116.99099099099099</v>
      </c>
      <c r="C79" s="2202">
        <f t="shared" si="52"/>
        <v>118.84848484848486</v>
      </c>
      <c r="D79" s="2202">
        <f t="shared" si="20"/>
        <v>118.84848484848486</v>
      </c>
      <c r="E79" s="2202">
        <f t="shared" si="53"/>
        <v>117.60960960960961</v>
      </c>
      <c r="F79" s="2202">
        <f t="shared" si="53"/>
        <v>104</v>
      </c>
      <c r="G79" s="3837">
        <v>2004</v>
      </c>
      <c r="H79" s="2214">
        <v>2</v>
      </c>
      <c r="I79" s="2214">
        <v>1</v>
      </c>
      <c r="J79" s="2214">
        <v>1.5</v>
      </c>
      <c r="K79" s="2214">
        <v>1.5</v>
      </c>
      <c r="L79" s="2215">
        <v>0</v>
      </c>
      <c r="N79" s="2263">
        <f t="shared" si="50"/>
        <v>4.0581121662202721E-2</v>
      </c>
      <c r="O79" s="2264">
        <f t="shared" si="50"/>
        <v>3.1897926634768738E-2</v>
      </c>
      <c r="P79" s="2264">
        <f t="shared" si="51"/>
        <v>6.6733400066733395E-2</v>
      </c>
      <c r="Q79" s="2264">
        <f t="shared" si="51"/>
        <v>0</v>
      </c>
      <c r="R79" s="2205"/>
      <c r="S79" s="2204"/>
      <c r="T79" s="2189"/>
      <c r="U79" s="2189"/>
      <c r="V79" s="2189"/>
      <c r="X79" s="2265"/>
      <c r="Y79" s="2265"/>
      <c r="Z79" s="2265"/>
    </row>
    <row r="80" spans="1:26" s="2257" customFormat="1" ht="13.5" thickBot="1">
      <c r="A80" s="2201" t="s">
        <v>504</v>
      </c>
      <c r="B80" s="2254">
        <f t="shared" si="52"/>
        <v>112.48648648648648</v>
      </c>
      <c r="C80" s="2254">
        <f t="shared" si="52"/>
        <v>115.21212121212122</v>
      </c>
      <c r="D80" s="2254">
        <f t="shared" si="20"/>
        <v>115.21212121212122</v>
      </c>
      <c r="E80" s="2254">
        <f t="shared" si="53"/>
        <v>110.4024024024024</v>
      </c>
      <c r="F80" s="2254">
        <f t="shared" si="53"/>
        <v>104</v>
      </c>
      <c r="G80" s="3838">
        <v>2004</v>
      </c>
      <c r="H80" s="2255">
        <v>1</v>
      </c>
      <c r="I80" s="2255">
        <v>0.33</v>
      </c>
      <c r="J80" s="2255">
        <v>0.5</v>
      </c>
      <c r="K80" s="2255">
        <v>0.5</v>
      </c>
      <c r="L80" s="2256">
        <v>0</v>
      </c>
      <c r="N80" s="2268">
        <f t="shared" si="50"/>
        <v>1.3391770148526898E-2</v>
      </c>
      <c r="O80" s="2269">
        <f t="shared" si="50"/>
        <v>1.063264221158958E-2</v>
      </c>
      <c r="P80" s="2269">
        <f t="shared" si="51"/>
        <v>2.2244466688911134E-2</v>
      </c>
      <c r="Q80" s="2269">
        <f t="shared" si="51"/>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0"/>
        <v>114</v>
      </c>
      <c r="E81" s="2271">
        <v>108</v>
      </c>
      <c r="F81" s="2272">
        <v>104</v>
      </c>
      <c r="G81" s="383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54">B83+(B$81-B$85)/4</f>
        <v>109.75</v>
      </c>
      <c r="C82" s="2275">
        <f t="shared" si="54"/>
        <v>112.25</v>
      </c>
      <c r="D82" s="2275">
        <f t="shared" si="20"/>
        <v>112.25</v>
      </c>
      <c r="E82" s="2275">
        <f t="shared" ref="E82:F84" si="55">E83+(E$81-E$85)/4</f>
        <v>107.25</v>
      </c>
      <c r="F82" s="2275">
        <f t="shared" si="55"/>
        <v>103.5</v>
      </c>
      <c r="G82" s="3837">
        <v>2003</v>
      </c>
      <c r="H82" s="2227">
        <v>3</v>
      </c>
      <c r="I82" s="2273"/>
      <c r="J82" s="2273"/>
      <c r="K82" s="2273"/>
      <c r="L82" s="2273"/>
      <c r="X82" s="2265"/>
      <c r="Y82" s="2265"/>
      <c r="Z82" s="2265"/>
    </row>
    <row r="83" spans="1:26">
      <c r="A83" s="2201" t="s">
        <v>507</v>
      </c>
      <c r="B83" s="2275">
        <f t="shared" si="54"/>
        <v>108.5</v>
      </c>
      <c r="C83" s="2275">
        <f t="shared" si="54"/>
        <v>110.5</v>
      </c>
      <c r="D83" s="2275">
        <f t="shared" si="20"/>
        <v>110.5</v>
      </c>
      <c r="E83" s="2275">
        <f t="shared" si="55"/>
        <v>106.5</v>
      </c>
      <c r="F83" s="2275">
        <f t="shared" si="55"/>
        <v>103</v>
      </c>
      <c r="G83" s="3837">
        <v>2003</v>
      </c>
      <c r="H83" s="2214">
        <v>2</v>
      </c>
      <c r="I83" s="2273"/>
      <c r="J83" s="2273"/>
      <c r="K83" s="2273"/>
      <c r="L83" s="2273"/>
      <c r="X83" s="2265"/>
      <c r="Y83" s="2265"/>
      <c r="Z83" s="2265"/>
    </row>
    <row r="84" spans="1:26" ht="13.5" thickBot="1">
      <c r="A84" s="2201" t="s">
        <v>508</v>
      </c>
      <c r="B84" s="2275">
        <f t="shared" si="54"/>
        <v>107.25</v>
      </c>
      <c r="C84" s="2275">
        <f t="shared" si="54"/>
        <v>108.75</v>
      </c>
      <c r="D84" s="2275">
        <f t="shared" si="20"/>
        <v>108.75</v>
      </c>
      <c r="E84" s="2275">
        <f t="shared" si="55"/>
        <v>105.75</v>
      </c>
      <c r="F84" s="2275">
        <f t="shared" si="55"/>
        <v>102.5</v>
      </c>
      <c r="G84" s="383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0"/>
        <v>107</v>
      </c>
      <c r="E85" s="2277">
        <v>105</v>
      </c>
      <c r="F85" s="2278">
        <v>102</v>
      </c>
      <c r="G85" s="383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56">B87+(B$85-B$89)/4</f>
        <v>105</v>
      </c>
      <c r="C86" s="2275">
        <f t="shared" si="56"/>
        <v>106</v>
      </c>
      <c r="D86" s="2275">
        <f t="shared" si="20"/>
        <v>106</v>
      </c>
      <c r="E86" s="2275">
        <f t="shared" ref="E86:F88" si="57">E87+(E$85-E$89)/4</f>
        <v>104.5</v>
      </c>
      <c r="F86" s="2275">
        <f t="shared" si="57"/>
        <v>101.5</v>
      </c>
      <c r="G86" s="3837">
        <v>2002</v>
      </c>
      <c r="H86" s="2227">
        <v>3</v>
      </c>
      <c r="I86" s="2273"/>
      <c r="J86" s="2273"/>
      <c r="K86" s="2273"/>
      <c r="L86" s="2273"/>
      <c r="X86" s="2265"/>
      <c r="Y86" s="2265"/>
      <c r="Z86" s="2265"/>
    </row>
    <row r="87" spans="1:26">
      <c r="A87" s="2201" t="s">
        <v>511</v>
      </c>
      <c r="B87" s="2275">
        <f t="shared" si="56"/>
        <v>104</v>
      </c>
      <c r="C87" s="2275">
        <f t="shared" si="56"/>
        <v>105</v>
      </c>
      <c r="D87" s="2275">
        <f t="shared" si="20"/>
        <v>105</v>
      </c>
      <c r="E87" s="2275">
        <f t="shared" si="57"/>
        <v>104</v>
      </c>
      <c r="F87" s="2275">
        <f t="shared" si="57"/>
        <v>101</v>
      </c>
      <c r="G87" s="3837">
        <v>2002</v>
      </c>
      <c r="H87" s="2214">
        <v>2</v>
      </c>
      <c r="I87" s="2273"/>
      <c r="J87" s="2273"/>
      <c r="K87" s="2273"/>
      <c r="L87" s="2273"/>
      <c r="X87" s="2265"/>
      <c r="Y87" s="2265"/>
      <c r="Z87" s="2265"/>
    </row>
    <row r="88" spans="1:26" s="2238" customFormat="1" ht="13.5" thickBot="1">
      <c r="A88" s="2234" t="s">
        <v>512</v>
      </c>
      <c r="B88" s="2241">
        <f t="shared" si="56"/>
        <v>103</v>
      </c>
      <c r="C88" s="2241">
        <f t="shared" si="56"/>
        <v>104</v>
      </c>
      <c r="D88" s="2241">
        <f t="shared" si="20"/>
        <v>104</v>
      </c>
      <c r="E88" s="2241">
        <f t="shared" si="57"/>
        <v>103.5</v>
      </c>
      <c r="F88" s="2241">
        <f t="shared" si="57"/>
        <v>100.5</v>
      </c>
      <c r="G88" s="3838">
        <v>2002</v>
      </c>
      <c r="H88" s="2279">
        <v>1</v>
      </c>
      <c r="I88" s="2280"/>
      <c r="J88" s="2280"/>
      <c r="K88" s="2280"/>
      <c r="L88" s="2280"/>
      <c r="N88" s="2281"/>
      <c r="S88" s="2281"/>
      <c r="X88" s="2282"/>
      <c r="Y88" s="2282"/>
      <c r="Z88" s="2282"/>
    </row>
    <row r="89" spans="1:26" ht="13.5" thickBot="1">
      <c r="B89" s="2283">
        <v>102</v>
      </c>
      <c r="C89" s="2284">
        <v>103</v>
      </c>
      <c r="D89" s="2284">
        <f t="shared" si="20"/>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45250</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2308</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928</v>
      </c>
      <c r="B2" s="3523" t="s">
        <v>929</v>
      </c>
      <c r="C2" s="3523" t="s">
        <v>930</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
      <c r="A3" s="3518"/>
      <c r="B3" s="3518"/>
      <c r="C3" s="3518"/>
      <c r="D3" s="854" t="s">
        <v>925</v>
      </c>
      <c r="E3" s="854" t="s">
        <v>931</v>
      </c>
      <c r="F3" s="854" t="s">
        <v>925</v>
      </c>
      <c r="G3" s="854" t="s">
        <v>926</v>
      </c>
      <c r="H3" s="854" t="s">
        <v>925</v>
      </c>
      <c r="I3" s="854" t="s">
        <v>926</v>
      </c>
    </row>
    <row r="4" spans="1:9" ht="15">
      <c r="A4" s="1504" t="str">
        <f>项目基本情况!S2</f>
        <v>北京市房地产</v>
      </c>
      <c r="B4" s="854">
        <f>项目基本情况!C17</f>
        <v>69.099999999999994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8" t="s">
        <v>927</v>
      </c>
      <c r="B5" s="3518"/>
      <c r="C5" s="3518"/>
      <c r="D5" s="3518" t="e">
        <f ca="1">结果表!D119</f>
        <v>#REF!</v>
      </c>
      <c r="E5" s="3518"/>
      <c r="F5" s="3518" t="e">
        <f ca="1">结果表!F119</f>
        <v>#REF!</v>
      </c>
      <c r="G5" s="3518"/>
      <c r="H5" s="3518" t="e">
        <f ca="1">结果表!H119</f>
        <v>#REF!</v>
      </c>
      <c r="I5" s="3518"/>
    </row>
    <row r="6" spans="1:9" ht="15.75">
      <c r="A6" s="3517" t="str">
        <f>结果表!A120</f>
        <v>估价师知悉的法定优先受偿款</v>
      </c>
      <c r="B6" s="3517"/>
      <c r="C6" s="3517"/>
      <c r="D6" s="3517">
        <f>结果表!D120</f>
        <v>0</v>
      </c>
      <c r="E6" s="3517"/>
      <c r="F6" s="3517"/>
      <c r="G6" s="3517"/>
      <c r="H6" s="3517"/>
      <c r="I6" s="3517"/>
    </row>
    <row r="7" spans="1:9" ht="15">
      <c r="A7" s="3518" t="s">
        <v>927</v>
      </c>
      <c r="B7" s="3518"/>
      <c r="C7" s="3518"/>
      <c r="D7" s="3519" t="str">
        <f>结果表!D121</f>
        <v>零元整</v>
      </c>
      <c r="E7" s="3520"/>
      <c r="F7" s="3520"/>
      <c r="G7" s="3520"/>
      <c r="H7" s="3520"/>
      <c r="I7" s="3521"/>
    </row>
    <row r="8" spans="1:9" ht="15.75">
      <c r="A8" s="3517" t="str">
        <f>结果表!A122</f>
        <v>房地产抵押价值</v>
      </c>
      <c r="B8" s="3517"/>
      <c r="C8" s="3517"/>
      <c r="D8" s="3517" t="e">
        <f ca="1">结果表!D122</f>
        <v>#REF!</v>
      </c>
      <c r="E8" s="3517"/>
      <c r="F8" s="3517"/>
      <c r="G8" s="3517"/>
      <c r="H8" s="3517"/>
      <c r="I8" s="3517"/>
    </row>
    <row r="9" spans="1:9" ht="15">
      <c r="A9" s="3518" t="s">
        <v>927</v>
      </c>
      <c r="B9" s="3518"/>
      <c r="C9" s="3518"/>
      <c r="D9" s="3518" t="e">
        <f ca="1">结果表!D123</f>
        <v>#REF!</v>
      </c>
      <c r="E9" s="3518"/>
      <c r="F9" s="3518"/>
      <c r="G9" s="3518"/>
      <c r="H9" s="3518"/>
      <c r="I9" s="3518"/>
    </row>
    <row r="10" spans="1:9" ht="15.75">
      <c r="A10" s="3517" t="str">
        <f>结果表!A124</f>
        <v/>
      </c>
      <c r="B10" s="3517"/>
      <c r="C10" s="3517"/>
      <c r="D10" s="3517" t="str">
        <f>结果表!D124</f>
        <v>——</v>
      </c>
      <c r="E10" s="3517"/>
      <c r="F10" s="3517"/>
      <c r="G10" s="3517"/>
      <c r="H10" s="3517"/>
      <c r="I10" s="3517"/>
    </row>
    <row r="11" spans="1:9" ht="15">
      <c r="A11" s="3518" t="s">
        <v>927</v>
      </c>
      <c r="B11" s="3518"/>
      <c r="C11" s="3518"/>
      <c r="D11" s="3518" t="e">
        <f>结果表!D125</f>
        <v>#VALUE!</v>
      </c>
      <c r="E11" s="3518"/>
      <c r="F11" s="3518"/>
      <c r="G11" s="3518"/>
      <c r="H11" s="3518"/>
      <c r="I11" s="3518"/>
    </row>
    <row r="12" spans="1:9" ht="15.75">
      <c r="A12" s="3517" t="str">
        <f>结果表!A126</f>
        <v/>
      </c>
      <c r="B12" s="3517"/>
      <c r="C12" s="3517"/>
      <c r="D12" s="3517" t="str">
        <f>结果表!D126</f>
        <v>——</v>
      </c>
      <c r="E12" s="3517"/>
      <c r="F12" s="3517"/>
      <c r="G12" s="3517"/>
      <c r="H12" s="3517"/>
      <c r="I12" s="3517"/>
    </row>
    <row r="13" spans="1:9" ht="15.75" thickBot="1">
      <c r="A13" s="3515" t="s">
        <v>927</v>
      </c>
      <c r="B13" s="3515"/>
      <c r="C13" s="3515"/>
      <c r="D13" s="3515" t="e">
        <f>结果表!D127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0" t="s">
        <v>949</v>
      </c>
      <c r="B1" s="3530"/>
      <c r="C1" s="3530"/>
      <c r="D1" s="3530"/>
    </row>
    <row r="2" spans="1:4" ht="18">
      <c r="A2" s="3531" t="s">
        <v>933</v>
      </c>
      <c r="B2" s="3531"/>
      <c r="C2" s="3531"/>
      <c r="D2" s="353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31" t="s">
        <v>939</v>
      </c>
      <c r="B6" s="3531"/>
      <c r="C6" s="3531"/>
      <c r="D6" s="353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32"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9"/>
      <c r="C12" s="3529"/>
      <c r="D12" s="3529"/>
    </row>
    <row r="13" spans="1:4" ht="30" customHeight="1">
      <c r="A13" s="3524" t="str">
        <f>IF(项目基本情况!B8="抵押","3.抵押双方在办理抵押登记手续时，应使用本公司出具的正式《房地产评估报告》，特提醒报告使用者注意。","——")</f>
        <v>——</v>
      </c>
      <c r="B13" s="3529"/>
      <c r="C13" s="3529"/>
      <c r="D13" s="3529"/>
    </row>
    <row r="14" spans="1:4" ht="15.75" customHeight="1">
      <c r="A14" s="3524" t="str">
        <f>IF(项目基本情况!B8="抵押","4.本次评估估价师所知悉的法定优先受偿款情况说明如下：","——")</f>
        <v>——</v>
      </c>
      <c r="B14" s="3529"/>
      <c r="C14" s="3529"/>
      <c r="D14" s="3529"/>
    </row>
    <row r="15" spans="1:4" ht="42" customHeight="1">
      <c r="A15" s="3524" t="str">
        <f>IF(项目基本情况!B8="抵押","（1）"&amp;CONCATENATE(项目基本情况!L20,项目基本情况!L21,项目基本情况!L22),"——")</f>
        <v>——</v>
      </c>
      <c r="B15" s="3524"/>
      <c r="C15" s="3524"/>
      <c r="D15" s="3524"/>
    </row>
    <row r="16" spans="1:4" ht="30" customHeight="1">
      <c r="A16" s="3526" t="s">
        <v>943</v>
      </c>
      <c r="B16" s="3526"/>
      <c r="C16" s="3526"/>
      <c r="D16" s="3526"/>
    </row>
    <row r="17" spans="1:4" ht="144" customHeight="1">
      <c r="A17" s="3526" t="s">
        <v>944</v>
      </c>
      <c r="B17" s="3526"/>
      <c r="C17" s="3526"/>
      <c r="D17" s="3526"/>
    </row>
    <row r="18" spans="1:4" ht="15.75" customHeight="1">
      <c r="A18" s="3524" t="str">
        <f>IF(项目基本情况!B8="抵押",结果表!K120,"——")</f>
        <v>——</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5">
        <v>42551</v>
      </c>
      <c r="D31" s="35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8" t="s">
        <v>956</v>
      </c>
      <c r="B15" s="3533" t="s">
        <v>109</v>
      </c>
      <c r="C15" s="3534"/>
    </row>
    <row r="16" spans="1:7" ht="13.5">
      <c r="A16" s="3539"/>
      <c r="B16" s="3533" t="s">
        <v>42</v>
      </c>
      <c r="C16" s="3534"/>
    </row>
    <row r="17" spans="1:3" ht="13.5">
      <c r="A17" s="3539"/>
      <c r="B17" s="3536" t="s">
        <v>957</v>
      </c>
      <c r="C17" s="1531" t="s">
        <v>956</v>
      </c>
    </row>
    <row r="18" spans="1:3" ht="13.5">
      <c r="A18" s="3539"/>
      <c r="B18" s="3536"/>
      <c r="C18" s="1531" t="s">
        <v>958</v>
      </c>
    </row>
    <row r="19" spans="1:3" ht="13.5">
      <c r="A19" s="3539"/>
      <c r="B19" s="3536"/>
      <c r="C19" s="1531" t="s">
        <v>959</v>
      </c>
    </row>
    <row r="20" spans="1:3" ht="13.5">
      <c r="A20" s="3540"/>
      <c r="B20" s="3535" t="s">
        <v>960</v>
      </c>
      <c r="C20" s="3534"/>
    </row>
    <row r="21" spans="1:3" ht="13.5">
      <c r="A21" s="1532" t="s">
        <v>961</v>
      </c>
      <c r="B21" s="1533"/>
      <c r="C21" s="1534"/>
    </row>
    <row r="22" spans="1:3" ht="13.5">
      <c r="A22" s="3537" t="s">
        <v>962</v>
      </c>
      <c r="B22" s="3535" t="s">
        <v>963</v>
      </c>
      <c r="C22" s="3534"/>
    </row>
    <row r="23" spans="1:3" ht="13.5">
      <c r="A23" s="3537"/>
      <c r="B23" s="3535" t="s">
        <v>964</v>
      </c>
      <c r="C23" s="3534"/>
    </row>
    <row r="24" spans="1:3" ht="13.5">
      <c r="A24" s="3537"/>
      <c r="B24" s="3535" t="s">
        <v>965</v>
      </c>
      <c r="C24" s="3534"/>
    </row>
    <row r="25" spans="1:3" ht="13.5">
      <c r="A25" s="3537"/>
      <c r="B25" s="3536" t="s">
        <v>966</v>
      </c>
      <c r="C25" s="1531" t="s">
        <v>967</v>
      </c>
    </row>
    <row r="26" spans="1:3" ht="13.5">
      <c r="A26" s="3537"/>
      <c r="B26" s="3536"/>
      <c r="C26" s="1531" t="s">
        <v>968</v>
      </c>
    </row>
    <row r="27" spans="1:3" ht="13.5">
      <c r="A27" s="3537"/>
      <c r="B27" s="3536"/>
      <c r="C27" s="1531" t="s">
        <v>969</v>
      </c>
    </row>
    <row r="28" spans="1:3" ht="13.5">
      <c r="A28" s="3537"/>
      <c r="B28" s="3536"/>
      <c r="C28" s="1531" t="s">
        <v>970</v>
      </c>
    </row>
    <row r="29" spans="1:3" ht="13.5">
      <c r="A29" s="3537"/>
      <c r="B29" s="3536"/>
      <c r="C29" s="1531" t="s">
        <v>971</v>
      </c>
    </row>
    <row r="30" spans="1:3" ht="13.5">
      <c r="A30" s="3537"/>
      <c r="B30" s="3536"/>
      <c r="C30" s="1531" t="s">
        <v>972</v>
      </c>
    </row>
    <row r="31" spans="1:3" ht="13.5">
      <c r="A31" s="3537"/>
      <c r="B31" s="3536"/>
      <c r="C31" s="1531" t="s">
        <v>973</v>
      </c>
    </row>
    <row r="32" spans="1:3" ht="13.5">
      <c r="A32" s="3537"/>
      <c r="B32" s="3536"/>
      <c r="C32" s="1531" t="s">
        <v>974</v>
      </c>
    </row>
    <row r="33" spans="1:3" ht="13.5">
      <c r="A33" s="3537"/>
      <c r="B33" s="353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45282</v>
      </c>
      <c r="C2" s="2336" t="s">
        <v>2137</v>
      </c>
      <c r="D2" s="2336"/>
      <c r="E2" s="2336"/>
      <c r="F2" s="2332"/>
      <c r="G2" s="2332"/>
      <c r="H2" s="2332"/>
    </row>
    <row r="3" spans="1:8" ht="24" customHeight="1">
      <c r="A3" s="2337" t="s">
        <v>2138</v>
      </c>
      <c r="B3" s="2338" t="s">
        <v>2139</v>
      </c>
      <c r="C3" s="2338" t="s">
        <v>2140</v>
      </c>
      <c r="D3" s="2339" t="s">
        <v>2141</v>
      </c>
      <c r="E3" s="2340" t="s">
        <v>2142</v>
      </c>
      <c r="F3" s="1303" t="s">
        <v>2143</v>
      </c>
      <c r="G3" s="2338" t="s">
        <v>2140</v>
      </c>
      <c r="H3" s="2339" t="s">
        <v>2144</v>
      </c>
    </row>
    <row r="4" spans="1:8" ht="24" customHeight="1">
      <c r="A4" s="1303" t="s">
        <v>2145</v>
      </c>
      <c r="B4" s="1303">
        <f ca="1">IF(C4&lt;B2,"已过期",1119970066)</f>
        <v>1119970066</v>
      </c>
      <c r="C4" s="2341">
        <v>45937</v>
      </c>
      <c r="D4" s="2342" t="str">
        <f ca="1">A4&amp;"（注册号："&amp;B4&amp;"）"</f>
        <v>梁津（注册号：1119970066）</v>
      </c>
      <c r="E4" s="2343" t="s">
        <v>2145</v>
      </c>
      <c r="F4" s="1303">
        <f ca="1">IF(G4&lt;B2,"已过期",96010014)</f>
        <v>96010014</v>
      </c>
      <c r="G4" s="2344">
        <v>47118</v>
      </c>
      <c r="H4" s="2345" t="str">
        <f ca="1">E4&amp;"（注册号："&amp;F4&amp;"）"</f>
        <v>梁津（注册号：96010014）</v>
      </c>
    </row>
    <row r="5" spans="1:8" ht="24" customHeight="1">
      <c r="A5" s="1303" t="s">
        <v>2146</v>
      </c>
      <c r="B5" s="1303">
        <f ca="1">IF(C5&lt;B2,"已过期",1119970111)</f>
        <v>1119970111</v>
      </c>
      <c r="C5" s="2341">
        <v>45937</v>
      </c>
      <c r="D5" s="2342" t="str">
        <f t="shared" ref="D5:D15" ca="1" si="0">A5&amp;"（注册号："&amp;B5&amp;"）"</f>
        <v>叶凌（注册号：1119970111）</v>
      </c>
      <c r="E5" s="2343" t="s">
        <v>2146</v>
      </c>
      <c r="F5" s="1303">
        <f ca="1">IF(G5&lt;B2,"已过期",94010078)</f>
        <v>94010078</v>
      </c>
      <c r="G5" s="2344">
        <v>46387</v>
      </c>
      <c r="H5" s="2345" t="str">
        <f t="shared" ref="H5:H16" ca="1" si="1">E5&amp;"（注册号："&amp;F5&amp;"）"</f>
        <v>叶凌（注册号：94010078）</v>
      </c>
    </row>
    <row r="6" spans="1:8" ht="24" customHeight="1">
      <c r="A6" s="1303" t="s">
        <v>2147</v>
      </c>
      <c r="B6" s="1303">
        <f ca="1">IF(C6&lt;B2,"已过期",1120050019)</f>
        <v>1120050019</v>
      </c>
      <c r="C6" s="2341">
        <v>45410</v>
      </c>
      <c r="D6" s="2342" t="str">
        <f t="shared" ca="1" si="0"/>
        <v>王鹏（注册号：1120050019）</v>
      </c>
      <c r="E6" s="2343" t="s">
        <v>2147</v>
      </c>
      <c r="F6" s="1303">
        <f ca="1">IF(G6&lt;B2,"已过期",2002110030)</f>
        <v>2002110030</v>
      </c>
      <c r="G6" s="2344">
        <v>46387</v>
      </c>
      <c r="H6" s="2345" t="str">
        <f t="shared" ca="1" si="1"/>
        <v>王鹏（注册号：2002110030）</v>
      </c>
    </row>
    <row r="7" spans="1:8" ht="24" customHeight="1">
      <c r="A7" s="1303" t="s">
        <v>2148</v>
      </c>
      <c r="B7" s="1303">
        <f ca="1">IF(C7&lt;B2,"已过期",1120000080)</f>
        <v>1120000080</v>
      </c>
      <c r="C7" s="2341">
        <v>45937</v>
      </c>
      <c r="D7" s="2342" t="str">
        <f t="shared" ca="1" si="0"/>
        <v>欧红伟（注册号：1120000080）</v>
      </c>
      <c r="E7" s="2343" t="s">
        <v>2148</v>
      </c>
      <c r="F7" s="1303">
        <f ca="1">IF(G7&lt;B2,"已过期",2000110082)</f>
        <v>2000110082</v>
      </c>
      <c r="G7" s="2344">
        <v>46387</v>
      </c>
      <c r="H7" s="2345" t="str">
        <f t="shared" ca="1" si="1"/>
        <v>欧红伟（注册号：2000110082）</v>
      </c>
    </row>
    <row r="8" spans="1:8" ht="24" customHeight="1">
      <c r="A8" s="1303" t="s">
        <v>2149</v>
      </c>
      <c r="B8" s="1303">
        <f ca="1">IF(C8&lt;B2,"已过期",1419970001)</f>
        <v>1419970001</v>
      </c>
      <c r="C8" s="2341">
        <v>45937</v>
      </c>
      <c r="D8" s="2342" t="str">
        <f t="shared" ca="1" si="0"/>
        <v>吴薇（注册号：1419970001）</v>
      </c>
      <c r="E8" s="2343" t="s">
        <v>2149</v>
      </c>
      <c r="F8" s="1303">
        <f ca="1">IF(G8&lt;B2,"已过期",2002110125)</f>
        <v>2002110125</v>
      </c>
      <c r="G8" s="2344">
        <v>47118</v>
      </c>
      <c r="H8" s="2345" t="str">
        <f t="shared" ca="1" si="1"/>
        <v>吴薇（注册号：2002110125）</v>
      </c>
    </row>
    <row r="9" spans="1:8" ht="24" customHeight="1">
      <c r="A9" s="1303" t="s">
        <v>2150</v>
      </c>
      <c r="B9" s="1303">
        <f ca="1">IF(C9&lt;B2,"已过期",1120060040)</f>
        <v>1120060040</v>
      </c>
      <c r="C9" s="2346">
        <v>45592</v>
      </c>
      <c r="D9" s="2342" t="str">
        <f t="shared" ca="1" si="0"/>
        <v>陈颖（注册号：1120060040）</v>
      </c>
      <c r="E9" s="2343" t="s">
        <v>2150</v>
      </c>
      <c r="F9" s="1303">
        <f ca="1">IF(G9&lt;B2,"已过期",2004110096)</f>
        <v>2004110096</v>
      </c>
      <c r="G9" s="2344">
        <v>47118</v>
      </c>
      <c r="H9" s="2345" t="str">
        <f t="shared" ca="1" si="1"/>
        <v>陈颖（注册号：2004110096）</v>
      </c>
    </row>
    <row r="10" spans="1:8" ht="24" customHeight="1">
      <c r="A10" s="1303" t="s">
        <v>2151</v>
      </c>
      <c r="B10" s="1303">
        <f ca="1">IF(C10&lt;B2,"已过期",1120100036)</f>
        <v>1120100036</v>
      </c>
      <c r="C10" s="2346">
        <v>45752</v>
      </c>
      <c r="D10" s="2342" t="str">
        <f t="shared" ca="1" si="0"/>
        <v>崔锴（注册号：1120100036）</v>
      </c>
      <c r="E10" s="2343" t="s">
        <v>2151</v>
      </c>
      <c r="F10" s="1303">
        <f ca="1">IF(G10&lt;B2,"已过期",2010110070)</f>
        <v>2010110070</v>
      </c>
      <c r="G10" s="2344">
        <v>47907</v>
      </c>
      <c r="H10" s="2345" t="str">
        <f t="shared" ca="1" si="1"/>
        <v>崔锴（注册号：2010110070）</v>
      </c>
    </row>
    <row r="11" spans="1:8" ht="24" customHeight="1">
      <c r="A11" s="1303" t="s">
        <v>2152</v>
      </c>
      <c r="B11" s="1303">
        <f ca="1">IF(C11&lt;B2,"已过期",1120070131)</f>
        <v>1120070131</v>
      </c>
      <c r="C11" s="2341">
        <v>45937</v>
      </c>
      <c r="D11" s="2342" t="str">
        <f t="shared" ca="1" si="0"/>
        <v>郑燚（注册号：1120070131）</v>
      </c>
      <c r="E11" s="2343" t="s">
        <v>2152</v>
      </c>
      <c r="F11" s="1303">
        <f ca="1">IF(G11&lt;B2,"已过期",2014110011)</f>
        <v>2014110011</v>
      </c>
      <c r="G11" s="2344">
        <v>49302</v>
      </c>
      <c r="H11" s="2345" t="str">
        <f t="shared" ca="1" si="1"/>
        <v>郑燚（注册号：2014110011）</v>
      </c>
    </row>
    <row r="12" spans="1:8" ht="24" customHeight="1">
      <c r="A12" s="1303" t="s">
        <v>2153</v>
      </c>
      <c r="B12" s="1303">
        <f ca="1">IF(C12&lt;B2,"已过期",1120040230)</f>
        <v>1120040230</v>
      </c>
      <c r="C12" s="2346">
        <v>45937</v>
      </c>
      <c r="D12" s="2342" t="str">
        <f t="shared" ca="1" si="0"/>
        <v>苏海（注册号：1120040230）</v>
      </c>
      <c r="E12" s="2343" t="s">
        <v>2153</v>
      </c>
      <c r="F12" s="1303">
        <f ca="1">IF(G12&lt;B2,"已过期",98030020)</f>
        <v>98030020</v>
      </c>
      <c r="G12" s="2344">
        <v>47118</v>
      </c>
      <c r="H12" s="2345" t="str">
        <f t="shared" ca="1" si="1"/>
        <v>苏海（注册号：98030020）</v>
      </c>
    </row>
    <row r="13" spans="1:8" ht="24" customHeight="1">
      <c r="A13" s="1303" t="s">
        <v>2154</v>
      </c>
      <c r="B13" s="1303">
        <f ca="1">IF(C13&lt;B2,"已过期",1120020033)</f>
        <v>1120020033</v>
      </c>
      <c r="C13" s="2341">
        <v>45375</v>
      </c>
      <c r="D13" s="2342" t="str">
        <f t="shared" ca="1" si="0"/>
        <v>刘敬东（注册号：1120020033）</v>
      </c>
      <c r="E13" s="2343" t="s">
        <v>2154</v>
      </c>
      <c r="F13" s="1303">
        <f ca="1">IF(G13&lt;B2,"已过期",2000110137)</f>
        <v>2000110137</v>
      </c>
      <c r="G13" s="2344">
        <v>46387</v>
      </c>
      <c r="H13" s="2345" t="str">
        <f t="shared" ca="1" si="1"/>
        <v>刘敬东（注册号：2000110137）</v>
      </c>
    </row>
    <row r="14" spans="1:8" ht="24" customHeight="1">
      <c r="A14" s="1303" t="s">
        <v>2155</v>
      </c>
      <c r="B14" s="1303" t="str">
        <f ca="1">IF(C14&lt;B2,"已过期",1119980106)</f>
        <v>已过期</v>
      </c>
      <c r="C14" s="2346">
        <v>44969</v>
      </c>
      <c r="D14" s="2342" t="str">
        <f t="shared" ca="1" si="0"/>
        <v>刘俊财（注册号：已过期）</v>
      </c>
      <c r="E14" s="2343" t="s">
        <v>2155</v>
      </c>
      <c r="F14" s="1303">
        <f ca="1">IF(G14&lt;B2,"已过期",96010063)</f>
        <v>96010063</v>
      </c>
      <c r="G14" s="2344">
        <v>47483</v>
      </c>
      <c r="H14" s="2345" t="str">
        <f t="shared" ca="1" si="1"/>
        <v>刘俊财（注册号：96010063）</v>
      </c>
    </row>
    <row r="15" spans="1:8" ht="24" customHeight="1">
      <c r="A15" s="1303" t="s">
        <v>2435</v>
      </c>
      <c r="B15" s="1303">
        <v>1120210056</v>
      </c>
      <c r="C15" s="2346">
        <v>45410</v>
      </c>
      <c r="D15" s="2342" t="str">
        <f t="shared" si="0"/>
        <v>宁小鳗（注册号：1120210056）</v>
      </c>
      <c r="E15" s="2343" t="s">
        <v>2156</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41" t="s">
        <v>2157</v>
      </c>
      <c r="B17" s="3541"/>
      <c r="C17" s="3541"/>
      <c r="D17" s="3541"/>
      <c r="E17" s="3541"/>
      <c r="F17" s="3541"/>
      <c r="G17" s="3541"/>
      <c r="H17" s="3541"/>
    </row>
    <row r="18" spans="1:8" ht="24" customHeight="1">
      <c r="A18" s="3542" t="s">
        <v>2158</v>
      </c>
      <c r="B18" s="3542"/>
      <c r="C18" s="3542"/>
      <c r="D18" s="2339"/>
      <c r="E18" s="3543" t="s">
        <v>2159</v>
      </c>
      <c r="F18" s="3542"/>
      <c r="G18" s="3542"/>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2023-12-22T09:00:36Z</dcterms:modified>
</cp:coreProperties>
</file>