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地下厂房"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6">'收益法 (元)'!$A$1:$AK$69</definedName>
    <definedName name="_xlnm.Print_Area" localSheetId="24">收益法地下厂房!$A$1:$AK$69</definedName>
    <definedName name="_xlnm.Print_Area" localSheetId="25">收益法地下车库!$A$1:$AK$69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32" i="77" l="1"/>
  <c r="C38" i="9" l="1"/>
  <c r="D50" i="77"/>
  <c r="D49" i="77"/>
  <c r="D48" i="77"/>
  <c r="E41" i="77"/>
  <c r="L13" i="77"/>
  <c r="C45" i="77"/>
  <c r="B45" i="77"/>
  <c r="L17" i="77"/>
  <c r="L16" i="77"/>
  <c r="AL16" i="3"/>
  <c r="L10" i="77"/>
  <c r="L9" i="77"/>
  <c r="L14" i="77"/>
  <c r="K14" i="3"/>
  <c r="I13" i="3"/>
  <c r="D88" i="43" l="1"/>
  <c r="E81" i="43"/>
  <c r="B79" i="43"/>
  <c r="C24" i="43"/>
  <c r="G1" i="79"/>
  <c r="M47" i="79"/>
  <c r="G1" i="78"/>
  <c r="M47" i="78"/>
  <c r="F15" i="79"/>
  <c r="F17" i="79"/>
  <c r="F18" i="79"/>
  <c r="F20" i="79"/>
  <c r="F23" i="79"/>
  <c r="F21" i="79"/>
  <c r="F28" i="79"/>
  <c r="C28" i="79"/>
  <c r="F32" i="79"/>
  <c r="F33" i="79"/>
  <c r="F34" i="79"/>
  <c r="J50" i="79"/>
  <c r="J51" i="79"/>
  <c r="K59" i="79"/>
  <c r="P74" i="79"/>
  <c r="Q72" i="79"/>
  <c r="F60" i="79"/>
  <c r="F61" i="79"/>
  <c r="F62" i="79"/>
  <c r="P61" i="79"/>
  <c r="Q59" i="79"/>
  <c r="F59" i="79"/>
  <c r="Q58" i="79"/>
  <c r="Q51" i="79"/>
  <c r="D46" i="79"/>
  <c r="F31" i="79"/>
  <c r="M18" i="79"/>
  <c r="M19" i="79"/>
  <c r="M20" i="79"/>
  <c r="D24" i="79"/>
  <c r="D23" i="79"/>
  <c r="D22" i="79"/>
  <c r="M17" i="79"/>
  <c r="F15" i="78"/>
  <c r="F17" i="78"/>
  <c r="F18" i="78"/>
  <c r="F20" i="78"/>
  <c r="F23" i="78"/>
  <c r="F21" i="78"/>
  <c r="F28" i="78"/>
  <c r="C28" i="78"/>
  <c r="F32" i="78"/>
  <c r="F33" i="78"/>
  <c r="F34" i="78"/>
  <c r="J50" i="78"/>
  <c r="J51" i="78"/>
  <c r="K59" i="78"/>
  <c r="P74" i="78"/>
  <c r="Q72" i="78"/>
  <c r="F60" i="78"/>
  <c r="F61" i="78"/>
  <c r="F62" i="78"/>
  <c r="P61" i="78"/>
  <c r="Q59" i="78"/>
  <c r="F59" i="78"/>
  <c r="Q58" i="78"/>
  <c r="Q51" i="78"/>
  <c r="D46" i="78"/>
  <c r="F31" i="78"/>
  <c r="M18" i="78"/>
  <c r="M19" i="78"/>
  <c r="M20" i="78"/>
  <c r="D24" i="78"/>
  <c r="D23" i="78"/>
  <c r="D22" i="78"/>
  <c r="M17" i="78"/>
  <c r="G17" i="43"/>
  <c r="H17" i="43"/>
  <c r="C16" i="43" s="1"/>
  <c r="C5" i="43" s="1"/>
  <c r="I17" i="43"/>
  <c r="J17" i="43"/>
  <c r="D81" i="43"/>
  <c r="D82" i="43"/>
  <c r="K83" i="43"/>
  <c r="D83" i="43"/>
  <c r="D84" i="43"/>
  <c r="D85" i="43"/>
  <c r="K86" i="43"/>
  <c r="J86" i="43"/>
  <c r="D86" i="43"/>
  <c r="K87" i="43"/>
  <c r="D87" i="43"/>
  <c r="K88" i="43"/>
  <c r="D5" i="43"/>
  <c r="I7" i="1"/>
  <c r="I8" i="1"/>
  <c r="I6" i="1"/>
  <c r="N14" i="1"/>
  <c r="N8" i="1"/>
  <c r="N7" i="1"/>
  <c r="N10" i="77"/>
  <c r="N9" i="77"/>
  <c r="M11" i="77" s="1"/>
  <c r="N6" i="1" s="1"/>
  <c r="M18" i="77"/>
  <c r="N17" i="77"/>
  <c r="N16" i="77"/>
  <c r="M15" i="3"/>
  <c r="G21" i="6" s="1"/>
  <c r="G20" i="6"/>
  <c r="F19" i="6"/>
  <c r="AN16" i="3"/>
  <c r="C41" i="77"/>
  <c r="B41" i="77"/>
  <c r="C6" i="77"/>
  <c r="E3" i="77"/>
  <c r="C3" i="77"/>
  <c r="C5" i="77"/>
  <c r="G2" i="43"/>
  <c r="I2" i="43"/>
  <c r="M10" i="43"/>
  <c r="C6" i="43"/>
  <c r="C17"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J20" i="43"/>
  <c r="I15" i="4"/>
  <c r="F6" i="1"/>
  <c r="F7" i="1"/>
  <c r="I20" i="43"/>
  <c r="AD5" i="3"/>
  <c r="AH5" i="3"/>
  <c r="AL5" i="3"/>
  <c r="AP5" i="3"/>
  <c r="I5" i="3"/>
  <c r="I4" i="6" s="1"/>
  <c r="G3" i="43" s="1"/>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A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s="1"/>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s="1"/>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s="1"/>
  <c r="B13" i="53"/>
  <c r="B29" i="72"/>
  <c r="R35" i="4"/>
  <c r="Q35" i="4"/>
  <c r="P35" i="4"/>
  <c r="O35" i="4"/>
  <c r="N35" i="4"/>
  <c r="M35" i="4"/>
  <c r="L35" i="4"/>
  <c r="K34" i="4"/>
  <c r="T34" i="4"/>
  <c r="G13" i="1"/>
  <c r="G11" i="1"/>
  <c r="H15" i="4"/>
  <c r="E15" i="4"/>
  <c r="D15" i="4"/>
  <c r="G7" i="1"/>
  <c r="L21" i="4"/>
  <c r="F19" i="4"/>
  <c r="F2" i="52"/>
  <c r="B50" i="72"/>
  <c r="D2" i="52"/>
  <c r="B46" i="72"/>
  <c r="B8" i="53"/>
  <c r="B23" i="72"/>
  <c r="L4" i="9"/>
  <c r="B17" i="72"/>
  <c r="B15" i="72"/>
  <c r="A3" i="51"/>
  <c r="C8" i="11"/>
  <c r="B2" i="49"/>
  <c r="B23" i="49" s="1"/>
  <c r="B40" i="48"/>
  <c r="B3" i="72"/>
  <c r="N1" i="43"/>
  <c r="F35" i="4"/>
  <c r="J55" i="39"/>
  <c r="H34" i="43"/>
  <c r="H35" i="43"/>
  <c r="H36" i="43"/>
  <c r="H37" i="43"/>
  <c r="A7" i="43"/>
  <c r="F33" i="15"/>
  <c r="F61" i="15"/>
  <c r="M19" i="15"/>
  <c r="M10" i="1"/>
  <c r="O10" i="1" s="1"/>
  <c r="P10" i="1" s="1"/>
  <c r="B22" i="1"/>
  <c r="B23" i="1"/>
  <c r="B24" i="1"/>
  <c r="B43" i="1"/>
  <c r="D78" i="9"/>
  <c r="F23" i="15"/>
  <c r="D24" i="15"/>
  <c r="M13" i="1"/>
  <c r="O13" i="1" s="1"/>
  <c r="P13" i="1" s="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E12" i="6" s="1"/>
  <c r="E57" i="40" s="1"/>
  <c r="BT5" i="3"/>
  <c r="BB5" i="3"/>
  <c r="BR5" i="3"/>
  <c r="G28" i="6" s="1"/>
  <c r="G30" i="6" s="1"/>
  <c r="E8" i="6"/>
  <c r="F27" i="6" s="1"/>
  <c r="U36" i="40"/>
  <c r="N4" i="43"/>
  <c r="N10"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s="1"/>
  <c r="P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M8" i="43"/>
  <c r="N8" i="43"/>
  <c r="N9" i="43"/>
  <c r="C18" i="9"/>
  <c r="D18" i="9"/>
  <c r="F34" i="67"/>
  <c r="F62" i="67"/>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S2" i="43"/>
  <c r="AR12" i="1"/>
  <c r="AQ12" i="1"/>
  <c r="T12" i="1"/>
  <c r="AR10" i="1"/>
  <c r="T10" i="1"/>
  <c r="E19" i="69"/>
  <c r="E19" i="68"/>
  <c r="E19" i="11"/>
  <c r="E1" i="73"/>
  <c r="K1" i="73"/>
  <c r="G41" i="69"/>
  <c r="G22" i="69"/>
  <c r="G41" i="68"/>
  <c r="G22" i="68"/>
  <c r="G27" i="12"/>
  <c r="G26" i="12"/>
  <c r="G41" i="11"/>
  <c r="G22" i="11"/>
  <c r="G25" i="12"/>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G6" i="1"/>
  <c r="H85" i="43"/>
  <c r="H81" i="43"/>
  <c r="H84" i="43"/>
  <c r="H88" i="43"/>
  <c r="H53" i="43"/>
  <c r="H54" i="43"/>
  <c r="H78" i="43"/>
  <c r="H70" i="43"/>
  <c r="H71" i="43"/>
  <c r="M7" i="43"/>
  <c r="N6" i="43"/>
  <c r="M2"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c r="F30" i="69"/>
  <c r="C48" i="69"/>
  <c r="F32" i="15"/>
  <c r="F60" i="15"/>
  <c r="M18" i="15"/>
  <c r="F28" i="15"/>
  <c r="E63" i="39"/>
  <c r="T11" i="1"/>
  <c r="D19" i="12"/>
  <c r="C19" i="12" s="1"/>
  <c r="AQ9" i="1"/>
  <c r="AR11" i="1"/>
  <c r="D68" i="39"/>
  <c r="D70" i="39"/>
  <c r="C28" i="15"/>
  <c r="E30" i="6"/>
  <c r="K15" i="1"/>
  <c r="T9" i="1"/>
  <c r="T13" i="1"/>
  <c r="C48" i="68"/>
  <c r="C77" i="9"/>
  <c r="C74" i="9"/>
  <c r="E66" i="39"/>
  <c r="C30" i="69"/>
  <c r="D9" i="68"/>
  <c r="C9" i="68" s="1"/>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S4" i="43"/>
  <c r="S3" i="43"/>
  <c r="S7" i="43"/>
  <c r="J22" i="43"/>
  <c r="K14" i="1"/>
  <c r="M14" i="1" s="1"/>
  <c r="BL5" i="3"/>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60" i="40" s="1"/>
  <c r="S7" i="40"/>
  <c r="AG6" i="1"/>
  <c r="H109"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C48" i="39" s="1"/>
  <c r="E47" i="39"/>
  <c r="C4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F38" i="67"/>
  <c r="F36" i="15"/>
  <c r="J15" i="78"/>
  <c r="F13" i="79"/>
  <c r="C76" i="78"/>
  <c r="F3" i="73"/>
  <c r="B13" i="76"/>
  <c r="D2" i="34"/>
  <c r="F8" i="15"/>
  <c r="M6" i="78"/>
  <c r="E11" i="76"/>
  <c r="F9" i="78"/>
  <c r="AO9" i="1"/>
  <c r="D2" i="33"/>
  <c r="L48" i="67"/>
  <c r="F38" i="78"/>
  <c r="M22" i="79"/>
  <c r="F16" i="67"/>
  <c r="F8" i="67"/>
  <c r="B9" i="76"/>
  <c r="M23" i="67"/>
  <c r="F16" i="79"/>
  <c r="M8" i="15"/>
  <c r="M26" i="15"/>
  <c r="F40" i="79"/>
  <c r="F43" i="67"/>
  <c r="D2" i="37"/>
  <c r="F37" i="79"/>
  <c r="F42" i="67"/>
  <c r="M29" i="67"/>
  <c r="M9" i="78"/>
  <c r="E12" i="76"/>
  <c r="M23" i="78"/>
  <c r="L47" i="67"/>
  <c r="E7" i="76"/>
  <c r="D5" i="73"/>
  <c r="F7" i="73"/>
  <c r="F37" i="67"/>
  <c r="F6" i="73"/>
  <c r="F16" i="78"/>
  <c r="F6" i="15"/>
  <c r="F7" i="67"/>
  <c r="AO12" i="1"/>
  <c r="D3" i="73"/>
  <c r="F40" i="67"/>
  <c r="F9" i="15"/>
  <c r="F36" i="78"/>
  <c r="M9" i="15"/>
  <c r="F41" i="67"/>
  <c r="F42" i="78"/>
  <c r="AO13" i="1"/>
  <c r="G1" i="73"/>
  <c r="F40" i="15"/>
  <c r="F35" i="67"/>
  <c r="M22" i="67"/>
  <c r="L47" i="15"/>
  <c r="F8" i="79"/>
  <c r="F26" i="78"/>
  <c r="AO11" i="1"/>
  <c r="D4" i="73"/>
  <c r="M28" i="78"/>
  <c r="M6" i="15"/>
  <c r="F13" i="67"/>
  <c r="L47" i="79"/>
  <c r="C76" i="15"/>
  <c r="M6" i="67"/>
  <c r="M27" i="79"/>
  <c r="F38" i="79"/>
  <c r="AO10" i="1"/>
  <c r="J15" i="15"/>
  <c r="M28" i="79"/>
  <c r="M8" i="79"/>
  <c r="F42" i="15"/>
  <c r="M28" i="67"/>
  <c r="M9" i="67"/>
  <c r="F26" i="67"/>
  <c r="M8" i="67"/>
  <c r="F26" i="15"/>
  <c r="M26" i="67"/>
  <c r="C76" i="67"/>
  <c r="L47" i="78"/>
  <c r="F9" i="79"/>
  <c r="F40" i="78"/>
  <c r="E10" i="76"/>
  <c r="M27" i="15"/>
  <c r="F42" i="79"/>
  <c r="F37" i="15"/>
  <c r="M23" i="79"/>
  <c r="B11" i="76"/>
  <c r="L48" i="78"/>
  <c r="F36" i="79"/>
  <c r="M24" i="78"/>
  <c r="M28" i="15"/>
  <c r="F8" i="78"/>
  <c r="E2" i="68"/>
  <c r="M6" i="79"/>
  <c r="F9" i="67"/>
  <c r="D2" i="21"/>
  <c r="F16" i="15"/>
  <c r="M22" i="78"/>
  <c r="F6" i="67"/>
  <c r="M23" i="15"/>
  <c r="F37" i="78"/>
  <c r="J15" i="79"/>
  <c r="D7" i="73"/>
  <c r="M8" i="78"/>
  <c r="E13" i="76"/>
  <c r="J15" i="67"/>
  <c r="M24" i="79"/>
  <c r="M22" i="15"/>
  <c r="B12" i="76"/>
  <c r="M21" i="67"/>
  <c r="D2" i="36"/>
  <c r="F36" i="67"/>
  <c r="C76" i="79"/>
  <c r="M27" i="78"/>
  <c r="D2" i="35"/>
  <c r="B10" i="76"/>
  <c r="E8" i="76"/>
  <c r="M26" i="78"/>
  <c r="M9" i="79"/>
  <c r="M24" i="67"/>
  <c r="M26" i="79"/>
  <c r="F13" i="78"/>
  <c r="F4" i="73"/>
  <c r="F5" i="73"/>
  <c r="F26" i="79"/>
  <c r="M27" i="67"/>
  <c r="E9" i="76"/>
  <c r="F38" i="15"/>
  <c r="L48" i="79"/>
  <c r="B8" i="76"/>
  <c r="B7" i="76"/>
  <c r="F13" i="15"/>
  <c r="M24" i="15"/>
  <c r="L48" i="15"/>
  <c r="D6" i="73"/>
  <c r="F20" i="31"/>
  <c r="E2" i="69"/>
  <c r="F6" i="78"/>
  <c r="F6" i="79"/>
  <c r="B55" i="40" l="1"/>
  <c r="F55" i="40" s="1"/>
  <c r="G47" i="40"/>
  <c r="H47" i="40" s="1"/>
  <c r="E16" i="6"/>
  <c r="E59" i="40"/>
  <c r="D9" i="69"/>
  <c r="C9" i="69" s="1"/>
  <c r="E56" i="40"/>
  <c r="G5" i="3"/>
  <c r="B3" i="3" s="1"/>
  <c r="F60" i="40"/>
  <c r="B22" i="49"/>
  <c r="E9" i="49"/>
  <c r="B5" i="49"/>
  <c r="B8" i="49"/>
  <c r="B11" i="49"/>
  <c r="B14" i="49"/>
  <c r="E51" i="39"/>
  <c r="F51" i="39" s="1"/>
  <c r="E52" i="39"/>
  <c r="F52" i="39" s="1"/>
  <c r="G52" i="39"/>
  <c r="H52" i="39" s="1"/>
  <c r="G51" i="39"/>
  <c r="H51" i="39" s="1"/>
  <c r="I51" i="39"/>
  <c r="J51" i="39" s="1"/>
  <c r="I52" i="39"/>
  <c r="J52" i="39" s="1"/>
  <c r="H110" i="9"/>
  <c r="D18" i="53" s="1"/>
  <c r="B35" i="72" s="1"/>
  <c r="D16" i="53"/>
  <c r="B57" i="40"/>
  <c r="F57" i="40" s="1"/>
  <c r="B58" i="40"/>
  <c r="F58" i="40" s="1"/>
  <c r="B59" i="40"/>
  <c r="F59" i="40" s="1"/>
  <c r="B52" i="40"/>
  <c r="F52" i="40" s="1"/>
  <c r="B56" i="40"/>
  <c r="F56" i="40" s="1"/>
  <c r="B51" i="40"/>
  <c r="F51" i="40" s="1"/>
  <c r="B54" i="40"/>
  <c r="F54" i="40" s="1"/>
  <c r="B61" i="39"/>
  <c r="F61" i="39" s="1"/>
  <c r="B60" i="39"/>
  <c r="F60" i="39" s="1"/>
  <c r="B56" i="39"/>
  <c r="F56" i="39" s="1"/>
  <c r="F66" i="39" s="1"/>
  <c r="B2" i="39" s="1"/>
  <c r="B58" i="39"/>
  <c r="F58" i="39" s="1"/>
  <c r="B59" i="39"/>
  <c r="F59" i="39" s="1"/>
  <c r="B64" i="39"/>
  <c r="F64" i="39" s="1"/>
  <c r="B65" i="39"/>
  <c r="F65" i="39" s="1"/>
  <c r="B57" i="39"/>
  <c r="F57" i="39" s="1"/>
  <c r="B63" i="39"/>
  <c r="F63" i="39" s="1"/>
  <c r="B62" i="39"/>
  <c r="F62" i="39" s="1"/>
  <c r="D124" i="9"/>
  <c r="B53" i="40"/>
  <c r="F53" i="40" s="1"/>
  <c r="C42" i="40"/>
  <c r="E42" i="40"/>
  <c r="I47" i="40" s="1"/>
  <c r="J47" i="40" s="1"/>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AZ5" i="3" s="1"/>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B2" i="36"/>
  <c r="B3" i="36" s="1"/>
  <c r="F69" i="67"/>
  <c r="B2" i="35"/>
  <c r="B3" i="35" s="1"/>
  <c r="J20" i="67"/>
  <c r="F64" i="67"/>
  <c r="F65" i="67"/>
  <c r="Q71" i="15"/>
  <c r="C27" i="67"/>
  <c r="F51" i="67"/>
  <c r="B12" i="70"/>
  <c r="B13" i="70"/>
  <c r="B9" i="70"/>
  <c r="F66" i="15"/>
  <c r="F65" i="15"/>
  <c r="F64" i="15"/>
  <c r="C34" i="67"/>
  <c r="F63" i="67"/>
  <c r="C62" i="67" s="1"/>
  <c r="F70" i="67"/>
  <c r="F68" i="67"/>
  <c r="F66" i="67"/>
  <c r="N59" i="67"/>
  <c r="M59" i="67"/>
  <c r="L58" i="67"/>
  <c r="L59" i="67"/>
  <c r="L58" i="15"/>
  <c r="N59" i="15"/>
  <c r="L59" i="15"/>
  <c r="M59" i="15"/>
  <c r="F71" i="67"/>
  <c r="J57" i="67"/>
  <c r="J55" i="67" s="1"/>
  <c r="J58" i="67" s="1"/>
  <c r="Q50" i="67" s="1"/>
  <c r="I54" i="67"/>
  <c r="L56" i="67"/>
  <c r="M7" i="67"/>
  <c r="J6" i="67" s="1"/>
  <c r="F50" i="67"/>
  <c r="C6" i="67"/>
  <c r="Q71" i="67"/>
  <c r="B10" i="70"/>
  <c r="B11" i="70"/>
  <c r="F68" i="15"/>
  <c r="F51" i="15"/>
  <c r="C27" i="15"/>
  <c r="M59" i="78"/>
  <c r="L59" i="78"/>
  <c r="L58" i="78"/>
  <c r="N59" i="78"/>
  <c r="Q71" i="78"/>
  <c r="J53" i="78"/>
  <c r="J57" i="78"/>
  <c r="J55" i="78" s="1"/>
  <c r="J58" i="78" s="1"/>
  <c r="Q50" i="78" s="1"/>
  <c r="L56" i="78"/>
  <c r="L60" i="78"/>
  <c r="L57" i="78"/>
  <c r="I54" i="78"/>
  <c r="F68" i="78"/>
  <c r="C27" i="78"/>
  <c r="F51" i="78"/>
  <c r="J53" i="79"/>
  <c r="J57" i="79"/>
  <c r="J55" i="79" s="1"/>
  <c r="J58" i="79" s="1"/>
  <c r="Q50" i="79" s="1"/>
  <c r="L60" i="79"/>
  <c r="L57" i="79"/>
  <c r="I54" i="79"/>
  <c r="L56" i="79"/>
  <c r="F68" i="79"/>
  <c r="C27" i="79"/>
  <c r="B40" i="1"/>
  <c r="L59" i="79"/>
  <c r="L58" i="79"/>
  <c r="N59" i="79"/>
  <c r="M59" i="79"/>
  <c r="Q71" i="79"/>
  <c r="F66" i="78"/>
  <c r="F65" i="78"/>
  <c r="F64" i="78"/>
  <c r="J53" i="15"/>
  <c r="L56" i="15"/>
  <c r="J57" i="15"/>
  <c r="J55" i="15" s="1"/>
  <c r="J58" i="15" s="1"/>
  <c r="Q50" i="15" s="1"/>
  <c r="I54" i="15"/>
  <c r="L60" i="15"/>
  <c r="L57" i="15"/>
  <c r="F66" i="79"/>
  <c r="F65" i="79"/>
  <c r="F64" i="79"/>
  <c r="I1" i="73"/>
  <c r="B39" i="1" s="1"/>
  <c r="F51" i="79"/>
  <c r="E20" i="43"/>
  <c r="C17" i="67"/>
  <c r="C14" i="67"/>
  <c r="C16" i="67"/>
  <c r="E53" i="3" l="1"/>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B3" i="39" s="1"/>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E47" i="40"/>
  <c r="F47" i="40" s="1"/>
  <c r="E46" i="40"/>
  <c r="F46" i="40" s="1"/>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C15" i="67"/>
  <c r="C18" i="67"/>
  <c r="P17" i="43"/>
  <c r="G20" i="43" s="1"/>
  <c r="C20" i="43" s="1"/>
  <c r="N17" i="43"/>
  <c r="O17" i="43"/>
  <c r="M17" i="43"/>
  <c r="M11" i="79"/>
  <c r="M11" i="78"/>
  <c r="F11" i="79"/>
  <c r="F11" i="78"/>
  <c r="C53" i="78" s="1"/>
  <c r="F11" i="15"/>
  <c r="C53" i="15" s="1"/>
  <c r="M11" i="15"/>
  <c r="F11" i="67"/>
  <c r="M11" i="67"/>
  <c r="J10" i="67" s="1"/>
  <c r="J5" i="67" s="1"/>
  <c r="Q74" i="79"/>
  <c r="Q61" i="79"/>
  <c r="F24" i="79"/>
  <c r="C24" i="79" s="1"/>
  <c r="F24" i="78"/>
  <c r="C24" i="78" s="1"/>
  <c r="F24" i="15"/>
  <c r="C24" i="15" s="1"/>
  <c r="F25" i="12"/>
  <c r="C26" i="12" s="1"/>
  <c r="D25" i="12" s="1"/>
  <c r="F24" i="67"/>
  <c r="C24" i="67" s="1"/>
  <c r="F22" i="68"/>
  <c r="F22" i="69"/>
  <c r="F22" i="11"/>
  <c r="F1" i="79"/>
  <c r="Q52" i="79"/>
  <c r="F1" i="78"/>
  <c r="Q52" i="78"/>
  <c r="Q73" i="78"/>
  <c r="Q60" i="78"/>
  <c r="Q61" i="67"/>
  <c r="Q74" i="67"/>
  <c r="Q66" i="15"/>
  <c r="Q57" i="15"/>
  <c r="F1" i="15"/>
  <c r="Q52" i="15"/>
  <c r="Q73" i="79"/>
  <c r="Q60" i="79"/>
  <c r="Q66" i="79"/>
  <c r="Q57" i="79"/>
  <c r="Q66" i="78"/>
  <c r="Q57" i="78"/>
  <c r="Q74" i="78"/>
  <c r="Q61" i="78"/>
  <c r="Q74" i="15"/>
  <c r="Q61" i="15"/>
  <c r="Q60" i="15"/>
  <c r="Q73" i="15"/>
  <c r="Q73" i="67"/>
  <c r="Q60" i="67"/>
  <c r="C49" i="67"/>
  <c r="AE8" i="1"/>
  <c r="F43" i="78"/>
  <c r="AE7" i="1"/>
  <c r="M29" i="78"/>
  <c r="F43" i="15"/>
  <c r="M29" i="79"/>
  <c r="AE6" i="1"/>
  <c r="F43" i="79"/>
  <c r="F7" i="78"/>
  <c r="F7" i="79"/>
  <c r="F7" i="15"/>
  <c r="M29" i="15"/>
  <c r="K19" i="6" l="1"/>
  <c r="H6" i="3"/>
  <c r="E6" i="3" s="1"/>
  <c r="F50" i="78"/>
  <c r="C49" i="78" s="1"/>
  <c r="C48" i="78" s="1"/>
  <c r="C60" i="78" s="1"/>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B2" i="21" s="1"/>
  <c r="B3" i="21" s="1"/>
  <c r="D19" i="11"/>
  <c r="C19" i="11" s="1"/>
  <c r="C24" i="11" s="1"/>
  <c r="D37" i="11"/>
  <c r="D14" i="12"/>
  <c r="D3" i="34"/>
  <c r="B2" i="34" s="1"/>
  <c r="B3" i="34" s="1"/>
  <c r="D3" i="37"/>
  <c r="B2" i="37" s="1"/>
  <c r="B3" i="37" s="1"/>
  <c r="C17" i="4"/>
  <c r="B4" i="52" s="1"/>
  <c r="B43" i="72" s="1"/>
  <c r="L18" i="9"/>
  <c r="D3" i="33"/>
  <c r="B2" i="33" s="1"/>
  <c r="B3" i="33" s="1"/>
  <c r="E6" i="6"/>
  <c r="D8" i="53"/>
  <c r="D120" i="9"/>
  <c r="M19" i="6"/>
  <c r="S6" i="1"/>
  <c r="K27" i="6"/>
  <c r="S8" i="1"/>
  <c r="E8" i="70" s="1"/>
  <c r="M21" i="6"/>
  <c r="I21" i="6" s="1"/>
  <c r="S21" i="6" s="1"/>
  <c r="M8" i="1"/>
  <c r="B4" i="72"/>
  <c r="C19" i="67"/>
  <c r="C20" i="67" s="1"/>
  <c r="C26" i="67" s="1"/>
  <c r="J24" i="67"/>
  <c r="J18" i="67"/>
  <c r="J26" i="67"/>
  <c r="J29" i="67" s="1"/>
  <c r="C53" i="67"/>
  <c r="C10" i="67"/>
  <c r="C5" i="67" s="1"/>
  <c r="C10" i="79"/>
  <c r="C53" i="79"/>
  <c r="C48" i="67"/>
  <c r="C44" i="11"/>
  <c r="D41" i="11" s="1"/>
  <c r="C23" i="11"/>
  <c r="C26" i="11"/>
  <c r="D22" i="11" s="1"/>
  <c r="C26" i="68"/>
  <c r="D22" i="68" s="1"/>
  <c r="C44" i="68"/>
  <c r="D41" i="68" s="1"/>
  <c r="C24" i="68"/>
  <c r="C26" i="69"/>
  <c r="D22" i="69" s="1"/>
  <c r="C44" i="69"/>
  <c r="D41" i="69" s="1"/>
  <c r="C29" i="43"/>
  <c r="C33" i="43"/>
  <c r="C34" i="43"/>
  <c r="C35" i="43"/>
  <c r="C36" i="43"/>
  <c r="C37" i="43"/>
  <c r="C38" i="43"/>
  <c r="C39" i="43"/>
  <c r="E39" i="43" s="1"/>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F41" i="15"/>
  <c r="C17" i="79"/>
  <c r="F41" i="78"/>
  <c r="C17" i="15"/>
  <c r="C16" i="78"/>
  <c r="F41" i="79"/>
  <c r="C16" i="79"/>
  <c r="C17" i="78"/>
  <c r="C16" i="15"/>
  <c r="C66" i="15" l="1"/>
  <c r="J24" i="15"/>
  <c r="C48" i="79"/>
  <c r="C60" i="79" s="1"/>
  <c r="J18" i="15"/>
  <c r="F69" i="79"/>
  <c r="F69" i="78"/>
  <c r="F69" i="15"/>
  <c r="J29" i="15"/>
  <c r="C5" i="79"/>
  <c r="C32" i="79" s="1"/>
  <c r="J24" i="79"/>
  <c r="J26" i="79"/>
  <c r="J29" i="79" s="1"/>
  <c r="J18" i="79"/>
  <c r="J18" i="78"/>
  <c r="J26" i="78"/>
  <c r="J29" i="78" s="1"/>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F61" i="40" s="1"/>
  <c r="B2" i="40" s="1"/>
  <c r="B3" i="40" s="1"/>
  <c r="H23" i="6"/>
  <c r="D25" i="6"/>
  <c r="R25" i="6" s="1"/>
  <c r="D22" i="6"/>
  <c r="D24" i="6"/>
  <c r="D5" i="6"/>
  <c r="D11" i="6"/>
  <c r="D28" i="6"/>
  <c r="H26" i="6"/>
  <c r="E7" i="70"/>
  <c r="C66" i="78"/>
  <c r="C33" i="78"/>
  <c r="C23" i="67"/>
  <c r="C29" i="67" s="1"/>
  <c r="C38" i="78"/>
  <c r="E37" i="43"/>
  <c r="G37" i="43"/>
  <c r="I37" i="43" s="1"/>
  <c r="E35" i="43"/>
  <c r="G35" i="43"/>
  <c r="I35" i="43" s="1"/>
  <c r="E33" i="43"/>
  <c r="G33" i="43"/>
  <c r="I33" i="43" s="1"/>
  <c r="C32" i="15"/>
  <c r="C33" i="15"/>
  <c r="C38" i="15"/>
  <c r="C66" i="67"/>
  <c r="C60" i="67"/>
  <c r="E38" i="43"/>
  <c r="G38" i="43"/>
  <c r="I38" i="43" s="1"/>
  <c r="E36" i="43"/>
  <c r="G36" i="43"/>
  <c r="I36" i="43" s="1"/>
  <c r="E34" i="43"/>
  <c r="G34" i="43"/>
  <c r="I34" i="43" s="1"/>
  <c r="E29" i="43"/>
  <c r="C30" i="43"/>
  <c r="E30" i="43" s="1"/>
  <c r="C32" i="67"/>
  <c r="C38" i="67"/>
  <c r="C14" i="15"/>
  <c r="M21" i="79"/>
  <c r="C14" i="78"/>
  <c r="F35" i="79"/>
  <c r="C14" i="79"/>
  <c r="C33" i="79" l="1"/>
  <c r="R24" i="6"/>
  <c r="O16" i="1"/>
  <c r="R23" i="6"/>
  <c r="P6" i="1"/>
  <c r="P16" i="1" s="1"/>
  <c r="C11" i="12" s="1"/>
  <c r="C15" i="12" s="1"/>
  <c r="C66" i="79"/>
  <c r="C38" i="79"/>
  <c r="B15" i="74"/>
  <c r="B1" i="74" s="1"/>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C27" i="43"/>
  <c r="C26" i="43"/>
  <c r="B2" i="43" s="1"/>
  <c r="Q49" i="67"/>
  <c r="J19" i="67"/>
  <c r="J17" i="67" s="1"/>
  <c r="C36" i="67"/>
  <c r="C33" i="67"/>
  <c r="C31" i="67" s="1"/>
  <c r="C57" i="67"/>
  <c r="C13" i="67"/>
  <c r="J14" i="67"/>
  <c r="J59" i="67"/>
  <c r="J60" i="67" s="1"/>
  <c r="E6" i="76"/>
  <c r="F35" i="78"/>
  <c r="B6" i="76"/>
  <c r="M21" i="78"/>
  <c r="C31" i="79" l="1"/>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C16" i="12" s="1"/>
  <c r="C21" i="12" s="1"/>
  <c r="C22" i="12" s="1"/>
  <c r="F34" i="68"/>
  <c r="R6" i="1"/>
  <c r="R27" i="6"/>
  <c r="C23" i="69"/>
  <c r="E2" i="76"/>
  <c r="B2" i="76"/>
  <c r="J13" i="67"/>
  <c r="J23" i="67" s="1"/>
  <c r="J22" i="67"/>
  <c r="C64" i="67"/>
  <c r="C61" i="67"/>
  <c r="C59" i="67" s="1"/>
  <c r="C6" i="68"/>
  <c r="B3" i="43"/>
  <c r="Q48" i="67"/>
  <c r="L46" i="67"/>
  <c r="Q70" i="67"/>
  <c r="C75" i="67"/>
  <c r="C56" i="67"/>
  <c r="C65" i="67" s="1"/>
  <c r="C37" i="67"/>
  <c r="C30" i="67" s="1"/>
  <c r="C39" i="67" s="1"/>
  <c r="F35" i="15"/>
  <c r="M21" i="15"/>
  <c r="C34" i="15" l="1"/>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B3" i="76"/>
  <c r="Q69" i="67"/>
  <c r="Q68" i="67" s="1"/>
  <c r="C40" i="67"/>
  <c r="C58" i="67"/>
  <c r="C67" i="67" s="1"/>
  <c r="C68" i="67" s="1"/>
  <c r="C80" i="67"/>
  <c r="C79" i="67" s="1"/>
  <c r="C7" i="68"/>
  <c r="C5" i="68" s="1"/>
  <c r="L51" i="67"/>
  <c r="C41" i="69" l="1"/>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C20" i="68"/>
  <c r="C25" i="68" s="1"/>
  <c r="C23" i="68"/>
  <c r="Q65" i="67"/>
  <c r="Q56" i="67"/>
  <c r="Q47" i="67"/>
  <c r="Q53" i="67" s="1"/>
  <c r="D2" i="67"/>
  <c r="C43" i="67"/>
  <c r="C83" i="67"/>
  <c r="C82" i="67" s="1"/>
  <c r="C45" i="67"/>
  <c r="C46" i="67" s="1"/>
  <c r="C71" i="67"/>
  <c r="C33" i="11" l="1"/>
  <c r="C39" i="11" s="1"/>
  <c r="C43" i="11" s="1"/>
  <c r="C28" i="68"/>
  <c r="C27" i="68"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C22" i="68"/>
  <c r="B2" i="67"/>
  <c r="B3" i="67"/>
  <c r="Q66" i="67"/>
  <c r="Q75" i="67" s="1"/>
  <c r="Q57" i="67"/>
  <c r="Q62" i="67" s="1"/>
  <c r="L51" i="78"/>
  <c r="L51" i="15"/>
  <c r="L51" i="79"/>
  <c r="C42" i="11" l="1"/>
  <c r="C42" i="68"/>
  <c r="C41" i="68" s="1"/>
  <c r="C31" i="68"/>
  <c r="C80" i="15"/>
  <c r="C79" i="15" s="1"/>
  <c r="J16" i="79"/>
  <c r="J25" i="79" s="1"/>
  <c r="C46" i="68"/>
  <c r="C45" i="68" s="1"/>
  <c r="J16" i="78"/>
  <c r="J25" i="78" s="1"/>
  <c r="J16" i="15"/>
  <c r="J25" i="15" s="1"/>
  <c r="C41" i="1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C49" i="11" l="1"/>
  <c r="C51" i="11" s="1"/>
  <c r="C52" i="11" s="1"/>
  <c r="B2" i="11" s="1"/>
  <c r="B3" i="11" s="1"/>
  <c r="C49" i="68"/>
  <c r="C51" i="68" s="1"/>
  <c r="C52" i="68" s="1"/>
  <c r="C57" i="68" s="1"/>
  <c r="C56" i="68" s="1"/>
  <c r="C46" i="15"/>
  <c r="C71" i="15"/>
  <c r="C71" i="78"/>
  <c r="C46" i="78"/>
  <c r="B2" i="78"/>
  <c r="Q56" i="78"/>
  <c r="Q62" i="78" s="1"/>
  <c r="C43" i="78"/>
  <c r="Q65" i="78"/>
  <c r="Q75" i="78" s="1"/>
  <c r="Q47" i="78"/>
  <c r="Q53" i="78" s="1"/>
  <c r="C83" i="78"/>
  <c r="C82" i="78" s="1"/>
  <c r="C43" i="15"/>
  <c r="Q47" i="15"/>
  <c r="Q53" i="15" s="1"/>
  <c r="C83" i="15"/>
  <c r="C82" i="15" s="1"/>
  <c r="B2" i="15"/>
  <c r="Q65" i="15"/>
  <c r="Q75" i="15" s="1"/>
  <c r="Q56" i="15"/>
  <c r="Q62" i="15" s="1"/>
  <c r="Q65" i="79"/>
  <c r="Q75" i="79" s="1"/>
  <c r="C43" i="79"/>
  <c r="B2" i="79"/>
  <c r="Q56" i="79"/>
  <c r="Q62" i="79" s="1"/>
  <c r="C83" i="79"/>
  <c r="C82" i="79" s="1"/>
  <c r="Q47" i="79"/>
  <c r="Q53" i="79" s="1"/>
  <c r="C71" i="79"/>
  <c r="C46" i="79"/>
  <c r="AO7" i="1"/>
  <c r="AO8" i="1"/>
  <c r="AO6" i="1"/>
  <c r="B2" i="68" l="1"/>
  <c r="C56" i="11"/>
  <c r="C57" i="11" s="1"/>
  <c r="B8" i="70"/>
  <c r="B7" i="70"/>
  <c r="B6" i="70"/>
  <c r="B3" i="79"/>
  <c r="E6" i="12" s="1"/>
  <c r="E8" i="12"/>
  <c r="B3" i="78"/>
  <c r="D6" i="12" s="1"/>
  <c r="D8" i="12"/>
  <c r="B3" i="15"/>
  <c r="C6" i="12" s="1"/>
  <c r="C8" i="12"/>
  <c r="C19" i="9"/>
  <c r="C4" i="12" l="1"/>
  <c r="C31" i="12" s="1"/>
  <c r="C102" i="9"/>
  <c r="C21" i="9"/>
  <c r="B3" i="68"/>
  <c r="B2" i="70"/>
  <c r="B3" i="70" s="1"/>
  <c r="D35" i="9"/>
  <c r="C20" i="9"/>
  <c r="D34" i="9"/>
  <c r="C23" i="12" l="1"/>
  <c r="C30" i="12" s="1"/>
  <c r="C28" i="12" s="1"/>
  <c r="C103" i="9"/>
  <c r="C27" i="12" l="1"/>
  <c r="C25" i="12" s="1"/>
  <c r="C32" i="12" s="1"/>
  <c r="B2" i="12" s="1"/>
  <c r="B3" i="12" s="1"/>
  <c r="D20" i="9"/>
  <c r="D19" i="9"/>
  <c r="D21" i="9" l="1"/>
  <c r="D102" i="9"/>
  <c r="G19" i="9"/>
  <c r="G21" i="9" s="1"/>
  <c r="D22" i="9"/>
  <c r="D103" i="9"/>
  <c r="G20" i="9"/>
  <c r="C32" i="9" l="1"/>
  <c r="H118" i="9" s="1"/>
  <c r="C35" i="9" l="1"/>
  <c r="C34" i="9" s="1"/>
  <c r="D118" i="9" s="1"/>
  <c r="C104" i="9"/>
  <c r="H119" i="9"/>
  <c r="H5" i="52" s="1"/>
  <c r="D14" i="74"/>
  <c r="H101" i="9"/>
  <c r="I118" i="9"/>
  <c r="H4" i="52"/>
  <c r="F118" i="9" l="1"/>
  <c r="F4" i="52" s="1"/>
  <c r="B51" i="72" s="1"/>
  <c r="I4" i="52"/>
  <c r="C105" i="9"/>
  <c r="H102" i="9"/>
  <c r="D7" i="53" s="1"/>
  <c r="B21" i="72" s="1"/>
  <c r="F14" i="74"/>
  <c r="E14" i="74"/>
  <c r="H107" i="9"/>
  <c r="D45" i="9"/>
  <c r="D5" i="53"/>
  <c r="M48" i="9"/>
  <c r="D119" i="9"/>
  <c r="D5" i="52" s="1"/>
  <c r="B49" i="72" s="1"/>
  <c r="D4" i="52"/>
  <c r="B47" i="72" s="1"/>
  <c r="F119" i="9"/>
  <c r="F5" i="52" s="1"/>
  <c r="B53" i="72" s="1"/>
  <c r="G118" i="9" l="1"/>
  <c r="G4" i="52" s="1"/>
  <c r="B52" i="72" s="1"/>
  <c r="C93" i="9"/>
  <c r="C86" i="9" s="1"/>
  <c r="D53" i="9"/>
  <c r="D52" i="9"/>
  <c r="C78" i="9"/>
  <c r="C73" i="9" s="1"/>
  <c r="D55" i="9"/>
  <c r="M53" i="9" s="1"/>
  <c r="C72" i="9"/>
  <c r="C85" i="9"/>
  <c r="C95" i="9" s="1"/>
  <c r="C96" i="9" s="1"/>
  <c r="E96" i="9" s="1"/>
  <c r="E97" i="9" s="1"/>
  <c r="C64" i="9"/>
  <c r="C63" i="9" s="1"/>
  <c r="C67" i="9" s="1"/>
  <c r="C68" i="9" s="1"/>
  <c r="D54" i="9" s="1"/>
  <c r="B20" i="72"/>
  <c r="D6" i="53"/>
  <c r="B22" i="72" s="1"/>
  <c r="M49" i="9"/>
  <c r="D13" i="53"/>
  <c r="D122" i="9"/>
  <c r="H108" i="9"/>
  <c r="D15" i="53" s="1"/>
  <c r="B31" i="72" s="1"/>
  <c r="C79" i="9" l="1"/>
  <c r="C80" i="9" s="1"/>
  <c r="E80" i="9" s="1"/>
  <c r="E81" i="9" s="1"/>
  <c r="E118" i="9"/>
  <c r="E4" i="52" s="1"/>
  <c r="B48" i="72" s="1"/>
  <c r="G14" i="74"/>
  <c r="D8" i="52"/>
  <c r="D123" i="9"/>
  <c r="D9" i="52" s="1"/>
  <c r="L67" i="9"/>
  <c r="M67" i="9" s="1"/>
  <c r="L68" i="9"/>
  <c r="M68" i="9" s="1"/>
  <c r="L66" i="9"/>
  <c r="M66" i="9" s="1"/>
  <c r="L63" i="9"/>
  <c r="M63" i="9" s="1"/>
  <c r="L65" i="9"/>
  <c r="M65" i="9" s="1"/>
  <c r="L64" i="9"/>
  <c r="M64" i="9" s="1"/>
  <c r="C97" i="9"/>
  <c r="D58" i="9" s="1"/>
  <c r="D56" i="9" s="1"/>
  <c r="M54" i="9" s="1"/>
  <c r="N57" i="9" s="1"/>
  <c r="N58" i="9" s="1"/>
  <c r="D14" i="53"/>
  <c r="B32" i="72" s="1"/>
  <c r="B30" i="72"/>
  <c r="C81" i="9" l="1"/>
  <c r="N59" i="9"/>
  <c r="N61" i="9" s="1"/>
  <c r="P57" i="9"/>
  <c r="M69" i="9"/>
  <c r="N69" i="9" s="1"/>
  <c r="N60" i="9" l="1"/>
  <c r="C15" i="74" l="1"/>
  <c r="B2" i="74" s="1"/>
  <c r="D7" i="74" l="1"/>
  <c r="D8" i="74"/>
  <c r="D15" i="74" l="1"/>
  <c r="F15" i="74" l="1"/>
  <c r="B5" i="74"/>
  <c r="E15" i="74"/>
  <c r="G15"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<sst xmlns="http://schemas.openxmlformats.org/spreadsheetml/2006/main" count="8237" uniqueCount="3169">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</sst>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7">
          <cell r="B37">
            <v>160747.20000000001</v>
          </cell>
          <cell r="C37">
            <v>132803</v>
          </cell>
          <cell r="E37">
            <v>27944.199999999997</v>
          </cell>
        </row>
      </sheetData>
      <sheetData sheetId="13"/>
      <sheetData sheetId="14"/>
      <sheetData sheetId="15"/>
      <sheetData sheetId="16">
        <row r="14">
          <cell r="B14">
            <v>160747.20000000001</v>
          </cell>
          <cell r="C14">
            <v>76265.56</v>
          </cell>
          <cell r="D14">
            <v>22633</v>
          </cell>
          <cell r="G14">
            <v>22145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21772</v>
      </c>
    </row>
    <row r="21" spans="1:2" s="1593" customFormat="1">
      <c r="A21" s="1591" t="s">
        <v>1235</v>
      </c>
      <c r="B21" s="1592">
        <f ca="1">'预评函-2'!D7</f>
        <v>3002</v>
      </c>
    </row>
    <row r="22" spans="1:2" s="1593" customFormat="1">
      <c r="A22" s="1591" t="s">
        <v>1236</v>
      </c>
      <c r="B22" s="1592" t="str">
        <f ca="1">'预评函-2'!D6</f>
        <v>贰亿壹仟柒佰柒拾贰万元整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21525</v>
      </c>
    </row>
    <row r="31" spans="1:2" s="1593" customFormat="1">
      <c r="A31" s="1591" t="s">
        <v>1274</v>
      </c>
      <c r="B31" s="1592">
        <f ca="1">'预评函-2'!D15</f>
        <v>2968</v>
      </c>
    </row>
    <row r="32" spans="1:2" s="1593" customFormat="1">
      <c r="A32" s="1591" t="s">
        <v>1241</v>
      </c>
      <c r="B32" s="1592" t="str">
        <f ca="1">'预评函-2'!D14</f>
        <v>贰亿壹仟伍佰贰拾伍万元整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5269</v>
      </c>
    </row>
    <row r="48" spans="1:2" s="1593" customFormat="1">
      <c r="A48" s="1591" t="s">
        <v>1247</v>
      </c>
      <c r="B48" s="1592">
        <f ca="1">'预评函-3'!E4</f>
        <v>727</v>
      </c>
    </row>
    <row r="49" spans="1:2" s="1593" customFormat="1">
      <c r="A49" s="1591" t="s">
        <v>1248</v>
      </c>
      <c r="B49" s="1592" t="str">
        <f ca="1">'预评函-3'!D5</f>
        <v>伍仟贰佰陆拾玖万元整</v>
      </c>
    </row>
    <row r="50" spans="1:2" s="1593" customFormat="1">
      <c r="A50" s="1591" t="s">
        <v>1272</v>
      </c>
      <c r="B50" s="1592" t="str">
        <f>'预评函-3'!F2</f>
        <v>在建建筑物价值</v>
      </c>
    </row>
    <row r="51" spans="1:2" s="1593" customFormat="1">
      <c r="A51" s="1591" t="s">
        <v>1249</v>
      </c>
      <c r="B51" s="1592">
        <f ca="1">'预评函-3'!F4</f>
        <v>16503</v>
      </c>
    </row>
    <row r="52" spans="1:2" s="1593" customFormat="1">
      <c r="A52" s="1591" t="s">
        <v>1250</v>
      </c>
      <c r="B52" s="1592">
        <f ca="1">'预评函-3'!G4</f>
        <v>2275</v>
      </c>
    </row>
    <row r="53" spans="1:2" s="1593" customFormat="1">
      <c r="A53" s="1591" t="s">
        <v>1278</v>
      </c>
      <c r="B53" s="1592" t="str">
        <f ca="1">'预评函-3'!F5</f>
        <v>壹亿陆仟伍佰零叁万元整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7" sqref="A17"/>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3144</v>
      </c>
      <c r="C17" s="2015"/>
    </row>
    <row r="18" spans="1:3">
      <c r="A18" s="2014" t="s">
        <v>1767</v>
      </c>
      <c r="B18" s="2014" t="s">
        <v>3142</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1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013"/>
      <c r="B54" s="2022" t="s">
        <v>864</v>
      </c>
      <c r="C54" s="2019" t="s">
        <v>1281</v>
      </c>
    </row>
    <row r="55" spans="1:4">
      <c r="A55" s="3013"/>
      <c r="B55" s="2022" t="s">
        <v>865</v>
      </c>
      <c r="C55" s="2019" t="s">
        <v>1282</v>
      </c>
    </row>
    <row r="56" spans="1:4">
      <c r="A56" s="3013"/>
      <c r="B56" s="2022" t="s">
        <v>866</v>
      </c>
      <c r="C56" s="2019" t="s">
        <v>1286</v>
      </c>
    </row>
    <row r="57" spans="1:4">
      <c r="A57" s="301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L21" sqref="L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014"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015"/>
      <c r="D1" s="3015"/>
      <c r="E1" s="3015"/>
      <c r="F1" s="3015"/>
      <c r="G1" s="3015"/>
      <c r="H1" s="3015"/>
      <c r="I1" s="301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3052</v>
      </c>
      <c r="C4" s="1037">
        <f ca="1">SUMIF(注册房地产估价师,B4,估价师及机构信息!B3:B24)</f>
        <v>1419970001</v>
      </c>
      <c r="D4" s="2039" t="s">
        <v>3053</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3153</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3152</v>
      </c>
      <c r="C7" s="2048"/>
      <c r="D7" s="2049"/>
      <c r="E7" s="2034"/>
      <c r="F7" s="2042"/>
      <c r="G7" s="2042"/>
      <c r="H7" s="2042"/>
      <c r="I7" s="2042"/>
      <c r="J7" s="2042"/>
      <c r="K7" s="2051"/>
      <c r="L7" s="2028"/>
      <c r="M7" s="2028"/>
      <c r="N7" s="2029"/>
      <c r="O7" s="2030"/>
      <c r="P7" s="2029"/>
      <c r="Q7" s="2029"/>
      <c r="R7" s="2029"/>
    </row>
    <row r="8" spans="1:19" ht="18" customHeight="1">
      <c r="A8" s="2047" t="s">
        <v>1784</v>
      </c>
      <c r="B8" s="2052" t="s">
        <v>3047</v>
      </c>
      <c r="C8" s="2053"/>
      <c r="D8" s="3017" t="s">
        <v>1785</v>
      </c>
      <c r="E8" s="2054" t="s">
        <v>3048</v>
      </c>
      <c r="F8" s="2055"/>
      <c r="G8" s="2026"/>
      <c r="H8" s="2026"/>
      <c r="I8" s="2026"/>
      <c r="J8" s="2042"/>
      <c r="K8" s="2043"/>
      <c r="L8" s="2028"/>
      <c r="M8" s="2028"/>
      <c r="N8" s="2029"/>
      <c r="O8" s="2030"/>
      <c r="P8" s="2029"/>
      <c r="Q8" s="2029"/>
      <c r="R8" s="2029"/>
    </row>
    <row r="9" spans="1:19" ht="18" customHeight="1" thickBot="1">
      <c r="A9" s="2040" t="s">
        <v>1786</v>
      </c>
      <c r="B9" s="2056" t="s">
        <v>3048</v>
      </c>
      <c r="C9" s="2057"/>
      <c r="D9" s="3018"/>
      <c r="E9" s="2056"/>
      <c r="F9" s="2058"/>
      <c r="G9" s="2059"/>
      <c r="H9" s="2059"/>
      <c r="I9" s="2059"/>
      <c r="J9" s="2042"/>
      <c r="K9" s="2051"/>
      <c r="L9" s="2028"/>
      <c r="M9" s="2028"/>
      <c r="N9" s="2029"/>
      <c r="O9" s="2030"/>
      <c r="P9" s="2029"/>
      <c r="Q9" s="2029"/>
      <c r="R9" s="2029"/>
    </row>
    <row r="10" spans="1:19" ht="18" customHeight="1" thickTop="1">
      <c r="A10" s="2060" t="s">
        <v>1787</v>
      </c>
      <c r="B10" s="2061" t="s">
        <v>3049</v>
      </c>
      <c r="C10" s="2062"/>
      <c r="D10" s="2046"/>
      <c r="E10" s="2063" t="s">
        <v>1788</v>
      </c>
      <c r="F10" s="2064" t="s">
        <v>3155</v>
      </c>
      <c r="G10" s="2065"/>
      <c r="H10" s="2066"/>
      <c r="I10" s="2046"/>
      <c r="J10" s="2042"/>
      <c r="K10" s="2051"/>
      <c r="L10" s="2028"/>
      <c r="M10" s="2028"/>
      <c r="N10" s="2029"/>
      <c r="O10" s="2030"/>
      <c r="P10" s="2029"/>
      <c r="Q10" s="2029"/>
      <c r="R10" s="2029"/>
    </row>
    <row r="11" spans="1:19" ht="18" customHeight="1">
      <c r="A11" s="2067" t="s">
        <v>1789</v>
      </c>
      <c r="B11" s="2068" t="s">
        <v>3050</v>
      </c>
      <c r="C11" s="2963" t="s">
        <v>3152</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3051</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024" t="s">
        <v>3156</v>
      </c>
      <c r="C16" s="3025"/>
      <c r="D16" s="3026"/>
      <c r="E16" s="2082" t="s">
        <v>1802</v>
      </c>
      <c r="F16" s="3027" t="s">
        <v>3157</v>
      </c>
      <c r="G16" s="3028"/>
      <c r="H16" s="3028"/>
      <c r="I16" s="3029"/>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030" t="s">
        <v>3163</v>
      </c>
      <c r="F17" s="3031"/>
      <c r="G17" s="3031"/>
      <c r="H17" s="3031"/>
      <c r="I17" s="3032"/>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033" t="s">
        <v>3158</v>
      </c>
      <c r="F18" s="3034"/>
      <c r="G18" s="3034"/>
      <c r="H18" s="3034"/>
      <c r="I18" s="3035"/>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3106</v>
      </c>
      <c r="D19" s="2089" t="s">
        <v>1810</v>
      </c>
      <c r="E19" s="2090" t="s">
        <v>3140</v>
      </c>
      <c r="F19" s="2091" t="str">
        <f>IF(AND(C19="是",E19="否"),"是否提供他项权证或相关说明","")</f>
        <v>是否提供他项权证或相关说明</v>
      </c>
      <c r="G19" s="2092" t="s">
        <v>3140</v>
      </c>
      <c r="H19" s="2042"/>
      <c r="I19" s="2042"/>
      <c r="J19" s="2042"/>
      <c r="K19" s="2051"/>
      <c r="L19" s="2028"/>
      <c r="M19" s="2028"/>
      <c r="N19" s="2081"/>
      <c r="O19" s="2080"/>
      <c r="P19" s="2081"/>
      <c r="Q19" s="2029"/>
      <c r="R19" s="2029"/>
      <c r="S19" s="2029"/>
      <c r="T19" s="2029"/>
      <c r="U19" s="2029"/>
      <c r="V19" s="2029"/>
    </row>
    <row r="20" spans="1:22" ht="18" customHeight="1">
      <c r="A20" s="2093" t="s">
        <v>1811</v>
      </c>
      <c r="B20" s="3020" t="s">
        <v>1812</v>
      </c>
      <c r="C20" s="3021"/>
      <c r="D20" s="3022" t="s">
        <v>1813</v>
      </c>
      <c r="E20" s="3023"/>
      <c r="F20" s="2094" t="s">
        <v>1814</v>
      </c>
      <c r="G20" s="2042"/>
      <c r="H20" s="2042"/>
      <c r="I20" s="2042"/>
      <c r="J20" s="2042"/>
      <c r="K20" s="3019"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0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3159</v>
      </c>
      <c r="D22" s="2026"/>
      <c r="E22" s="2026"/>
      <c r="F22" s="2101"/>
      <c r="G22" s="2042"/>
      <c r="H22" s="2042"/>
      <c r="I22" s="2042"/>
      <c r="J22" s="2042"/>
      <c r="K22" s="30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3153</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37" t="s">
        <v>1825</v>
      </c>
      <c r="B27" s="2060" t="s">
        <v>1826</v>
      </c>
      <c r="C27" s="2116" t="s">
        <v>3162</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7"/>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37"/>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8"/>
      <c r="B30" s="2035" t="s">
        <v>1829</v>
      </c>
      <c r="C30" s="3039"/>
      <c r="D30" s="3040"/>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1" t="s">
        <v>1830</v>
      </c>
      <c r="B31" s="2123" t="s">
        <v>3160</v>
      </c>
      <c r="C31" s="2124" t="str">
        <f>IF(B31="现房","成新及维护状况正常否",IF(B31="在建","工程状态是否正常",IF(B31="土地","是否闲置","-")))</f>
        <v>工程状态是否正常</v>
      </c>
      <c r="D31" s="2125"/>
      <c r="E31" s="2965" t="s">
        <v>3161</v>
      </c>
      <c r="F31" s="2042"/>
      <c r="G31" s="2042"/>
      <c r="H31" s="2042"/>
      <c r="I31" s="2042"/>
      <c r="J31" s="2042"/>
      <c r="K31" s="2050"/>
      <c r="L31" s="2028"/>
      <c r="M31" s="2028"/>
      <c r="N31" s="2029"/>
      <c r="O31" s="2030"/>
      <c r="P31" s="2029"/>
      <c r="Q31" s="2029"/>
      <c r="R31" s="2029"/>
      <c r="S31" s="2029"/>
      <c r="T31" s="2029"/>
      <c r="U31" s="2029"/>
      <c r="V31" s="2029"/>
    </row>
    <row r="32" spans="1:22" ht="18" customHeight="1">
      <c r="A32" s="3042"/>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42"/>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3122</v>
      </c>
      <c r="C34" s="2130" t="s">
        <v>3123</v>
      </c>
      <c r="D34" s="2130" t="s">
        <v>3124</v>
      </c>
      <c r="E34" s="2130" t="s">
        <v>3125</v>
      </c>
      <c r="F34" s="2130" t="s">
        <v>3126</v>
      </c>
      <c r="G34" s="2130" t="s">
        <v>3127</v>
      </c>
      <c r="H34" s="2130" t="s">
        <v>3128</v>
      </c>
      <c r="I34" s="2042"/>
      <c r="J34" s="2042"/>
      <c r="K34" s="1795">
        <f>COUNTIF(B34:H34,"——")</f>
        <v>0</v>
      </c>
      <c r="L34" s="2071" t="s">
        <v>1832</v>
      </c>
      <c r="M34" s="2071" t="s">
        <v>1833</v>
      </c>
      <c r="N34" s="2071" t="s">
        <v>1834</v>
      </c>
      <c r="O34" s="2071" t="s">
        <v>1835</v>
      </c>
      <c r="P34" s="2071" t="s">
        <v>1836</v>
      </c>
      <c r="Q34" s="2071" t="s">
        <v>1837</v>
      </c>
      <c r="R34" s="2071" t="s">
        <v>1838</v>
      </c>
      <c r="S34" s="3036" t="s">
        <v>1839</v>
      </c>
      <c r="T34" s="2131" t="str">
        <f>NUMBERSTRING(7-K34,1)&amp;"通"</f>
        <v>七通</v>
      </c>
      <c r="U34" s="2029"/>
      <c r="V34" s="2029"/>
    </row>
    <row r="35" spans="1:22" ht="18" customHeight="1">
      <c r="A35" s="2132"/>
      <c r="B35" s="3043" t="s">
        <v>1840</v>
      </c>
      <c r="C35" s="3043"/>
      <c r="D35" s="3043"/>
      <c r="E35" s="3043"/>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36"/>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3061</v>
      </c>
      <c r="J9" s="981"/>
      <c r="K9" s="2188" t="s">
        <v>3063</v>
      </c>
      <c r="L9" s="981"/>
      <c r="M9" s="2188" t="s">
        <v>3063</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6</v>
      </c>
      <c r="L10" s="981"/>
      <c r="M10" s="2194" t="s">
        <v>6</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3104</v>
      </c>
      <c r="J11" s="2200"/>
      <c r="K11" s="2199" t="s">
        <v>3104</v>
      </c>
      <c r="L11" s="2200"/>
      <c r="M11" s="2199" t="s">
        <v>3105</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工业</v>
      </c>
      <c r="BD11" s="2184" t="str">
        <f>M10</f>
        <v>工业</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3100</v>
      </c>
      <c r="D13" s="2210" t="s">
        <v>3106</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3102</v>
      </c>
      <c r="D14" s="2210" t="s">
        <v>3106</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3101</v>
      </c>
      <c r="D15" s="2210" t="s">
        <v>3106</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3103</v>
      </c>
      <c r="D16" s="2210" t="s">
        <v>3106</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topLeftCell="A10" workbookViewId="0">
      <selection activeCell="K36" sqref="K36"/>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4">
      <c r="A1" s="2950" t="s">
        <v>3054</v>
      </c>
      <c r="B1">
        <v>114794800</v>
      </c>
      <c r="G1">
        <v>16185200</v>
      </c>
    </row>
    <row r="2" spans="1:14">
      <c r="A2" s="2950" t="s">
        <v>3055</v>
      </c>
      <c r="B2">
        <v>2185200</v>
      </c>
      <c r="G2">
        <v>114794800</v>
      </c>
    </row>
    <row r="3" spans="1:14">
      <c r="A3" s="2950" t="s">
        <v>3056</v>
      </c>
      <c r="B3">
        <v>14000000</v>
      </c>
      <c r="C3">
        <f>B1+B2+B3</f>
        <v>130980000</v>
      </c>
      <c r="E3">
        <f>C3*0.03</f>
        <v>3929400</v>
      </c>
    </row>
    <row r="4" spans="1:14">
      <c r="A4" s="2950" t="s">
        <v>3057</v>
      </c>
      <c r="B4">
        <v>5436565</v>
      </c>
    </row>
    <row r="5" spans="1:14">
      <c r="A5" s="2950" t="s">
        <v>3057</v>
      </c>
      <c r="B5">
        <v>8344978.5999999996</v>
      </c>
      <c r="C5">
        <f>B4+B5</f>
        <v>13781543.6</v>
      </c>
    </row>
    <row r="6" spans="1:14">
      <c r="A6" s="2950" t="s">
        <v>3058</v>
      </c>
      <c r="B6">
        <v>3929400</v>
      </c>
      <c r="C6">
        <f>B6/0.03</f>
        <v>130980000</v>
      </c>
    </row>
    <row r="8" spans="1:14">
      <c r="L8" s="2950" t="s">
        <v>3116</v>
      </c>
      <c r="M8" s="2950" t="s">
        <v>3115</v>
      </c>
    </row>
    <row r="9" spans="1:14">
      <c r="A9" s="2951"/>
      <c r="B9" s="3046" t="s">
        <v>3060</v>
      </c>
      <c r="C9" s="3048" t="s">
        <v>3164</v>
      </c>
      <c r="D9" s="3049"/>
      <c r="E9" s="3049"/>
      <c r="F9" s="3050"/>
      <c r="G9" s="3046" t="s">
        <v>3165</v>
      </c>
      <c r="H9" s="2951"/>
      <c r="I9" s="2951"/>
      <c r="K9" s="2950" t="s">
        <v>3069</v>
      </c>
      <c r="L9">
        <f>B11+B29+B31</f>
        <v>12747.539999999999</v>
      </c>
      <c r="M9" s="2954">
        <v>0.7</v>
      </c>
      <c r="N9">
        <f>ROUND(L9/(L9+L10),2)</f>
        <v>0.34</v>
      </c>
    </row>
    <row r="10" spans="1:14">
      <c r="A10" s="2951"/>
      <c r="B10" s="3046"/>
      <c r="C10" s="2952" t="s">
        <v>3062</v>
      </c>
      <c r="D10" s="2952"/>
      <c r="E10" s="2952" t="s">
        <v>3064</v>
      </c>
      <c r="F10" s="2951"/>
      <c r="G10" s="3047"/>
      <c r="H10" s="2951"/>
      <c r="I10" s="2951"/>
      <c r="K10" s="2950" t="s">
        <v>3114</v>
      </c>
      <c r="L10">
        <f>SUM(B19:B28)+SUM(B32:B34)+B30</f>
        <v>24809.16</v>
      </c>
      <c r="M10" s="2954">
        <v>0.4</v>
      </c>
      <c r="N10">
        <f>ROUND(L10/(L9+L10),2)</f>
        <v>0.66</v>
      </c>
    </row>
    <row r="11" spans="1:14">
      <c r="A11" s="2952" t="s">
        <v>3059</v>
      </c>
      <c r="B11" s="2951">
        <v>9571.7999999999993</v>
      </c>
      <c r="C11" s="2951">
        <v>9571.7999999999993</v>
      </c>
      <c r="D11" s="2951"/>
      <c r="E11" s="2951"/>
      <c r="F11" s="2951"/>
      <c r="G11" s="2951">
        <v>5</v>
      </c>
      <c r="H11" s="2952" t="s">
        <v>3093</v>
      </c>
      <c r="I11" s="2958">
        <v>0.7</v>
      </c>
      <c r="M11" s="2954">
        <f>M9*N9+M10*N10</f>
        <v>0.502</v>
      </c>
    </row>
    <row r="12" spans="1:14">
      <c r="A12" s="2952" t="s">
        <v>3065</v>
      </c>
      <c r="B12" s="2951">
        <v>8243.7999999999993</v>
      </c>
      <c r="C12" s="2951">
        <v>8243.7999999999993</v>
      </c>
      <c r="D12" s="2951"/>
      <c r="E12" s="2951"/>
      <c r="F12" s="2951"/>
      <c r="G12" s="2951">
        <v>6</v>
      </c>
      <c r="H12" s="2952" t="s">
        <v>3093</v>
      </c>
      <c r="I12" s="2958">
        <v>0.7</v>
      </c>
    </row>
    <row r="13" spans="1:14">
      <c r="A13" s="2952" t="s">
        <v>3066</v>
      </c>
      <c r="B13" s="2951">
        <v>10797.9</v>
      </c>
      <c r="C13" s="2951"/>
      <c r="D13" s="2951"/>
      <c r="E13" s="2951">
        <v>10797.9</v>
      </c>
      <c r="F13" s="2951"/>
      <c r="G13" s="2951">
        <v>-1</v>
      </c>
      <c r="H13" s="2952"/>
      <c r="I13" s="2958">
        <v>0.8</v>
      </c>
      <c r="K13" s="2950" t="s">
        <v>3110</v>
      </c>
      <c r="L13">
        <f>E16+E38</f>
        <v>8295.2800000000007</v>
      </c>
      <c r="M13" s="2954">
        <v>0.8</v>
      </c>
    </row>
    <row r="14" spans="1:14">
      <c r="A14" s="2951"/>
      <c r="B14" s="2951"/>
      <c r="C14" s="2951"/>
      <c r="D14" s="2951"/>
      <c r="E14" s="2951">
        <v>5426.86</v>
      </c>
      <c r="F14" s="2952" t="s">
        <v>3067</v>
      </c>
      <c r="G14" s="2951"/>
      <c r="H14" s="2951"/>
      <c r="I14" s="2951"/>
      <c r="K14" s="2950" t="s">
        <v>3111</v>
      </c>
      <c r="L14">
        <f>E14+E37</f>
        <v>12648.5</v>
      </c>
      <c r="M14" s="2954">
        <v>0.8</v>
      </c>
    </row>
    <row r="15" spans="1:14">
      <c r="A15" s="2951"/>
      <c r="B15" s="2951"/>
      <c r="C15" s="2951"/>
      <c r="D15" s="2951"/>
      <c r="E15" s="2951">
        <v>1420.23</v>
      </c>
      <c r="F15" s="2952" t="s">
        <v>3068</v>
      </c>
      <c r="G15" s="2951"/>
      <c r="H15" s="2951"/>
      <c r="I15" s="2951"/>
    </row>
    <row r="16" spans="1:14">
      <c r="A16" s="2951"/>
      <c r="B16" s="2951"/>
      <c r="C16" s="2951"/>
      <c r="D16" s="2951"/>
      <c r="E16" s="2951">
        <v>686.73</v>
      </c>
      <c r="F16" s="2952" t="s">
        <v>3069</v>
      </c>
      <c r="G16" s="2951"/>
      <c r="H16" s="2951"/>
      <c r="I16" s="2951"/>
      <c r="K16" s="2950" t="s">
        <v>3112</v>
      </c>
      <c r="L16">
        <f>C12+C35</f>
        <v>8515.9599999999991</v>
      </c>
      <c r="M16" s="2954">
        <v>0.7</v>
      </c>
      <c r="N16">
        <f>ROUND(L16/(L16+L17),2)</f>
        <v>0.61</v>
      </c>
    </row>
    <row r="17" spans="1:14">
      <c r="A17" s="2951"/>
      <c r="B17" s="2951"/>
      <c r="C17" s="2951"/>
      <c r="D17" s="2951"/>
      <c r="E17" s="2951">
        <v>3264.08</v>
      </c>
      <c r="F17" s="2952" t="s">
        <v>3070</v>
      </c>
      <c r="G17" s="2951"/>
      <c r="H17" s="2951"/>
      <c r="I17" s="2951"/>
      <c r="K17" s="2950" t="s">
        <v>3113</v>
      </c>
      <c r="L17">
        <f>E15+E17+E39</f>
        <v>5518</v>
      </c>
      <c r="M17" s="2954">
        <v>0.8</v>
      </c>
      <c r="N17">
        <f>ROUND(L17/(L16+L17),2)</f>
        <v>0.39</v>
      </c>
    </row>
    <row r="18" spans="1:14">
      <c r="A18" s="2952" t="s">
        <v>3089</v>
      </c>
      <c r="B18" s="2951">
        <v>28613.5</v>
      </c>
      <c r="C18" s="2951">
        <v>17815.599999999999</v>
      </c>
      <c r="D18" s="2951"/>
      <c r="E18" s="2951">
        <v>10797.9</v>
      </c>
      <c r="F18" s="2952"/>
      <c r="G18" s="2953"/>
      <c r="H18" s="2951"/>
      <c r="I18" s="2951"/>
      <c r="M18" s="2954">
        <f>M16*N16+M17*N17</f>
        <v>0.7390000000000001</v>
      </c>
    </row>
    <row r="19" spans="1:14">
      <c r="A19" s="2952" t="s">
        <v>3071</v>
      </c>
      <c r="B19" s="2951">
        <v>1470.43</v>
      </c>
      <c r="C19" s="2951">
        <v>1470.43</v>
      </c>
      <c r="D19" s="2951"/>
      <c r="E19" s="2951"/>
      <c r="F19" s="2951"/>
      <c r="G19" s="2951">
        <v>3</v>
      </c>
      <c r="H19" s="2952" t="s">
        <v>3095</v>
      </c>
      <c r="I19" s="2958">
        <v>0.4</v>
      </c>
    </row>
    <row r="20" spans="1:14">
      <c r="A20" s="2952" t="s">
        <v>3072</v>
      </c>
      <c r="B20" s="2951">
        <v>1119.98</v>
      </c>
      <c r="C20" s="2951">
        <v>1119.98</v>
      </c>
      <c r="D20" s="2951"/>
      <c r="E20" s="2951"/>
      <c r="F20" s="2951"/>
      <c r="G20" s="2951">
        <v>3</v>
      </c>
      <c r="H20" s="2952" t="s">
        <v>3095</v>
      </c>
      <c r="I20" s="2958">
        <v>0.4</v>
      </c>
    </row>
    <row r="21" spans="1:14">
      <c r="A21" s="2952" t="s">
        <v>3073</v>
      </c>
      <c r="B21" s="2951">
        <v>2055.7600000000002</v>
      </c>
      <c r="C21" s="2951">
        <v>2055.7600000000002</v>
      </c>
      <c r="D21" s="2951"/>
      <c r="E21" s="2951"/>
      <c r="F21" s="2951"/>
      <c r="G21" s="2951">
        <v>3</v>
      </c>
      <c r="H21" s="2952" t="s">
        <v>3095</v>
      </c>
      <c r="I21" s="2958">
        <v>0.4</v>
      </c>
    </row>
    <row r="22" spans="1:14">
      <c r="A22" s="2952" t="s">
        <v>3074</v>
      </c>
      <c r="B22" s="2951">
        <v>2011.07</v>
      </c>
      <c r="C22" s="2951">
        <v>2011.07</v>
      </c>
      <c r="D22" s="2951"/>
      <c r="E22" s="2951"/>
      <c r="F22" s="2951"/>
      <c r="G22" s="2951">
        <v>4</v>
      </c>
      <c r="H22" s="2952" t="s">
        <v>3095</v>
      </c>
      <c r="I22" s="2958">
        <v>0.4</v>
      </c>
    </row>
    <row r="23" spans="1:14">
      <c r="A23" s="2952" t="s">
        <v>3075</v>
      </c>
      <c r="B23" s="2951">
        <v>1926.41</v>
      </c>
      <c r="C23" s="2951">
        <v>1926.41</v>
      </c>
      <c r="D23" s="2951"/>
      <c r="E23" s="2951"/>
      <c r="F23" s="2951"/>
      <c r="G23" s="2951">
        <v>4</v>
      </c>
      <c r="H23" s="2952" t="s">
        <v>3095</v>
      </c>
      <c r="I23" s="2958">
        <v>0.4</v>
      </c>
    </row>
    <row r="24" spans="1:14">
      <c r="A24" s="2952" t="s">
        <v>3076</v>
      </c>
      <c r="B24" s="2951">
        <v>1119.98</v>
      </c>
      <c r="C24" s="2951">
        <v>1119.98</v>
      </c>
      <c r="D24" s="2951"/>
      <c r="E24" s="2951"/>
      <c r="F24" s="2951"/>
      <c r="G24" s="2951">
        <v>3</v>
      </c>
      <c r="H24" s="2952"/>
      <c r="I24" s="2958">
        <v>0.4</v>
      </c>
    </row>
    <row r="25" spans="1:14">
      <c r="A25" s="2952" t="s">
        <v>3077</v>
      </c>
      <c r="B25" s="2951">
        <v>2055.7600000000002</v>
      </c>
      <c r="C25" s="2951">
        <v>2055.7600000000002</v>
      </c>
      <c r="D25" s="2951"/>
      <c r="E25" s="2951"/>
      <c r="F25" s="2951"/>
      <c r="G25" s="2951">
        <v>3</v>
      </c>
      <c r="H25" s="2952" t="s">
        <v>3095</v>
      </c>
      <c r="I25" s="2958">
        <v>0.4</v>
      </c>
    </row>
    <row r="26" spans="1:14">
      <c r="A26" s="2952" t="s">
        <v>3078</v>
      </c>
      <c r="B26" s="2951">
        <v>2011.07</v>
      </c>
      <c r="C26" s="2951">
        <v>2011.07</v>
      </c>
      <c r="D26" s="2951"/>
      <c r="E26" s="2951"/>
      <c r="F26" s="2951"/>
      <c r="G26" s="2951">
        <v>4</v>
      </c>
      <c r="H26" s="2952" t="s">
        <v>3095</v>
      </c>
      <c r="I26" s="2958">
        <v>0.4</v>
      </c>
    </row>
    <row r="27" spans="1:14">
      <c r="A27" s="2952" t="s">
        <v>3079</v>
      </c>
      <c r="B27" s="2951">
        <v>1119.98</v>
      </c>
      <c r="C27" s="2951">
        <v>1119.98</v>
      </c>
      <c r="D27" s="2951"/>
      <c r="E27" s="2951"/>
      <c r="F27" s="2951"/>
      <c r="G27" s="2951">
        <v>3</v>
      </c>
      <c r="H27" s="2952" t="s">
        <v>3095</v>
      </c>
      <c r="I27" s="2958">
        <v>0.4</v>
      </c>
    </row>
    <row r="28" spans="1:14">
      <c r="A28" s="2952" t="s">
        <v>3080</v>
      </c>
      <c r="B28" s="2951">
        <v>2011.07</v>
      </c>
      <c r="C28" s="2951">
        <v>2011.07</v>
      </c>
      <c r="D28" s="2951"/>
      <c r="E28" s="2951"/>
      <c r="F28" s="2951"/>
      <c r="G28" s="2951">
        <v>4</v>
      </c>
      <c r="H28" s="2952" t="s">
        <v>3095</v>
      </c>
      <c r="I28" s="2958">
        <v>0.4</v>
      </c>
    </row>
    <row r="29" spans="1:14">
      <c r="A29" s="2952" t="s">
        <v>3081</v>
      </c>
      <c r="B29" s="2951">
        <v>1119.98</v>
      </c>
      <c r="C29" s="2951">
        <v>1119.98</v>
      </c>
      <c r="D29" s="2951"/>
      <c r="E29" s="2951"/>
      <c r="F29" s="2951"/>
      <c r="G29" s="2951">
        <v>3</v>
      </c>
      <c r="H29" s="2952" t="s">
        <v>3093</v>
      </c>
      <c r="I29" s="2958">
        <v>0.7</v>
      </c>
    </row>
    <row r="30" spans="1:14">
      <c r="A30" s="2952" t="s">
        <v>3082</v>
      </c>
      <c r="B30" s="2951">
        <v>1926.41</v>
      </c>
      <c r="C30" s="2951">
        <v>1926.41</v>
      </c>
      <c r="D30" s="2951"/>
      <c r="E30" s="2951"/>
      <c r="F30" s="2951"/>
      <c r="G30" s="2951">
        <v>4</v>
      </c>
      <c r="H30" s="2952" t="s">
        <v>3095</v>
      </c>
      <c r="I30" s="2958">
        <v>0.4</v>
      </c>
      <c r="K30">
        <v>9672.9259999999995</v>
      </c>
      <c r="L30">
        <v>28613.5</v>
      </c>
    </row>
    <row r="31" spans="1:14">
      <c r="A31" s="2952" t="s">
        <v>3083</v>
      </c>
      <c r="B31" s="2951">
        <v>2055.7600000000002</v>
      </c>
      <c r="C31" s="2951">
        <v>2055.7600000000002</v>
      </c>
      <c r="D31" s="2951"/>
      <c r="E31" s="2951"/>
      <c r="F31" s="2951"/>
      <c r="G31" s="2951">
        <v>3</v>
      </c>
      <c r="H31" s="2952" t="s">
        <v>3094</v>
      </c>
      <c r="I31" s="2958">
        <v>0.7</v>
      </c>
      <c r="K31">
        <v>13712.885200000001</v>
      </c>
      <c r="L31">
        <v>43920.94</v>
      </c>
    </row>
    <row r="32" spans="1:14">
      <c r="A32" s="2952" t="s">
        <v>3084</v>
      </c>
      <c r="B32" s="2951">
        <v>1999.07</v>
      </c>
      <c r="C32" s="2951">
        <v>1999.07</v>
      </c>
      <c r="D32" s="2951"/>
      <c r="E32" s="2951"/>
      <c r="F32" s="2951"/>
      <c r="G32" s="2951">
        <v>4</v>
      </c>
      <c r="H32" s="2952" t="s">
        <v>3095</v>
      </c>
      <c r="I32" s="2958">
        <v>0.4</v>
      </c>
      <c r="L32">
        <f>ROUND((K30+K31)/(L30+L31)*10000,0)</f>
        <v>3224</v>
      </c>
    </row>
    <row r="33" spans="1:9">
      <c r="A33" s="2952" t="s">
        <v>3085</v>
      </c>
      <c r="B33" s="2951">
        <v>2055.7600000000002</v>
      </c>
      <c r="C33" s="2951">
        <v>2055.7600000000002</v>
      </c>
      <c r="D33" s="2951"/>
      <c r="E33" s="2951"/>
      <c r="F33" s="2951"/>
      <c r="G33" s="2951">
        <v>3</v>
      </c>
      <c r="H33" s="2952" t="s">
        <v>3095</v>
      </c>
      <c r="I33" s="2958">
        <v>0.4</v>
      </c>
    </row>
    <row r="34" spans="1:9">
      <c r="A34" s="2952" t="s">
        <v>3086</v>
      </c>
      <c r="B34" s="2951">
        <v>1926.41</v>
      </c>
      <c r="C34" s="2951">
        <v>1926.41</v>
      </c>
      <c r="D34" s="2951"/>
      <c r="E34" s="2951"/>
      <c r="F34" s="2951"/>
      <c r="G34" s="2951">
        <v>4</v>
      </c>
      <c r="H34" s="2952" t="s">
        <v>3095</v>
      </c>
      <c r="I34" s="2958">
        <v>0.4</v>
      </c>
    </row>
    <row r="35" spans="1:9">
      <c r="A35" s="2952" t="s">
        <v>3087</v>
      </c>
      <c r="B35" s="2951">
        <v>272.16000000000003</v>
      </c>
      <c r="C35" s="2951">
        <v>272.16000000000003</v>
      </c>
      <c r="D35" s="2951"/>
      <c r="E35" s="2951"/>
      <c r="F35" s="2951"/>
      <c r="G35" s="2951">
        <v>1</v>
      </c>
      <c r="H35" s="2952" t="s">
        <v>3092</v>
      </c>
      <c r="I35" s="2958">
        <v>0.7</v>
      </c>
    </row>
    <row r="36" spans="1:9">
      <c r="A36" s="2952" t="s">
        <v>3088</v>
      </c>
      <c r="B36" s="2951">
        <v>15663.88</v>
      </c>
      <c r="C36" s="2951"/>
      <c r="D36" s="2951"/>
      <c r="E36" s="2951">
        <v>15663.88</v>
      </c>
      <c r="F36" s="2951"/>
      <c r="G36" s="2951">
        <v>-1</v>
      </c>
      <c r="H36" s="2951"/>
      <c r="I36" s="2958">
        <v>0.8</v>
      </c>
    </row>
    <row r="37" spans="1:9">
      <c r="A37" s="2951"/>
      <c r="B37" s="2951"/>
      <c r="C37" s="2951"/>
      <c r="D37" s="2951"/>
      <c r="E37" s="2951">
        <v>7221.64</v>
      </c>
      <c r="F37" s="2952" t="s">
        <v>3067</v>
      </c>
      <c r="G37" s="2951"/>
      <c r="H37" s="2951"/>
      <c r="I37" s="2951"/>
    </row>
    <row r="38" spans="1:9">
      <c r="A38" s="2951"/>
      <c r="B38" s="2951"/>
      <c r="C38" s="2951"/>
      <c r="D38" s="2951"/>
      <c r="E38" s="2951">
        <v>7608.55</v>
      </c>
      <c r="F38" s="2952" t="s">
        <v>3069</v>
      </c>
      <c r="G38" s="2951"/>
      <c r="H38" s="2951"/>
      <c r="I38" s="2951"/>
    </row>
    <row r="39" spans="1:9">
      <c r="A39" s="2951"/>
      <c r="B39" s="2951"/>
      <c r="C39" s="2951"/>
      <c r="D39" s="2951"/>
      <c r="E39" s="2951">
        <v>833.69</v>
      </c>
      <c r="F39" s="2952" t="s">
        <v>3070</v>
      </c>
      <c r="G39" s="2951"/>
      <c r="H39" s="2951"/>
      <c r="I39" s="2951"/>
    </row>
    <row r="40" spans="1:9">
      <c r="A40" s="2952" t="s">
        <v>3090</v>
      </c>
      <c r="B40" s="2951">
        <v>43920.94</v>
      </c>
      <c r="C40" s="2951">
        <v>28257.06</v>
      </c>
      <c r="D40" s="2951"/>
      <c r="E40" s="2951">
        <v>15663.88</v>
      </c>
      <c r="F40" s="2951"/>
      <c r="G40" s="2951"/>
      <c r="H40" s="2951"/>
      <c r="I40" s="2951"/>
    </row>
    <row r="41" spans="1:9">
      <c r="A41" s="2952" t="s">
        <v>3091</v>
      </c>
      <c r="B41" s="2951">
        <f>B18+B40</f>
        <v>72534.44</v>
      </c>
      <c r="C41" s="2951">
        <f>C18+C40</f>
        <v>46072.66</v>
      </c>
      <c r="D41" s="2951"/>
      <c r="E41" s="2951">
        <f>E18+E40</f>
        <v>26461.78</v>
      </c>
      <c r="F41" s="2951"/>
      <c r="G41" s="2951"/>
      <c r="H41" s="2951"/>
      <c r="I41" s="2951"/>
    </row>
    <row r="44" spans="1:9">
      <c r="B44" s="2950" t="s">
        <v>3098</v>
      </c>
      <c r="C44" s="2950" t="s">
        <v>3099</v>
      </c>
      <c r="D44" s="2950"/>
    </row>
    <row r="45" spans="1:9">
      <c r="A45" s="2950" t="s">
        <v>3096</v>
      </c>
      <c r="B45">
        <f>B41</f>
        <v>72534.44</v>
      </c>
      <c r="C45">
        <f>ROUND(B45/B46*C46,2)</f>
        <v>34529.71</v>
      </c>
    </row>
    <row r="46" spans="1:9">
      <c r="A46" s="2950" t="s">
        <v>3097</v>
      </c>
      <c r="B46" s="2967">
        <v>251817.2</v>
      </c>
      <c r="C46">
        <v>119876.49</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060" t="s">
        <v>1936</v>
      </c>
      <c r="B2" s="3060"/>
      <c r="C2" s="3060"/>
      <c r="D2" s="967" t="s">
        <v>1912</v>
      </c>
      <c r="E2" s="2224" t="s">
        <v>1913</v>
      </c>
      <c r="F2" s="1392"/>
      <c r="G2" s="2225"/>
      <c r="H2" s="2226"/>
      <c r="I2" s="2227" t="s">
        <v>1937</v>
      </c>
      <c r="J2" s="1392"/>
      <c r="K2" s="1392"/>
      <c r="L2" s="1392"/>
      <c r="M2" s="1392"/>
      <c r="N2" s="1427"/>
      <c r="O2" s="1392"/>
      <c r="P2" s="1392"/>
    </row>
    <row r="3" spans="1:16" ht="15.75" thickBot="1">
      <c r="A3" s="3061" t="s">
        <v>1910</v>
      </c>
      <c r="B3" s="3061"/>
      <c r="C3" s="3061"/>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062"/>
      <c r="B4" s="3063"/>
      <c r="C4" s="3064"/>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065" t="s">
        <v>1915</v>
      </c>
      <c r="C5" s="3065"/>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065" t="s">
        <v>1916</v>
      </c>
      <c r="C6" s="3065"/>
      <c r="D6" s="47">
        <f>ROUND($D$3*E6/$E$3,2)</f>
        <v>43610.93</v>
      </c>
      <c r="E6" s="48">
        <f>E3-E5</f>
        <v>72534.44</v>
      </c>
      <c r="F6" s="1392"/>
      <c r="G6" s="2232" t="s">
        <v>1917</v>
      </c>
      <c r="H6" s="1399" t="s">
        <v>1918</v>
      </c>
      <c r="I6" s="939">
        <f>ROUND(F31/D31,2)</f>
        <v>1.06</v>
      </c>
      <c r="J6" s="1392"/>
      <c r="K6" s="1392"/>
      <c r="L6" s="1392"/>
      <c r="M6" s="1392"/>
      <c r="N6" s="1392"/>
      <c r="O6" s="1392"/>
      <c r="P6" s="1392"/>
    </row>
    <row r="7" spans="1:16" ht="15">
      <c r="A7" s="3057"/>
      <c r="B7" s="3058"/>
      <c r="C7" s="3059"/>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1927</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22580.76</v>
      </c>
      <c r="E16" s="52">
        <f>SUM(E8:E15)</f>
        <v>37556.699999999997</v>
      </c>
      <c r="F16" s="1392"/>
      <c r="G16" s="2234"/>
      <c r="H16" s="2237" t="s">
        <v>1940</v>
      </c>
      <c r="I16" s="2238"/>
      <c r="J16" s="1392"/>
      <c r="K16" s="3054" t="s">
        <v>1940</v>
      </c>
      <c r="L16" s="3055"/>
      <c r="M16" s="3055"/>
      <c r="N16" s="3055"/>
      <c r="O16" s="3055"/>
      <c r="P16" s="3056"/>
    </row>
    <row r="17" spans="1:19" ht="15">
      <c r="A17" s="2239" t="s">
        <v>1941</v>
      </c>
      <c r="B17" s="2240" t="s">
        <v>1942</v>
      </c>
      <c r="C17" s="2241" t="s">
        <v>1943</v>
      </c>
      <c r="D17" s="2242" t="s">
        <v>1931</v>
      </c>
      <c r="E17" s="2243" t="s">
        <v>1932</v>
      </c>
      <c r="F17" s="2244"/>
      <c r="G17" s="2245"/>
      <c r="H17" s="2246" t="s">
        <v>1944</v>
      </c>
      <c r="I17" s="2247" t="s">
        <v>1929</v>
      </c>
      <c r="J17" s="1392"/>
      <c r="K17" s="3051" t="s">
        <v>1945</v>
      </c>
      <c r="L17" s="3052"/>
      <c r="M17" s="3053"/>
      <c r="N17" s="3051" t="s">
        <v>1946</v>
      </c>
      <c r="O17" s="3052"/>
      <c r="P17" s="3053"/>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3107</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3108</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3109</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0.502</v>
      </c>
      <c r="O6" s="74">
        <f>IF($N$5="成新度","——",ROUND(M6*N6,0))</f>
        <v>4713</v>
      </c>
      <c r="P6" s="75">
        <f>IF($N$5="成新度","——",M6-O6)</f>
        <v>4676</v>
      </c>
      <c r="Q6" s="801">
        <v>0.2</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0.02</v>
      </c>
      <c r="W6" s="78">
        <v>0.1</v>
      </c>
      <c r="X6" s="1261"/>
      <c r="Y6" s="79">
        <v>1</v>
      </c>
      <c r="Z6" s="80"/>
      <c r="AA6" s="73"/>
      <c r="AB6" s="73"/>
      <c r="AC6" s="1261"/>
      <c r="AD6" s="81"/>
      <c r="AE6" s="1262">
        <f ca="1">IF(AN6="",0,SUMIF(INDIRECT("'"&amp;AN6&amp;"'"&amp;"!E:E"),$AE$5,INDIRECT("'"&amp;AN6&amp;"'"&amp;"!F:F")))</f>
        <v>45.68</v>
      </c>
      <c r="AF6" s="1804"/>
      <c r="AG6" s="145">
        <f>IF(AF6="",0,AE6-AF6)</f>
        <v>0</v>
      </c>
      <c r="AH6" s="82"/>
      <c r="AI6" s="84">
        <v>365</v>
      </c>
      <c r="AJ6" s="85"/>
      <c r="AK6" s="86">
        <v>1.4999999999999999E-2</v>
      </c>
      <c r="AL6" s="87">
        <v>1.5E-3</v>
      </c>
      <c r="AM6" s="88">
        <v>0.02</v>
      </c>
      <c r="AN6" s="2305" t="s">
        <v>3135</v>
      </c>
      <c r="AO6" s="54">
        <f ca="1">SUMIF(INDIRECT("'"&amp;AN6&amp;"'"&amp;"!A:A"),"总价",INDIRECT("'"&amp;AN6&amp;"'"&amp;"!B:B"))</f>
        <v>29648</v>
      </c>
      <c r="AP6" s="2306">
        <f>IF(C6="住宅",K6*L6,0)</f>
        <v>0</v>
      </c>
      <c r="AQ6" s="54">
        <f>ROUND($L$14*$N$14*S6/10000,0)</f>
        <v>1332</v>
      </c>
      <c r="AR6" s="54">
        <f>ROUND($L$14*(1-$N$14)*S6/10000,0)</f>
        <v>470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0.2</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0.02</v>
      </c>
      <c r="W7" s="78">
        <v>0.1</v>
      </c>
      <c r="X7" s="1261"/>
      <c r="Y7" s="79">
        <v>1</v>
      </c>
      <c r="Z7" s="80"/>
      <c r="AA7" s="73"/>
      <c r="AB7" s="73"/>
      <c r="AC7" s="1261"/>
      <c r="AD7" s="81"/>
      <c r="AE7" s="1262">
        <f t="shared" ref="AE7:AE13" ca="1" si="7">IF(AN7="",0,SUMIF(INDIRECT("'"&amp;AN7&amp;"'"&amp;"!E:E"),$AE$5,INDIRECT("'"&amp;AN7&amp;"'"&amp;"!F:F")))</f>
        <v>45.68</v>
      </c>
      <c r="AF7" s="1804"/>
      <c r="AG7" s="145">
        <f t="shared" ref="AG7:AG13" si="8">IF(AF7="",0,AE7-AF7)</f>
        <v>0</v>
      </c>
      <c r="AH7" s="82"/>
      <c r="AI7" s="84">
        <v>365</v>
      </c>
      <c r="AJ7" s="85"/>
      <c r="AK7" s="86">
        <v>1.4999999999999999E-2</v>
      </c>
      <c r="AL7" s="87">
        <v>1.5E-3</v>
      </c>
      <c r="AM7" s="88">
        <v>0.02</v>
      </c>
      <c r="AN7" s="2305" t="s">
        <v>3143</v>
      </c>
      <c r="AO7" s="54">
        <f t="shared" ref="AO7:AO13" ca="1" si="9">SUMIF(INDIRECT("'"&amp;AN7&amp;"'"&amp;"!A:A"),"总价",INDIRECT("'"&amp;AN7&amp;"'"&amp;"!B:B"))</f>
        <v>3291</v>
      </c>
      <c r="AP7" s="2306">
        <f t="shared" ref="AP7:AP13" si="10">IF(C7="住宅",K7*L7,0)</f>
        <v>0</v>
      </c>
      <c r="AQ7" s="54">
        <f t="shared" ref="AQ7:AQ13" si="11">ROUND($L$14*$N$14*S7/10000,0)</f>
        <v>294</v>
      </c>
      <c r="AR7" s="54">
        <f t="shared" ref="AR7:AR13" si="12">ROUND($L$14*(1-$N$14)*S7/10000,0)</f>
        <v>104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3105</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0.1</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0.8</v>
      </c>
      <c r="V8" s="803">
        <v>0.01</v>
      </c>
      <c r="W8" s="803">
        <v>0.1</v>
      </c>
      <c r="X8" s="1261"/>
      <c r="Y8" s="804">
        <v>1</v>
      </c>
      <c r="Z8" s="80"/>
      <c r="AA8" s="73"/>
      <c r="AB8" s="73"/>
      <c r="AC8" s="1261"/>
      <c r="AD8" s="81"/>
      <c r="AE8" s="1262">
        <f t="shared" ca="1" si="7"/>
        <v>45.68</v>
      </c>
      <c r="AF8" s="1804"/>
      <c r="AG8" s="145">
        <f t="shared" si="8"/>
        <v>0</v>
      </c>
      <c r="AH8" s="805"/>
      <c r="AI8" s="84">
        <v>365</v>
      </c>
      <c r="AJ8" s="85"/>
      <c r="AK8" s="806">
        <v>1.4999999999999999E-2</v>
      </c>
      <c r="AL8" s="807">
        <v>1.5E-3</v>
      </c>
      <c r="AM8" s="808">
        <v>0.02</v>
      </c>
      <c r="AN8" s="2305" t="s">
        <v>3141</v>
      </c>
      <c r="AO8" s="54">
        <f t="shared" ca="1" si="9"/>
        <v>4373</v>
      </c>
      <c r="AP8" s="2306">
        <f t="shared" si="10"/>
        <v>0</v>
      </c>
      <c r="AQ8" s="54">
        <f t="shared" si="11"/>
        <v>448</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0.7390000000000001</v>
      </c>
      <c r="O14" s="74">
        <f t="shared" si="4"/>
        <v>2074</v>
      </c>
      <c r="P14" s="75">
        <f t="shared" si="5"/>
        <v>733</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0.623</v>
      </c>
      <c r="O16" s="100">
        <f>SUM(O6:O14)</f>
        <v>10470</v>
      </c>
      <c r="P16" s="100">
        <f>SUM(P6:P14)</f>
        <v>6330</v>
      </c>
      <c r="Q16" s="102">
        <f>ROUND(SUMPRODUCT(Q6:Q13,K6:K13)/SUMPRODUCT((Q6:Q13&gt;0)*(K6:K13)),2)</f>
        <v>0.18</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6" t="s">
        <v>2082</v>
      </c>
      <c r="B1" s="3067"/>
      <c r="C1" s="3067"/>
      <c r="D1" s="3067"/>
      <c r="E1" s="3067"/>
      <c r="F1" s="3067"/>
      <c r="G1" s="306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30" sqref="C30"/>
    </sheetView>
  </sheetViews>
  <sheetFormatPr defaultRowHeight="13.5"/>
  <cols>
    <col min="1" max="1" width="23.375" style="1738" customWidth="1"/>
    <col min="2" max="9" width="15.75" style="1738" customWidth="1"/>
    <col min="10" max="16384" width="9" style="1738"/>
  </cols>
  <sheetData>
    <row r="1" spans="1:10" ht="16.5">
      <c r="A1" s="1743" t="s">
        <v>1365</v>
      </c>
      <c r="B1" s="1743">
        <f>SUM(B14:B23)</f>
        <v>233281.64</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44405</v>
      </c>
      <c r="C5" s="1743">
        <f ca="1">ROUND(B5*10000/$B$1,0)</f>
        <v>1903</v>
      </c>
      <c r="D5" s="1743">
        <f ca="1">ROUND(B5*10000/$B$2,0)</f>
        <v>3704</v>
      </c>
      <c r="E5" s="1742"/>
      <c r="F5" s="1740"/>
      <c r="G5" s="1740"/>
    </row>
    <row r="6" spans="1:10" ht="16.5">
      <c r="A6" s="1743" t="s">
        <v>1356</v>
      </c>
      <c r="B6" s="1743">
        <f ca="1">SUM(G14:G23)</f>
        <v>43670</v>
      </c>
      <c r="C6" s="1743">
        <f ca="1">ROUND(B6*10000/$B$1,0)</f>
        <v>1872</v>
      </c>
      <c r="D6" s="1743">
        <f ca="1">ROUND(B6*10000/$B$2,0)</f>
        <v>3643</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21772</v>
      </c>
      <c r="E14" s="1741">
        <f ca="1">ROUND(D14*10000/B14,0)</f>
        <v>3002</v>
      </c>
      <c r="F14" s="1741">
        <f ca="1">ROUND(D14*10000/C14,0)</f>
        <v>4992</v>
      </c>
      <c r="G14" s="1741">
        <f ca="1">结果表!D122</f>
        <v>21525</v>
      </c>
      <c r="H14" s="1741" t="str">
        <f>结果表!D124</f>
        <v>——</v>
      </c>
      <c r="I14" s="1741" t="str">
        <f>结果表!D126</f>
        <v>——</v>
      </c>
      <c r="J14" s="1740"/>
    </row>
    <row r="15" spans="1:10" ht="16.5">
      <c r="A15" s="1739" t="s">
        <v>1349</v>
      </c>
      <c r="B15" s="1746">
        <f>[1]系统读取表!$B$14</f>
        <v>160747.20000000001</v>
      </c>
      <c r="C15" s="1746">
        <f>[1]系统读取表!$C$14</f>
        <v>76265.56</v>
      </c>
      <c r="D15" s="1746">
        <f ca="1">[1]系统读取表!$D$14</f>
        <v>22633</v>
      </c>
      <c r="E15" s="1741">
        <f t="shared" ref="E15:E23" ca="1" si="0">ROUND(D15*10000/B15,0)</f>
        <v>1408</v>
      </c>
      <c r="F15" s="1741">
        <f t="shared" ref="F15:F23" ca="1" si="1">ROUND(D15*10000/C15,0)</f>
        <v>2968</v>
      </c>
      <c r="G15" s="1747">
        <f ca="1">[1]系统读取表!$G$14</f>
        <v>22145</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2" zoomScaleNormal="100" zoomScaleSheetLayoutView="100" zoomScalePageLayoutView="80" workbookViewId="0">
      <selection activeCell="D121" sqref="D121:I121"/>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140" t="str">
        <f>项目基本情况!S2</f>
        <v>北京市房山区琉璃河镇中心区E-07地块1#综合厂房等3项、2#厂房等18项（中粮科技园标准厂房及配套附属设施建设项目）出让国有建设用地使用权及在建建筑物房地产</v>
      </c>
      <c r="B2" s="3141"/>
      <c r="C2" s="3141"/>
      <c r="D2" s="3141"/>
      <c r="E2" s="3141"/>
      <c r="F2" s="3141"/>
      <c r="G2" s="3141"/>
      <c r="H2" s="3141"/>
      <c r="I2" s="3142"/>
    </row>
    <row r="3" spans="1:12" ht="12.75">
      <c r="A3" s="3143" t="s">
        <v>2122</v>
      </c>
      <c r="B3" s="3144"/>
      <c r="C3" s="3144"/>
      <c r="D3" s="3144"/>
      <c r="E3" s="3144"/>
      <c r="F3" s="3144"/>
      <c r="G3" s="3144"/>
      <c r="H3" s="3144"/>
      <c r="I3" s="3144"/>
    </row>
    <row r="4" spans="1:12" ht="14.25">
      <c r="A4" s="2422" t="s">
        <v>2123</v>
      </c>
      <c r="B4" s="2423" t="s">
        <v>2124</v>
      </c>
      <c r="C4" s="2424" t="s">
        <v>3145</v>
      </c>
      <c r="D4" s="2424" t="s">
        <v>3146</v>
      </c>
      <c r="E4" s="3124" t="s">
        <v>2125</v>
      </c>
      <c r="F4" s="3137"/>
      <c r="G4" s="3137"/>
      <c r="H4" s="3137"/>
      <c r="I4" s="312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2126</v>
      </c>
      <c r="B5" s="3036">
        <v>25</v>
      </c>
      <c r="C5" s="3145"/>
      <c r="D5" s="3133"/>
      <c r="E5" s="138" t="s">
        <v>2127</v>
      </c>
      <c r="F5" s="2426"/>
      <c r="G5" s="2426"/>
      <c r="H5" s="2426"/>
      <c r="I5" s="1831"/>
    </row>
    <row r="6" spans="1:12" ht="12.75">
      <c r="A6" s="3115"/>
      <c r="B6" s="3036"/>
      <c r="C6" s="3147"/>
      <c r="D6" s="3133"/>
      <c r="E6" s="138" t="s">
        <v>2128</v>
      </c>
      <c r="F6" s="2426"/>
      <c r="G6" s="2426"/>
      <c r="H6" s="2426"/>
      <c r="I6" s="1831"/>
    </row>
    <row r="7" spans="1:12" ht="12.75">
      <c r="A7" s="3115"/>
      <c r="B7" s="3036"/>
      <c r="C7" s="3146"/>
      <c r="D7" s="3133"/>
      <c r="E7" s="138" t="s">
        <v>2129</v>
      </c>
      <c r="F7" s="2426"/>
      <c r="G7" s="2426"/>
      <c r="H7" s="2426"/>
      <c r="I7" s="1831"/>
    </row>
    <row r="8" spans="1:12" ht="12.75">
      <c r="A8" s="3115" t="s">
        <v>2130</v>
      </c>
      <c r="B8" s="3036">
        <v>15</v>
      </c>
      <c r="C8" s="3145"/>
      <c r="D8" s="3133"/>
      <c r="E8" s="138" t="s">
        <v>2131</v>
      </c>
      <c r="F8" s="2426"/>
      <c r="G8" s="2426"/>
      <c r="H8" s="2426"/>
      <c r="I8" s="1831"/>
    </row>
    <row r="9" spans="1:12" ht="12.75">
      <c r="A9" s="3115"/>
      <c r="B9" s="3036"/>
      <c r="C9" s="3146"/>
      <c r="D9" s="3133"/>
      <c r="E9" s="138" t="s">
        <v>2132</v>
      </c>
      <c r="F9" s="2426"/>
      <c r="G9" s="2426"/>
      <c r="H9" s="2426"/>
      <c r="I9" s="1831"/>
    </row>
    <row r="10" spans="1:12" ht="12.75">
      <c r="A10" s="3115" t="s">
        <v>2133</v>
      </c>
      <c r="B10" s="3036">
        <v>15</v>
      </c>
      <c r="C10" s="3145"/>
      <c r="D10" s="3133"/>
      <c r="E10" s="138" t="s">
        <v>2134</v>
      </c>
      <c r="F10" s="2426"/>
      <c r="G10" s="2426"/>
      <c r="H10" s="2426"/>
      <c r="I10" s="1831"/>
    </row>
    <row r="11" spans="1:12" ht="12.75">
      <c r="A11" s="3115"/>
      <c r="B11" s="3036"/>
      <c r="C11" s="3146"/>
      <c r="D11" s="3133"/>
      <c r="E11" s="138" t="s">
        <v>2135</v>
      </c>
      <c r="F11" s="2426"/>
      <c r="G11" s="2426"/>
      <c r="H11" s="2426"/>
      <c r="I11" s="1831"/>
    </row>
    <row r="12" spans="1:12" ht="12.75">
      <c r="A12" s="3115" t="s">
        <v>2136</v>
      </c>
      <c r="B12" s="3036">
        <v>15</v>
      </c>
      <c r="C12" s="3145"/>
      <c r="D12" s="3133"/>
      <c r="E12" s="138" t="s">
        <v>2137</v>
      </c>
      <c r="F12" s="2426"/>
      <c r="G12" s="2426"/>
      <c r="H12" s="2426"/>
      <c r="I12" s="1831"/>
    </row>
    <row r="13" spans="1:12" ht="12.75">
      <c r="A13" s="3115"/>
      <c r="B13" s="3036"/>
      <c r="C13" s="3146"/>
      <c r="D13" s="3133"/>
      <c r="E13" s="138" t="s">
        <v>2138</v>
      </c>
      <c r="F13" s="2426"/>
      <c r="G13" s="2426"/>
      <c r="H13" s="2426"/>
      <c r="I13" s="1831"/>
    </row>
    <row r="14" spans="1:12" ht="12.75">
      <c r="A14" s="3115" t="s">
        <v>2139</v>
      </c>
      <c r="B14" s="3036">
        <v>30</v>
      </c>
      <c r="C14" s="3145">
        <v>5</v>
      </c>
      <c r="D14" s="3133">
        <v>5</v>
      </c>
      <c r="E14" s="138" t="s">
        <v>2140</v>
      </c>
      <c r="F14" s="2426"/>
      <c r="G14" s="2426"/>
      <c r="H14" s="2426"/>
      <c r="I14" s="1831"/>
    </row>
    <row r="15" spans="1:12" ht="12.75">
      <c r="A15" s="3115"/>
      <c r="B15" s="3036"/>
      <c r="C15" s="3147"/>
      <c r="D15" s="3133"/>
      <c r="E15" s="138" t="s">
        <v>2141</v>
      </c>
      <c r="F15" s="2426"/>
      <c r="G15" s="2426"/>
      <c r="H15" s="2426"/>
      <c r="I15" s="1831"/>
    </row>
    <row r="16" spans="1:12" ht="12.75">
      <c r="A16" s="3115"/>
      <c r="B16" s="3036"/>
      <c r="C16" s="3146"/>
      <c r="D16" s="3133"/>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20955</v>
      </c>
      <c r="D19" s="142">
        <f ca="1">SUMIF(INDIRECT("'"&amp;D4&amp;"'"&amp;"!A:A"),结果表!B19,INDIRECT("'"&amp;D4&amp;"'"&amp;"!B:B"))</f>
        <v>22588</v>
      </c>
      <c r="E19" s="2431" t="s">
        <v>2150</v>
      </c>
      <c r="F19" s="2432" t="s">
        <v>2149</v>
      </c>
      <c r="G19" s="143">
        <f ca="1">ROUND(C19*$C$18+D19*$D$18,0)</f>
        <v>21772</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2889</v>
      </c>
      <c r="D20" s="145">
        <f ca="1">SUMIF(INDIRECT("'"&amp;D4&amp;"'"&amp;"!A:A"),结果表!B20,INDIRECT("'"&amp;D4&amp;"'"&amp;"!B:B"))</f>
        <v>3114</v>
      </c>
      <c r="E20" s="2434"/>
      <c r="F20" s="1247" t="s">
        <v>2153</v>
      </c>
      <c r="G20" s="146">
        <f ca="1">ROUND(C20*$C$18+D20*$D$18,0)</f>
        <v>3002</v>
      </c>
      <c r="H20" s="980" t="s">
        <v>2154</v>
      </c>
      <c r="I20" s="136"/>
    </row>
    <row r="21" spans="1:35" ht="15" customHeight="1" thickBot="1">
      <c r="A21" s="1000"/>
      <c r="B21" s="2435" t="s">
        <v>2155</v>
      </c>
      <c r="C21" s="787">
        <f ca="1">ROUND(C19*10000/L19,0)</f>
        <v>4805</v>
      </c>
      <c r="D21" s="788">
        <f ca="1">ROUND(D19*10000/L19,0)</f>
        <v>5179</v>
      </c>
      <c r="E21" s="1000"/>
      <c r="F21" s="2435" t="s">
        <v>2155</v>
      </c>
      <c r="G21" s="147">
        <f ca="1">ROUND(G19*10000/L19,0)</f>
        <v>4992</v>
      </c>
      <c r="H21" s="2436" t="s">
        <v>2154</v>
      </c>
      <c r="I21" s="136"/>
    </row>
    <row r="22" spans="1:35" ht="15" thickBot="1">
      <c r="A22" s="2277" t="s">
        <v>2156</v>
      </c>
      <c r="B22" s="2437"/>
      <c r="C22" s="2438"/>
      <c r="D22" s="789">
        <f ca="1">IF(C19&lt;D19,D19/C19-1,C19/D19-1)</f>
        <v>7.7928895251729857E-2</v>
      </c>
      <c r="E22" s="136"/>
      <c r="F22" s="136"/>
      <c r="G22" s="136"/>
      <c r="H22" s="136"/>
      <c r="I22" s="136"/>
    </row>
    <row r="23" spans="1:35" ht="13.5" thickBot="1">
      <c r="A23" s="2415"/>
      <c r="B23" s="2415"/>
      <c r="C23" s="2415"/>
      <c r="D23" s="2415"/>
      <c r="E23" s="136"/>
      <c r="F23" s="136"/>
      <c r="G23" s="136"/>
      <c r="H23" s="136"/>
      <c r="I23" s="136"/>
    </row>
    <row r="24" spans="1:35" ht="14.25">
      <c r="A24" s="3154" t="s">
        <v>2157</v>
      </c>
      <c r="B24" s="2432" t="s">
        <v>2149</v>
      </c>
      <c r="C24" s="143">
        <f>IF(B30=0,0,D30)</f>
        <v>0</v>
      </c>
      <c r="D24" s="2439"/>
      <c r="E24" s="136"/>
      <c r="F24" s="136"/>
      <c r="G24" s="136"/>
      <c r="H24" s="136"/>
      <c r="I24" s="136"/>
    </row>
    <row r="25" spans="1:35" ht="14.25">
      <c r="A25" s="3155"/>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3037</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21772</v>
      </c>
      <c r="D32" s="2446" t="s">
        <v>2164</v>
      </c>
      <c r="E32" s="136"/>
      <c r="F32" s="136"/>
      <c r="G32" s="136"/>
      <c r="H32" s="136"/>
      <c r="I32" s="136"/>
    </row>
    <row r="33" spans="1:15" ht="15">
      <c r="A33" s="957" t="s">
        <v>2165</v>
      </c>
      <c r="B33" s="2447"/>
      <c r="C33" s="2448" t="s">
        <v>3151</v>
      </c>
      <c r="D33" s="2449" t="s">
        <v>3145</v>
      </c>
      <c r="E33" s="2450" t="s">
        <v>2166</v>
      </c>
      <c r="F33" s="2451" t="str">
        <f>IF(D32="楼面单价","取值（单价）","取值（总价）")</f>
        <v>取值（总价）</v>
      </c>
      <c r="G33" s="136"/>
      <c r="H33" s="136"/>
      <c r="I33" s="136"/>
    </row>
    <row r="34" spans="1:15" ht="15">
      <c r="A34" s="2452"/>
      <c r="B34" s="2453" t="s">
        <v>2167</v>
      </c>
      <c r="C34" s="155">
        <f ca="1">IF(C33="自定义",F34,C32-C35)</f>
        <v>5269</v>
      </c>
      <c r="D34" s="1055">
        <f ca="1">IF(C33="自定义",ROUND(C34/C32,3),IF(C33="收益比率",SUMIF(INDIRECT("'"&amp;D33&amp;"'"&amp;"!b:b"),"土地收益比率",INDIRECT("'"&amp;D33&amp;"'"&amp;"!c:c")),SUMIF(INDIRECT("'"&amp;D33&amp;"'"&amp;"!b:b"),"土地成本比率",INDIRECT("'"&amp;D33&amp;"'"&amp;"!c:c"))))</f>
        <v>0.24199999999999999</v>
      </c>
      <c r="E34" s="2454" t="s">
        <v>2168</v>
      </c>
      <c r="F34" s="1736"/>
      <c r="G34" s="136"/>
      <c r="H34" s="136"/>
      <c r="I34" s="136"/>
    </row>
    <row r="35" spans="1:15" ht="15.75" thickBot="1">
      <c r="A35" s="2455"/>
      <c r="B35" s="2456" t="s">
        <v>2169</v>
      </c>
      <c r="C35" s="1441">
        <f ca="1">IF(C33="自定义",F35,ROUND(C32*D35,0))</f>
        <v>16503</v>
      </c>
      <c r="D35" s="1442">
        <f ca="1">IF(C33="自定义",ROUND(C35/C32,3),IF(C33="收益比率",SUMIF(INDIRECT("'"&amp;D33&amp;"'"&amp;"!b:b"),"建筑物收益比率",INDIRECT("'"&amp;D33&amp;"'"&amp;"!c:c")),SUMIF(INDIRECT("'"&amp;D33&amp;"'"&amp;"!b:b"),"建筑物成本比率",INDIRECT("'"&amp;D33&amp;"'"&amp;"!c:c"))))</f>
        <v>0.75800000000000001</v>
      </c>
      <c r="E35" s="2457" t="s">
        <v>2170</v>
      </c>
      <c r="F35" s="161"/>
      <c r="G35" s="136"/>
      <c r="H35" s="136"/>
      <c r="I35" s="136"/>
    </row>
    <row r="36" spans="1:15" ht="15.75" thickBot="1">
      <c r="A36" s="3134" t="s">
        <v>2171</v>
      </c>
      <c r="B36" s="2458" t="s">
        <v>2172</v>
      </c>
      <c r="C36" s="152"/>
      <c r="D36" s="2459" t="s">
        <v>3166</v>
      </c>
      <c r="E36" s="2460"/>
      <c r="F36" s="2461"/>
      <c r="G36" s="136"/>
      <c r="H36" s="136"/>
      <c r="I36" s="136"/>
    </row>
    <row r="37" spans="1:15" ht="15.75" thickBot="1">
      <c r="A37" s="3135"/>
      <c r="B37" s="2263" t="s">
        <v>2173</v>
      </c>
      <c r="C37" s="154"/>
      <c r="D37" s="1392"/>
      <c r="E37" s="1392"/>
      <c r="F37" s="2461"/>
      <c r="G37" s="136"/>
      <c r="H37" s="136"/>
      <c r="I37" s="136"/>
    </row>
    <row r="38" spans="1:15" ht="15.75" thickBot="1">
      <c r="A38" s="3136"/>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151" t="s">
        <v>2185</v>
      </c>
      <c r="B45" s="3152"/>
      <c r="C45" s="3153"/>
      <c r="D45" s="162">
        <f ca="1">ROUND(H101*F45,0)</f>
        <v>21772</v>
      </c>
      <c r="E45" s="163" t="s">
        <v>2186</v>
      </c>
      <c r="F45" s="164">
        <v>1</v>
      </c>
      <c r="G45" s="165" t="s">
        <v>2187</v>
      </c>
      <c r="H45" s="136"/>
      <c r="I45" s="136"/>
      <c r="J45" s="3070" t="s">
        <v>2188</v>
      </c>
      <c r="K45" s="3070"/>
      <c r="L45" s="3070"/>
      <c r="M45" s="3070"/>
      <c r="N45" s="3070"/>
      <c r="O45" s="3070"/>
    </row>
    <row r="46" spans="1:15" ht="14.25" customHeight="1">
      <c r="A46" s="3148" t="s">
        <v>2189</v>
      </c>
      <c r="B46" s="3149"/>
      <c r="C46" s="3149"/>
      <c r="D46" s="3149"/>
      <c r="E46" s="3149"/>
      <c r="F46" s="3149"/>
      <c r="G46" s="3150"/>
      <c r="H46" s="2477"/>
      <c r="I46" s="166"/>
      <c r="J46" s="1809">
        <v>1</v>
      </c>
      <c r="K46" s="3070" t="s">
        <v>2190</v>
      </c>
      <c r="L46" s="3070"/>
      <c r="M46" s="3071"/>
      <c r="N46" s="3071"/>
      <c r="O46" s="3071"/>
    </row>
    <row r="47" spans="1:15" ht="12" customHeight="1">
      <c r="A47" s="167" t="s">
        <v>2191</v>
      </c>
      <c r="B47" s="168"/>
      <c r="C47" s="169"/>
      <c r="D47" s="170" t="s">
        <v>2192</v>
      </c>
      <c r="E47" s="23" t="s">
        <v>2193</v>
      </c>
      <c r="F47" s="171" t="s">
        <v>2194</v>
      </c>
      <c r="G47" s="172" t="s">
        <v>2195</v>
      </c>
      <c r="H47" s="2477"/>
      <c r="I47" s="166"/>
      <c r="J47" s="1809">
        <v>2</v>
      </c>
      <c r="K47" s="3070" t="s">
        <v>2196</v>
      </c>
      <c r="L47" s="3070"/>
      <c r="M47" s="3072">
        <f>'数据-取费表'!B2</f>
        <v>43251</v>
      </c>
      <c r="N47" s="3072"/>
      <c r="O47" s="3072"/>
    </row>
    <row r="48" spans="1:15" ht="25.5">
      <c r="A48" s="3138" t="s">
        <v>2197</v>
      </c>
      <c r="B48" s="3139"/>
      <c r="C48" s="3139"/>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070" t="s">
        <v>2200</v>
      </c>
      <c r="L48" s="3070"/>
      <c r="M48" s="3073">
        <f ca="1">H101</f>
        <v>21772</v>
      </c>
      <c r="N48" s="3073"/>
      <c r="O48" s="3073"/>
    </row>
    <row r="49" spans="1:35" ht="25.5" customHeight="1">
      <c r="A49" s="174" t="s">
        <v>2201</v>
      </c>
      <c r="B49" s="3118" t="s">
        <v>2202</v>
      </c>
      <c r="C49" s="3118"/>
      <c r="D49" s="175">
        <v>0</v>
      </c>
      <c r="E49" s="22" t="s">
        <v>2203</v>
      </c>
      <c r="F49" s="27" t="s">
        <v>34</v>
      </c>
      <c r="G49" s="3099"/>
      <c r="H49" s="136"/>
      <c r="I49" s="2480"/>
      <c r="J49" s="1809">
        <v>4</v>
      </c>
      <c r="K49" s="3070" t="str">
        <f>IF(项目基本情况!E8="房地产抵押价值","房地产抵押价值","抵押担保权已注销时的房地产抵押价值")</f>
        <v>房地产抵押价值</v>
      </c>
      <c r="L49" s="3070"/>
      <c r="M49" s="3073">
        <f ca="1">IF(项目基本情况!E8="房地产抵押价值",H107,H109)</f>
        <v>21525</v>
      </c>
      <c r="N49" s="3073"/>
      <c r="O49" s="3073"/>
    </row>
    <row r="50" spans="1:35" ht="25.5" customHeight="1">
      <c r="A50" s="176"/>
      <c r="B50" s="3118" t="s">
        <v>2204</v>
      </c>
      <c r="C50" s="3118"/>
      <c r="D50" s="177"/>
      <c r="E50" s="30"/>
      <c r="F50" s="178"/>
      <c r="G50" s="3100"/>
      <c r="H50" s="136"/>
      <c r="I50" s="2480"/>
      <c r="J50" s="3070" t="s">
        <v>2205</v>
      </c>
      <c r="K50" s="3070"/>
      <c r="L50" s="3070"/>
      <c r="M50" s="3070"/>
      <c r="N50" s="3070"/>
      <c r="O50" s="3070"/>
    </row>
    <row r="51" spans="1:35" ht="12" customHeight="1">
      <c r="A51" s="179"/>
      <c r="B51" s="3118" t="s">
        <v>2206</v>
      </c>
      <c r="C51" s="3118"/>
      <c r="D51" s="180"/>
      <c r="E51" s="29"/>
      <c r="F51" s="178"/>
      <c r="G51" s="3101"/>
      <c r="H51" s="136"/>
      <c r="I51" s="2480"/>
      <c r="J51" s="2481" t="s">
        <v>2207</v>
      </c>
      <c r="K51" s="3070" t="s">
        <v>2208</v>
      </c>
      <c r="L51" s="3070"/>
      <c r="M51" s="2481" t="s">
        <v>2209</v>
      </c>
      <c r="N51" s="2481" t="s">
        <v>2210</v>
      </c>
      <c r="O51" s="2481" t="s">
        <v>2211</v>
      </c>
    </row>
    <row r="52" spans="1:35" ht="24" customHeight="1">
      <c r="A52" s="181" t="s">
        <v>2212</v>
      </c>
      <c r="B52" s="3118" t="s">
        <v>2213</v>
      </c>
      <c r="C52" s="3118"/>
      <c r="D52" s="180">
        <f ca="1">ROUND(D45*'数据-取费表'!B41/(1+'数据-取费表'!C42),0)</f>
        <v>1140</v>
      </c>
      <c r="E52" s="11" t="s">
        <v>2214</v>
      </c>
      <c r="F52" s="182">
        <f>'数据-取费表'!B41</f>
        <v>5.5000000000000007E-2</v>
      </c>
      <c r="G52" s="2482"/>
      <c r="H52" s="136"/>
      <c r="I52" s="2480"/>
      <c r="J52" s="1809">
        <v>1</v>
      </c>
      <c r="K52" s="3093" t="s">
        <v>2215</v>
      </c>
      <c r="L52" s="3093"/>
      <c r="M52" s="1751">
        <f>D48</f>
        <v>0</v>
      </c>
      <c r="N52" s="1809" t="str">
        <f>E48</f>
        <v>销售额×税（费）率</v>
      </c>
      <c r="O52" s="1752" t="str">
        <f>F48</f>
        <v>免征</v>
      </c>
    </row>
    <row r="53" spans="1:35" ht="12" customHeight="1">
      <c r="A53" s="181" t="s">
        <v>2216</v>
      </c>
      <c r="B53" s="3119" t="s">
        <v>2217</v>
      </c>
      <c r="C53" s="3120"/>
      <c r="D53" s="180">
        <f ca="1">ROUND(D45*'数据-取费表'!B41/(1+'数据-取费表'!C42),0)</f>
        <v>1140</v>
      </c>
      <c r="E53" s="11" t="s">
        <v>2214</v>
      </c>
      <c r="F53" s="182">
        <f>'数据-取费表'!B41</f>
        <v>5.5000000000000007E-2</v>
      </c>
      <c r="G53" s="2482"/>
      <c r="H53" s="136"/>
      <c r="I53" s="2480"/>
      <c r="J53" s="1809">
        <v>2</v>
      </c>
      <c r="K53" s="3093" t="s">
        <v>2218</v>
      </c>
      <c r="L53" s="3093"/>
      <c r="M53" s="1751">
        <f t="shared" ref="M53:O54" ca="1" si="0">D55</f>
        <v>11</v>
      </c>
      <c r="N53" s="1809" t="str">
        <f t="shared" si="0"/>
        <v>销售额×税（费）率</v>
      </c>
      <c r="O53" s="1752">
        <f t="shared" si="0"/>
        <v>5.0000000000000001E-4</v>
      </c>
    </row>
    <row r="54" spans="1:35" ht="12" customHeight="1">
      <c r="A54" s="181" t="s">
        <v>2219</v>
      </c>
      <c r="B54" s="3119" t="s">
        <v>2220</v>
      </c>
      <c r="C54" s="3120"/>
      <c r="D54" s="180">
        <f ca="1">C68</f>
        <v>1140</v>
      </c>
      <c r="E54" s="29" t="s">
        <v>2221</v>
      </c>
      <c r="F54" s="182">
        <f>'数据-取费表'!B41</f>
        <v>5.5000000000000007E-2</v>
      </c>
      <c r="G54" s="2482"/>
      <c r="H54" s="2483"/>
      <c r="I54" s="2480"/>
      <c r="J54" s="1809">
        <v>3</v>
      </c>
      <c r="K54" s="3093" t="s">
        <v>2222</v>
      </c>
      <c r="L54" s="3093"/>
      <c r="M54" s="1751">
        <f t="shared" ca="1" si="0"/>
        <v>12342</v>
      </c>
      <c r="N54" s="1809" t="str">
        <f t="shared" si="0"/>
        <v>增值额×税（费）率</v>
      </c>
      <c r="O54" s="1753" t="str">
        <f t="shared" si="0"/>
        <v>——</v>
      </c>
    </row>
    <row r="55" spans="1:35" ht="24" customHeight="1">
      <c r="A55" s="3157" t="s">
        <v>2223</v>
      </c>
      <c r="B55" s="3139"/>
      <c r="C55" s="3139"/>
      <c r="D55" s="183">
        <f ca="1">IF(H55="个人住宅",0,ROUND(D45*I55,0))</f>
        <v>11</v>
      </c>
      <c r="E55" s="11" t="s">
        <v>2224</v>
      </c>
      <c r="F55" s="182">
        <f>IF(H55="正常",I55,"免征")</f>
        <v>5.0000000000000001E-4</v>
      </c>
      <c r="G55" s="2482"/>
      <c r="H55" s="2479" t="s">
        <v>2225</v>
      </c>
      <c r="I55" s="184">
        <f>'数据-取费表'!B49</f>
        <v>5.0000000000000001E-4</v>
      </c>
      <c r="J55" s="1809" t="str">
        <f>IF(H59="非个人房产","",4)</f>
        <v/>
      </c>
      <c r="K55" s="3093" t="str">
        <f>IF(H59="非个人房产","——","个人所得税")</f>
        <v>——</v>
      </c>
      <c r="L55" s="3093"/>
      <c r="M55" s="1754" t="str">
        <f>D59</f>
        <v>——</v>
      </c>
      <c r="N55" s="1807" t="str">
        <f>E59</f>
        <v>——</v>
      </c>
      <c r="O55" s="1755" t="str">
        <f>F59</f>
        <v>——</v>
      </c>
    </row>
    <row r="56" spans="1:35" ht="24.75">
      <c r="A56" s="3157" t="s">
        <v>2226</v>
      </c>
      <c r="B56" s="3139"/>
      <c r="C56" s="3139"/>
      <c r="D56" s="183">
        <f ca="1">IF(H56="个人住宅",D57,D58)</f>
        <v>12342</v>
      </c>
      <c r="E56" s="11" t="s">
        <v>2227</v>
      </c>
      <c r="F56" s="182" t="str">
        <f>IF(H56="正常",F58,"免征")</f>
        <v>——</v>
      </c>
      <c r="G56" s="2484" t="s">
        <v>2228</v>
      </c>
      <c r="H56" s="2485" t="s">
        <v>2225</v>
      </c>
      <c r="I56" s="2486"/>
      <c r="J56" s="1809" t="str">
        <f>IF(项目基本情况!K6="上海银行",IF(J55="",4,J55+1),"")</f>
        <v/>
      </c>
      <c r="K56" s="3076" t="str">
        <f>IF(项目基本情况!K6="上海银行","其他处置费用","")</f>
        <v/>
      </c>
      <c r="L56" s="3077"/>
      <c r="M56" s="1751" t="str">
        <f>IF(项目基本情况!K6="上海银行",M69,"")</f>
        <v/>
      </c>
      <c r="N56" s="3079" t="str">
        <f>IF(项目基本情况!K6="上海银行","包含处置中涉及的律师、诉讼、拍卖、评估等费用","")</f>
        <v/>
      </c>
      <c r="O56" s="3080"/>
    </row>
    <row r="57" spans="1:35" ht="12.75">
      <c r="A57" s="181" t="s">
        <v>2201</v>
      </c>
      <c r="B57" s="3124" t="s">
        <v>2229</v>
      </c>
      <c r="C57" s="3125"/>
      <c r="D57" s="185">
        <v>0</v>
      </c>
      <c r="E57" s="22" t="s">
        <v>2203</v>
      </c>
      <c r="F57" s="153"/>
      <c r="G57" s="2482"/>
      <c r="H57" s="2486"/>
      <c r="I57" s="2486"/>
      <c r="J57" s="3093">
        <f>IF(AND(J55="",J56=""),4,IF(项目基本情况!K6="上海银行",结果表!J56+1,结果表!J55+1))</f>
        <v>4</v>
      </c>
      <c r="K57" s="3093" t="s">
        <v>2230</v>
      </c>
      <c r="L57" s="2487" t="s">
        <v>2231</v>
      </c>
      <c r="M57" s="1756"/>
      <c r="N57" s="1757">
        <f ca="1">SUMIF(M52:M56,"&lt;9e307")</f>
        <v>12353</v>
      </c>
      <c r="O57" s="2488"/>
      <c r="P57" s="1750">
        <f ca="1">N57/M49</f>
        <v>0.57389082462253194</v>
      </c>
    </row>
    <row r="58" spans="1:35" ht="24.75">
      <c r="A58" s="181" t="s">
        <v>2212</v>
      </c>
      <c r="B58" s="3124" t="s">
        <v>2232</v>
      </c>
      <c r="C58" s="3137"/>
      <c r="D58" s="183">
        <f ca="1">IF(H58="转让取得",C81,C97)</f>
        <v>12342</v>
      </c>
      <c r="E58" s="11" t="s">
        <v>2227</v>
      </c>
      <c r="F58" s="23" t="s">
        <v>34</v>
      </c>
      <c r="G58" s="2482"/>
      <c r="H58" s="2485" t="s">
        <v>2233</v>
      </c>
      <c r="I58" s="2486"/>
      <c r="J58" s="3093"/>
      <c r="K58" s="3093"/>
      <c r="L58" s="2487" t="s">
        <v>2234</v>
      </c>
      <c r="M58" s="1758"/>
      <c r="N58" s="2489" t="str">
        <f ca="1">NUMBERSTRING(INT(N57*10000),2)&amp;"元整"</f>
        <v>壹亿贰仟叁佰伍拾叁万元整</v>
      </c>
      <c r="O58" s="2490"/>
    </row>
    <row r="59" spans="1:35" ht="24.75" thickBot="1">
      <c r="A59" s="3097" t="s">
        <v>2235</v>
      </c>
      <c r="B59" s="3098"/>
      <c r="C59" s="3098"/>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095">
        <f>J57+1</f>
        <v>5</v>
      </c>
      <c r="K59" s="3093" t="s">
        <v>2237</v>
      </c>
      <c r="L59" s="1809" t="s">
        <v>2231</v>
      </c>
      <c r="M59" s="1759"/>
      <c r="N59" s="1760">
        <f ca="1">M49-N57</f>
        <v>9172</v>
      </c>
      <c r="O59" s="2492"/>
    </row>
    <row r="60" spans="1:35" ht="12" customHeight="1">
      <c r="A60" s="2493"/>
      <c r="B60" s="2415"/>
      <c r="C60" s="2415"/>
      <c r="D60" s="2415"/>
      <c r="E60" s="2163"/>
      <c r="F60" s="2486"/>
      <c r="G60" s="2486"/>
      <c r="H60" s="2494"/>
      <c r="I60" s="136"/>
      <c r="J60" s="3096"/>
      <c r="K60" s="3093"/>
      <c r="L60" s="2487" t="s">
        <v>2234</v>
      </c>
      <c r="M60" s="1758"/>
      <c r="N60" s="2489" t="str">
        <f ca="1">NUMBERSTRING(INT(N59*10000),2)&amp;"元整"</f>
        <v>玖仟壹佰柒拾贰万元整</v>
      </c>
      <c r="O60" s="2490"/>
    </row>
    <row r="61" spans="1:35" ht="13.5" thickBot="1">
      <c r="A61" s="3156" t="s">
        <v>2238</v>
      </c>
      <c r="B61" s="3156"/>
      <c r="C61" s="3156"/>
      <c r="D61" s="3156"/>
      <c r="E61" s="3156"/>
      <c r="F61" s="2486"/>
      <c r="G61" s="2486"/>
      <c r="H61" s="2494"/>
      <c r="I61" s="136"/>
      <c r="J61" s="1809">
        <f>J59+1</f>
        <v>6</v>
      </c>
      <c r="K61" s="3093" t="s">
        <v>2239</v>
      </c>
      <c r="L61" s="3093"/>
      <c r="M61" s="1761"/>
      <c r="N61" s="1762">
        <f ca="1">ROUND(N59*10000/'数据-汇总表'!E3,0)</f>
        <v>1265</v>
      </c>
      <c r="O61" s="2495"/>
    </row>
    <row r="62" spans="1:35" ht="12.75">
      <c r="A62" s="3113" t="s">
        <v>2240</v>
      </c>
      <c r="B62" s="3114"/>
      <c r="C62" s="1801"/>
      <c r="D62" s="1801" t="s">
        <v>2241</v>
      </c>
      <c r="E62" s="190" t="s">
        <v>2242</v>
      </c>
      <c r="F62" s="2486"/>
      <c r="G62" s="2486"/>
      <c r="H62" s="2494"/>
      <c r="I62" s="136"/>
    </row>
    <row r="63" spans="1:35" ht="12.75">
      <c r="A63" s="201" t="s">
        <v>775</v>
      </c>
      <c r="B63" s="191" t="s">
        <v>2243</v>
      </c>
      <c r="C63" s="192">
        <f ca="1">ROUND((C64+C65)/(1+'数据-取费表'!C42),0)</f>
        <v>20735</v>
      </c>
      <c r="D63" s="193"/>
      <c r="E63" s="194"/>
      <c r="F63" s="2486"/>
      <c r="G63" s="2486"/>
      <c r="H63" s="2494"/>
      <c r="I63" s="136"/>
      <c r="J63" s="3078" t="s">
        <v>2244</v>
      </c>
      <c r="K63" s="2496" t="s">
        <v>2245</v>
      </c>
      <c r="L63" s="1749">
        <f ca="1">IF(M49&gt;10000,M49*0.5%,IF(AND(M49&gt;1000,M49&lt;=10000),M49*1%,IF(AND(M49&gt;100,M49&lt;=1000),M49*3%,IF(AND(M49&gt;10,M49&lt;=100),M49*5%,M49*8%))))</f>
        <v>107.625</v>
      </c>
      <c r="M63" s="23">
        <f ca="1">ROUND(L63,1)</f>
        <v>107.6</v>
      </c>
      <c r="Z63" s="2420"/>
      <c r="AI63" s="2421"/>
    </row>
    <row r="64" spans="1:35" ht="14.25" customHeight="1">
      <c r="A64" s="195" t="s">
        <v>770</v>
      </c>
      <c r="B64" s="196" t="s">
        <v>2246</v>
      </c>
      <c r="C64" s="197">
        <f ca="1">D45</f>
        <v>21772</v>
      </c>
      <c r="D64" s="198" t="s">
        <v>32</v>
      </c>
      <c r="E64" s="199"/>
      <c r="F64" s="2486"/>
      <c r="G64" s="2486"/>
      <c r="H64" s="2494"/>
      <c r="I64" s="136"/>
      <c r="J64" s="3078"/>
      <c r="K64" s="2496" t="s">
        <v>2247</v>
      </c>
      <c r="L64" s="1749">
        <f ca="1">IF(M49&gt;2000,M49*0.5%,IF(AND(M49&gt;1000,M49&lt;=2000),M49*0.6%,IF(AND(M49&gt;500,M49&lt;=1000),M49*0.7%,IF(AND(M49&gt;200,M49&lt;=500),M49*0.8%,IF(AND(M49&gt;100,M49&lt;=200),M49*0.9%,IF(AND(M49&gt;50,M49&lt;=100),M49*1%,IF(AND(M49&gt;20,M49&lt;=50),M49*1.5%,IF(AND(M49&gt;10,M49&lt;=20),M49*2%,IF(AND(M49&gt;1,M49&lt;=10),M49*2.5%)))))))))</f>
        <v>107.625</v>
      </c>
      <c r="M64" s="23">
        <f t="shared" ref="M64:M65" ca="1" si="1">ROUND(L64,1)</f>
        <v>107.6</v>
      </c>
      <c r="N64" s="136" t="s">
        <v>2248</v>
      </c>
      <c r="Z64" s="2420"/>
      <c r="AI64" s="2421"/>
    </row>
    <row r="65" spans="1:35" ht="14.25" customHeight="1">
      <c r="A65" s="195" t="s">
        <v>771</v>
      </c>
      <c r="B65" s="196" t="s">
        <v>2249</v>
      </c>
      <c r="C65" s="200"/>
      <c r="D65" s="198"/>
      <c r="E65" s="199"/>
      <c r="F65" s="2486"/>
      <c r="G65" s="2486"/>
      <c r="H65" s="2494"/>
      <c r="I65" s="136"/>
      <c r="J65" s="3078"/>
      <c r="K65" s="2496" t="s">
        <v>2250</v>
      </c>
      <c r="L65" s="1749">
        <f ca="1">IF(M49&gt;1000,M49*0.1%,IF(AND(M49&gt;500,M49&lt;=1000),M49*0.5%,IF(AND(M49&gt;50,M49&lt;=500),M49*1%,IF(AND(M49&gt;1,M49&lt;=50),M49*1.5%))))</f>
        <v>21.525000000000002</v>
      </c>
      <c r="M65" s="23">
        <f t="shared" ca="1" si="1"/>
        <v>21.5</v>
      </c>
      <c r="N65" s="136" t="s">
        <v>2248</v>
      </c>
      <c r="Z65" s="2420"/>
      <c r="AI65" s="2421"/>
    </row>
    <row r="66" spans="1:35" ht="14.25" customHeight="1">
      <c r="A66" s="201" t="s">
        <v>772</v>
      </c>
      <c r="B66" s="202" t="s">
        <v>2251</v>
      </c>
      <c r="C66" s="203"/>
      <c r="D66" s="204" t="s">
        <v>32</v>
      </c>
      <c r="E66" s="1773" t="s">
        <v>1371</v>
      </c>
      <c r="F66" s="2486"/>
      <c r="G66" s="2486"/>
      <c r="H66" s="2494"/>
      <c r="I66" s="136"/>
      <c r="J66" s="3078"/>
      <c r="K66" s="2496" t="s">
        <v>2252</v>
      </c>
      <c r="L66" s="1749">
        <f ca="1">M49*0.5%</f>
        <v>107.625</v>
      </c>
      <c r="M66" s="23">
        <f ca="1">IF(L66&gt;0.5,0.5,ROUND(L66,0))</f>
        <v>0.5</v>
      </c>
      <c r="N66" s="136" t="s">
        <v>2253</v>
      </c>
      <c r="Z66" s="2420"/>
      <c r="AI66" s="2421"/>
    </row>
    <row r="67" spans="1:35" ht="14.25" customHeight="1">
      <c r="A67" s="201" t="s">
        <v>773</v>
      </c>
      <c r="B67" s="202" t="s">
        <v>2254</v>
      </c>
      <c r="C67" s="205">
        <f ca="1">C63-C66</f>
        <v>20735</v>
      </c>
      <c r="D67" s="198" t="s">
        <v>32</v>
      </c>
      <c r="E67" s="199"/>
      <c r="F67" s="2486"/>
      <c r="G67" s="2486"/>
      <c r="H67" s="2494"/>
      <c r="I67" s="136"/>
      <c r="J67" s="3078"/>
      <c r="K67" s="2496" t="s">
        <v>2255</v>
      </c>
      <c r="L67" s="1749">
        <f ca="1">IF(M49&gt;=10000,(8.25+(M49-10000)*0.01%),IF(AND(M49&gt;=8000,M49&lt;10000),(7.85+(M49-8000)*0.02%),IF(AND(M49&gt;=5000,M49&lt;8000),(6.65+(M49-5000)*0.04%),IF(AND(M49&gt;=2000,M49&lt;5000),(4.25+(PM49-2000)*0.08%),IF(AND(M49&gt;=1000,M49&lt;2000),(2.75+(M49-1000)*0.15%),IF(AND(M49&gt;=100,M49&lt;1000),(0.5+(M49-100)*0.25%),IF(AND(M49&gt;0,M49&lt;100),M49*0.5%)))))))</f>
        <v>9.4024999999999999</v>
      </c>
      <c r="M67" s="23">
        <f ca="1">ROUND(L67*0.9,1)</f>
        <v>8.5</v>
      </c>
      <c r="Z67" s="2420"/>
      <c r="AI67" s="2421"/>
    </row>
    <row r="68" spans="1:35" ht="14.25" customHeight="1" thickBot="1">
      <c r="A68" s="206" t="s">
        <v>774</v>
      </c>
      <c r="B68" s="207" t="s">
        <v>2256</v>
      </c>
      <c r="C68" s="208">
        <f ca="1">IF(C67&lt;=0,0,ROUND(C67*D68,0))</f>
        <v>1140</v>
      </c>
      <c r="D68" s="209">
        <f>'数据-取费表'!B41</f>
        <v>5.5000000000000007E-2</v>
      </c>
      <c r="E68" s="210"/>
      <c r="F68" s="2486"/>
      <c r="G68" s="2486"/>
      <c r="H68" s="2494"/>
      <c r="I68" s="136"/>
      <c r="J68" s="3078"/>
      <c r="K68" s="2496" t="s">
        <v>2257</v>
      </c>
      <c r="L68" s="1749">
        <f ca="1">IF(M49&gt;10000,M49*0.5%,IF(AND(M49&gt;5000,M49&lt;=10000),M49*1%,IF(AND(M49&gt;1000,M49&lt;=5000),M49*2%,IF(AND(M49&gt;200,M49&lt;=1000),M49*3%,M49*5%))))</f>
        <v>107.625</v>
      </c>
      <c r="M68" s="23">
        <f ca="1">ROUND(L68,1)</f>
        <v>107.6</v>
      </c>
      <c r="Z68" s="2420"/>
      <c r="AI68" s="2421"/>
    </row>
    <row r="69" spans="1:35" s="2443" customFormat="1" ht="16.5" customHeight="1">
      <c r="A69" s="2497"/>
      <c r="B69" s="2498"/>
      <c r="C69" s="2499"/>
      <c r="D69" s="2500"/>
      <c r="E69" s="2501"/>
      <c r="F69" s="2163"/>
      <c r="G69" s="2163"/>
      <c r="H69" s="2162"/>
      <c r="I69" s="2415"/>
      <c r="J69" s="3078"/>
      <c r="K69" s="2496" t="s">
        <v>2258</v>
      </c>
      <c r="L69" s="2502"/>
      <c r="M69" s="23">
        <f ca="1">ROUND(SUM(M63:M68),0)</f>
        <v>353</v>
      </c>
      <c r="N69" s="1750">
        <f ca="1">M69/M49</f>
        <v>1.6399535423925669E-2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2" t="s">
        <v>2259</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3" t="s">
        <v>2240</v>
      </c>
      <c r="B71" s="3114"/>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20735</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104</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119" t="s">
        <v>2268</v>
      </c>
      <c r="F76" s="3118"/>
      <c r="G76" s="3118"/>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104</v>
      </c>
      <c r="D78" s="224">
        <f>'数据-取费表'!B43</f>
        <v>5.000000000000001E-3</v>
      </c>
      <c r="E78" s="3110" t="s">
        <v>2273</v>
      </c>
      <c r="F78" s="3111"/>
      <c r="G78" s="3111"/>
      <c r="H78" s="311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20631</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198.375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12342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2" t="s">
        <v>2277</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3" t="s">
        <v>2240</v>
      </c>
      <c r="B84" s="3114"/>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20735</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104</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110" t="s">
        <v>2286</v>
      </c>
      <c r="F91" s="3111"/>
      <c r="G91" s="3111"/>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110" t="s">
        <v>2290</v>
      </c>
      <c r="F92" s="3111"/>
      <c r="G92" s="3111"/>
      <c r="H92" s="311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104</v>
      </c>
      <c r="D93" s="224">
        <f>'数据-取费表'!B43</f>
        <v>5.000000000000001E-3</v>
      </c>
      <c r="E93" s="3110" t="s">
        <v>2273</v>
      </c>
      <c r="F93" s="3111"/>
      <c r="G93" s="3111"/>
      <c r="H93" s="311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158" t="s">
        <v>2294</v>
      </c>
      <c r="F94" s="3159"/>
      <c r="G94" s="3159"/>
      <c r="H94" s="316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20631</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198.375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12342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062" t="s">
        <v>2296</v>
      </c>
      <c r="B100" s="3063"/>
      <c r="C100" s="3063"/>
      <c r="D100" s="3094"/>
      <c r="E100" s="3063" t="s">
        <v>2297</v>
      </c>
      <c r="F100" s="3063"/>
      <c r="G100" s="3063"/>
      <c r="H100" s="3094"/>
      <c r="I100" s="136"/>
    </row>
    <row r="101" spans="1:35" ht="18.75" customHeight="1">
      <c r="A101" s="3102" t="s">
        <v>2298</v>
      </c>
      <c r="B101" s="3103"/>
      <c r="C101" s="734" t="str">
        <f>C4</f>
        <v>成本法</v>
      </c>
      <c r="D101" s="735" t="str">
        <f>D4</f>
        <v>假设开发法</v>
      </c>
      <c r="E101" s="3074" t="s">
        <v>2299</v>
      </c>
      <c r="F101" s="3075"/>
      <c r="G101" s="2517" t="s">
        <v>2300</v>
      </c>
      <c r="H101" s="1045">
        <f ca="1">H118</f>
        <v>21772</v>
      </c>
      <c r="I101" s="136"/>
    </row>
    <row r="102" spans="1:35" ht="18.75" customHeight="1">
      <c r="A102" s="3104" t="s">
        <v>2301</v>
      </c>
      <c r="B102" s="2517" t="s">
        <v>2300</v>
      </c>
      <c r="C102" s="734">
        <f ca="1">C19</f>
        <v>20955</v>
      </c>
      <c r="D102" s="735">
        <f ca="1">D19</f>
        <v>22588</v>
      </c>
      <c r="E102" s="3074"/>
      <c r="F102" s="3075"/>
      <c r="G102" s="2517" t="s">
        <v>2302</v>
      </c>
      <c r="H102" s="369">
        <f ca="1">I118</f>
        <v>3002</v>
      </c>
      <c r="I102" s="136"/>
    </row>
    <row r="103" spans="1:35" ht="42.75" customHeight="1">
      <c r="A103" s="3104"/>
      <c r="B103" s="2517" t="s">
        <v>2302</v>
      </c>
      <c r="C103" s="736">
        <f ca="1">C20</f>
        <v>2889</v>
      </c>
      <c r="D103" s="737">
        <f ca="1">D20</f>
        <v>3114</v>
      </c>
      <c r="E103" s="3068" t="s">
        <v>2303</v>
      </c>
      <c r="F103" s="3069"/>
      <c r="G103" s="2518" t="s">
        <v>2304</v>
      </c>
      <c r="H103" s="1045">
        <f>IF(D36="正常操作",H104+H105+H106,H105+H106)</f>
        <v>247</v>
      </c>
      <c r="I103" s="136"/>
    </row>
    <row r="104" spans="1:35" ht="18.75" customHeight="1">
      <c r="A104" s="3104" t="s">
        <v>2305</v>
      </c>
      <c r="B104" s="2519" t="s">
        <v>2300</v>
      </c>
      <c r="C104" s="738">
        <f ca="1">H118</f>
        <v>21772</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116"/>
      <c r="B105" s="2520" t="s">
        <v>2302</v>
      </c>
      <c r="C105" s="740">
        <f ca="1">I118</f>
        <v>3002</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105" t="str">
        <f>IF(项目基本情况!E8="已注销","——","3.房地产抵押价值")</f>
        <v>3.房地产抵押价值</v>
      </c>
      <c r="F107" s="3075"/>
      <c r="G107" s="2517" t="s">
        <v>2300</v>
      </c>
      <c r="H107" s="1045">
        <f ca="1">IF(E107="——","——",H101-H103)</f>
        <v>21525</v>
      </c>
      <c r="I107" s="136"/>
    </row>
    <row r="108" spans="1:35" ht="18.75" customHeight="1">
      <c r="A108" s="136"/>
      <c r="B108" s="136"/>
      <c r="C108" s="136"/>
      <c r="D108" s="136"/>
      <c r="E108" s="3105"/>
      <c r="F108" s="3075"/>
      <c r="G108" s="2517" t="s">
        <v>2302</v>
      </c>
      <c r="H108" s="369">
        <f ca="1">ROUND(H107*10000/'数据-汇总表'!E3,0)</f>
        <v>2968</v>
      </c>
      <c r="I108" s="136"/>
    </row>
    <row r="109" spans="1:35" ht="18.75" customHeight="1">
      <c r="A109" s="136"/>
      <c r="B109" s="136"/>
      <c r="C109" s="136"/>
      <c r="D109" s="136"/>
      <c r="E109" s="3105" t="str">
        <f>IF(项目基本情况!E8="已注销及未注销","4.抵押担保权已注销时的房地产抵押价值",IF(项目基本情况!E8="已注销","3.抵押担保权已注销时的房地产抵押价值","——"))</f>
        <v>——</v>
      </c>
      <c r="F109" s="3075"/>
      <c r="G109" s="2517" t="s">
        <v>2300</v>
      </c>
      <c r="H109" s="346" t="str">
        <f>IF(E109="——","——",H101-H105-H106)</f>
        <v>——</v>
      </c>
      <c r="I109" s="136"/>
    </row>
    <row r="110" spans="1:35" ht="18.75" customHeight="1">
      <c r="A110" s="136"/>
      <c r="B110" s="136"/>
      <c r="C110" s="136"/>
      <c r="D110" s="136"/>
      <c r="E110" s="3105"/>
      <c r="F110" s="3075"/>
      <c r="G110" s="2517" t="s">
        <v>2302</v>
      </c>
      <c r="H110" s="369" t="str">
        <f>IF(H109="——","——",ROUND(H109*10000/'数据-汇总表'!E3,0))</f>
        <v>——</v>
      </c>
      <c r="I110" s="136"/>
    </row>
    <row r="111" spans="1:35" ht="18.75" customHeight="1">
      <c r="A111" s="136"/>
      <c r="B111" s="136"/>
      <c r="C111" s="136"/>
      <c r="D111" s="136"/>
      <c r="E111" s="3106" t="str">
        <f>IF(项目基本情况!E9="抵押净值",IF(OR(项目基本情况!E8="已注销",项目基本情况!E8="房地产抵押价值"),"4.抵押净值","5.抵押净值"),"——")</f>
        <v>——</v>
      </c>
      <c r="F111" s="3107"/>
      <c r="G111" s="2517" t="s">
        <v>2300</v>
      </c>
      <c r="H111" s="1045" t="str">
        <f>IF(E111="——","——",N59)</f>
        <v>——</v>
      </c>
      <c r="I111" s="136"/>
    </row>
    <row r="112" spans="1:35" ht="18.75" customHeight="1" thickBot="1">
      <c r="A112" s="136"/>
      <c r="B112" s="136"/>
      <c r="C112" s="136"/>
      <c r="D112" s="136"/>
      <c r="E112" s="3108"/>
      <c r="F112" s="3109"/>
      <c r="G112" s="2522" t="s">
        <v>2302</v>
      </c>
      <c r="H112" s="788" t="str">
        <f>IF(E111="——","——",N61)</f>
        <v>——</v>
      </c>
      <c r="I112" s="136"/>
    </row>
    <row r="113" spans="1:11" ht="18.75" customHeight="1">
      <c r="A113" s="136"/>
      <c r="B113" s="136"/>
      <c r="C113" s="136"/>
      <c r="D113" s="136"/>
      <c r="E113" s="3117" t="s">
        <v>2308</v>
      </c>
      <c r="F113" s="3117"/>
      <c r="G113" s="3117"/>
      <c r="H113" s="3117"/>
      <c r="I113" s="136"/>
    </row>
    <row r="114" spans="1:11" ht="3.75" customHeight="1">
      <c r="A114" s="2415"/>
      <c r="B114" s="2415"/>
      <c r="C114" s="2415"/>
      <c r="D114" s="2415"/>
      <c r="E114" s="2493"/>
      <c r="F114" s="2493"/>
      <c r="G114" s="2493"/>
      <c r="H114" s="2493"/>
      <c r="I114" s="2415"/>
    </row>
    <row r="115" spans="1:11" ht="18.75" customHeight="1">
      <c r="A115" s="3130" t="s">
        <v>2310</v>
      </c>
      <c r="B115" s="3131"/>
      <c r="C115" s="3131"/>
      <c r="D115" s="3131"/>
      <c r="E115" s="3131"/>
      <c r="F115" s="3131"/>
      <c r="G115" s="3131"/>
      <c r="H115" s="3131"/>
      <c r="I115" s="3132"/>
    </row>
    <row r="116" spans="1:11" ht="27" customHeight="1">
      <c r="A116" s="3036" t="s">
        <v>2311</v>
      </c>
      <c r="B116" s="3084" t="s">
        <v>2312</v>
      </c>
      <c r="C116" s="3084" t="s">
        <v>2313</v>
      </c>
      <c r="D116" s="3090" t="s">
        <v>2314</v>
      </c>
      <c r="E116" s="3091"/>
      <c r="F116" s="3126" t="s">
        <v>2315</v>
      </c>
      <c r="G116" s="3126"/>
      <c r="H116" s="3036" t="s">
        <v>2316</v>
      </c>
      <c r="I116" s="3036"/>
    </row>
    <row r="117" spans="1:11" ht="18.75" customHeight="1">
      <c r="A117" s="3036"/>
      <c r="B117" s="3085"/>
      <c r="C117" s="3085"/>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5269</v>
      </c>
      <c r="E118" s="1795">
        <f ca="1">ROUND(IF(C33="自定义",IF(D32="楼面单价",C34,D118*10000/B118),I118-G118),0)</f>
        <v>727</v>
      </c>
      <c r="F118" s="1795">
        <f ca="1">ROUND(IF(D32="总价",C35,G118*B118/10000),0)</f>
        <v>16503</v>
      </c>
      <c r="G118" s="1795">
        <f ca="1">ROUND(IF(D32="楼面单价",C35,F118*10000/B118),0)</f>
        <v>2275</v>
      </c>
      <c r="H118" s="1795">
        <f ca="1">ROUND(IF(D32="总价",C32,I118*B118/10000),0)</f>
        <v>21772</v>
      </c>
      <c r="I118" s="1795">
        <f ca="1">ROUND(IF(D32="楼面单价",C32,H118*10000/B118),0)</f>
        <v>3002</v>
      </c>
    </row>
    <row r="119" spans="1:11" ht="18.75" customHeight="1">
      <c r="A119" s="3036" t="s">
        <v>2320</v>
      </c>
      <c r="B119" s="3036"/>
      <c r="C119" s="3036"/>
      <c r="D119" s="3086" t="str">
        <f ca="1">NUMBERSTRING(INT(D118*10000),2)&amp;"元整"</f>
        <v>伍仟贰佰陆拾玖万元整</v>
      </c>
      <c r="E119" s="3087"/>
      <c r="F119" s="3086" t="str">
        <f ca="1">NUMBERSTRING(INT(F118*10000),2)&amp;"元整"</f>
        <v>壹亿陆仟伍佰零叁万元整</v>
      </c>
      <c r="G119" s="3087"/>
      <c r="H119" s="3086" t="str">
        <f ca="1">NUMBERSTRING(INT(H118*10000),2)&amp;"元整"</f>
        <v>贰亿壹仟柒佰柒拾贰万元整</v>
      </c>
      <c r="I119" s="3087"/>
    </row>
    <row r="120" spans="1:11" ht="18.75" customHeight="1">
      <c r="A120" s="3081" t="str">
        <f>IF(项目基本情况!B9="房地产市场价值","",MID(E103,3,LEN(E103)-2))</f>
        <v>估价师知悉的法定优先受偿款</v>
      </c>
      <c r="B120" s="3082"/>
      <c r="C120" s="3083"/>
      <c r="D120" s="3081">
        <f>H103</f>
        <v>247</v>
      </c>
      <c r="E120" s="3082"/>
      <c r="F120" s="3082"/>
      <c r="G120" s="3082"/>
      <c r="H120" s="3082"/>
      <c r="I120" s="3083"/>
      <c r="K120" s="2420" t="str">
        <f>IF(D120=0,"故，本次评估不存在"&amp;A120,"故，本次评估"&amp;A120&amp;"为人民币"&amp;D120&amp;"万元整。")</f>
        <v>故，本次评估估价师知悉的法定优先受偿款为人民币247万元整。</v>
      </c>
    </row>
    <row r="121" spans="1:11" ht="18.75" customHeight="1">
      <c r="A121" s="3127" t="s">
        <v>2320</v>
      </c>
      <c r="B121" s="3128"/>
      <c r="C121" s="3129"/>
      <c r="D121" s="3086" t="str">
        <f>IF(D120=0,"零元整",NUMBERSTRING(INT(D120*10000),2)&amp;"元整")</f>
        <v>贰佰肆拾柒万元整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21525</v>
      </c>
      <c r="E122" s="3082"/>
      <c r="F122" s="3082"/>
      <c r="G122" s="3082"/>
      <c r="H122" s="3082"/>
      <c r="I122" s="3083"/>
    </row>
    <row r="123" spans="1:11" ht="18.75" customHeight="1">
      <c r="A123" s="3036" t="s">
        <v>2320</v>
      </c>
      <c r="B123" s="3036"/>
      <c r="C123" s="3036"/>
      <c r="D123" s="3086" t="str">
        <f ca="1">NUMBERSTRING(INT(D122*10000),2)&amp;"元整"</f>
        <v>贰亿壹仟伍佰贰拾伍万元整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36" t="s">
        <v>2320</v>
      </c>
      <c r="B125" s="3036"/>
      <c r="C125" s="3036"/>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36" t="s">
        <v>2320</v>
      </c>
      <c r="B127" s="3036"/>
      <c r="C127" s="3036"/>
      <c r="D127" s="3086" t="e">
        <f>NUMBERSTRING(INT(D126*10000),2)&amp;"元整"</f>
        <v>#VALUE!</v>
      </c>
      <c r="E127" s="3088"/>
      <c r="F127" s="3088"/>
      <c r="G127" s="3088"/>
      <c r="H127" s="3088"/>
      <c r="I127" s="3087"/>
    </row>
    <row r="128" spans="1:11" ht="21.75" customHeight="1">
      <c r="A128" s="3089" t="s">
        <v>2321</v>
      </c>
      <c r="B128" s="3089"/>
      <c r="C128" s="3089"/>
      <c r="D128" s="3089"/>
      <c r="E128" s="3089"/>
      <c r="F128" s="3089"/>
      <c r="G128" s="3089"/>
      <c r="H128" s="3089"/>
      <c r="I128" s="3089"/>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北京市房山区琉璃河镇中心区E-07地块1#综合厂房等3项、2#厂房等18项（中粮科技园标准厂房及配套附属设施建设项目）出让国有建设用地使用权及在建建筑物房地产抵押价值预评估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3" sqref="I33"/>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20955</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2889</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 ca="1">C6+C7+C8</f>
        <v>3938</v>
      </c>
      <c r="D5" s="253" t="s">
        <v>2337</v>
      </c>
      <c r="E5" s="254" t="s">
        <v>2338</v>
      </c>
      <c r="F5" s="254" t="s">
        <v>2339</v>
      </c>
      <c r="G5" s="255"/>
    </row>
    <row r="6" spans="1:9" s="256" customFormat="1" ht="13.5" customHeight="1">
      <c r="A6" s="949" t="s">
        <v>2340</v>
      </c>
      <c r="B6" s="257" t="s">
        <v>2341</v>
      </c>
      <c r="C6" s="258">
        <f ca="1">基准地价修正!B2</f>
        <v>2484</v>
      </c>
      <c r="D6" s="259"/>
      <c r="E6" s="260"/>
      <c r="F6" s="260"/>
      <c r="G6" s="261"/>
    </row>
    <row r="7" spans="1:9" s="256" customFormat="1" ht="13.5" customHeight="1">
      <c r="A7" s="949" t="s">
        <v>2342</v>
      </c>
      <c r="B7" s="257" t="s">
        <v>2343</v>
      </c>
      <c r="C7" s="262">
        <f ca="1">ROUND(C6*F7,0)</f>
        <v>76</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3129</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3131</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3130</v>
      </c>
    </row>
    <row r="20" spans="1:7" s="256" customFormat="1" ht="13.5" customHeight="1">
      <c r="A20" s="297" t="s">
        <v>2361</v>
      </c>
      <c r="B20" s="252" t="s">
        <v>2362</v>
      </c>
      <c r="C20" s="274">
        <f ca="1">ROUND((C5+C19)*F20,0)</f>
        <v>79</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189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187</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2</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482</v>
      </c>
      <c r="D27" s="277">
        <f ca="1">C29</f>
        <v>2.3999999999999998E-3</v>
      </c>
      <c r="E27" s="278" t="s">
        <v>2382</v>
      </c>
      <c r="F27" s="288">
        <f ca="1">IF(B1="",'数据-取费表'!Q16,INDIRECT("'数据-取费表'!q"&amp;$G$1))</f>
        <v>0.18</v>
      </c>
      <c r="G27" s="289" t="s">
        <v>2383</v>
      </c>
    </row>
    <row r="28" spans="1:7" s="256" customFormat="1" ht="13.5" customHeight="1">
      <c r="A28" s="951" t="s">
        <v>791</v>
      </c>
      <c r="B28" s="290" t="s">
        <v>2384</v>
      </c>
      <c r="C28" s="291">
        <f ca="1">ROUND((C5+C19+C20)*F27*'数据-取费表'!B21/'数据-取费表'!B20,0)</f>
        <v>482</v>
      </c>
      <c r="D28" s="277"/>
      <c r="E28" s="278"/>
      <c r="F28" s="288"/>
      <c r="G28" s="289"/>
    </row>
    <row r="29" spans="1:7" s="256" customFormat="1" ht="13.5" customHeight="1">
      <c r="A29" s="951" t="s">
        <v>792</v>
      </c>
      <c r="B29" s="290" t="s">
        <v>2385</v>
      </c>
      <c r="C29" s="280">
        <f ca="1">ROUND(C21*F27*'数据-取费表'!B21/'数据-取费表'!B20,4)</f>
        <v>2.3999999999999998E-3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5070</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11950</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10470</v>
      </c>
      <c r="D34" s="259"/>
      <c r="E34" s="262"/>
      <c r="F34" s="299">
        <f ca="1">IF('数据-取费表'!B24=0,1,IF(B1="",'数据-取费表'!N16,INDIRECT("'数据-取费表'!n"&amp;$G$1)))</f>
        <v>0.623</v>
      </c>
      <c r="G34" s="261" t="s">
        <v>2394</v>
      </c>
    </row>
    <row r="35" spans="1:7" ht="13.5" customHeight="1">
      <c r="A35" s="951" t="s">
        <v>796</v>
      </c>
      <c r="B35" s="257" t="s">
        <v>2395</v>
      </c>
      <c r="C35" s="262">
        <f ca="1">ROUND(C34*F35,0)</f>
        <v>419</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904</v>
      </c>
      <c r="D37" s="259">
        <f ca="1">D19</f>
        <v>72534.44</v>
      </c>
      <c r="E37" s="291">
        <f>'数据-取费表'!B35</f>
        <v>200</v>
      </c>
      <c r="F37" s="301"/>
      <c r="G37" s="303" t="s">
        <v>2400</v>
      </c>
    </row>
    <row r="38" spans="1:7" ht="13.5" customHeight="1">
      <c r="A38" s="951" t="s">
        <v>799</v>
      </c>
      <c r="B38" s="257" t="s">
        <v>2401</v>
      </c>
      <c r="C38" s="262">
        <f ca="1">ROUND(C34*F38,0)</f>
        <v>157</v>
      </c>
      <c r="D38" s="262"/>
      <c r="E38" s="262"/>
      <c r="F38" s="301">
        <f>'数据-取费表'!B36</f>
        <v>1.4999999999999999E-2</v>
      </c>
      <c r="G38" s="261" t="s">
        <v>2396</v>
      </c>
    </row>
    <row r="39" spans="1:7" s="256" customFormat="1" ht="13.5" customHeight="1">
      <c r="A39" s="297" t="s">
        <v>2402</v>
      </c>
      <c r="B39" s="252" t="s">
        <v>2403</v>
      </c>
      <c r="C39" s="274">
        <f ca="1">ROUND(C33*F20,0)</f>
        <v>239</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287</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281</v>
      </c>
      <c r="D42" s="280"/>
      <c r="E42" s="280"/>
      <c r="F42" s="281"/>
      <c r="G42" s="3161" t="s">
        <v>2412</v>
      </c>
    </row>
    <row r="43" spans="1:7" ht="13.5" customHeight="1">
      <c r="A43" s="951" t="s">
        <v>792</v>
      </c>
      <c r="B43" s="257" t="s">
        <v>2413</v>
      </c>
      <c r="C43" s="280">
        <f ca="1">ROUND(IF('数据-取费表'!B22&lt;=1,C39*F22*'数据-取费表'!B21/2,C39*(POWER((1+F22),'数据-取费表'!B21/2)-1)),0)</f>
        <v>6</v>
      </c>
      <c r="D43" s="280"/>
      <c r="E43" s="280"/>
      <c r="F43" s="281"/>
      <c r="G43" s="3162"/>
    </row>
    <row r="44" spans="1:7" ht="13.5" customHeight="1">
      <c r="A44" s="951" t="s">
        <v>793</v>
      </c>
      <c r="B44" s="257" t="s">
        <v>2414</v>
      </c>
      <c r="C44" s="280">
        <f ca="1">ROUND(IF('数据-取费表'!B22&lt;=1,C40*F22*'数据-取费表'!B21/2,C40*(POWER((1+F22),'数据-取费表'!B21/2)-1)),4)</f>
        <v>5.0000000000000001E-4</v>
      </c>
      <c r="D44" s="280"/>
      <c r="E44" s="280"/>
      <c r="F44" s="281"/>
      <c r="G44" s="3163"/>
    </row>
    <row r="45" spans="1:7" s="256" customFormat="1" ht="13.5" customHeight="1">
      <c r="A45" s="297" t="s">
        <v>2415</v>
      </c>
      <c r="B45" s="286" t="s">
        <v>2381</v>
      </c>
      <c r="C45" s="287">
        <f ca="1">C46</f>
        <v>2194</v>
      </c>
      <c r="D45" s="277">
        <f ca="1">C47</f>
        <v>3.5999999999999999E-3</v>
      </c>
      <c r="E45" s="278" t="s">
        <v>2407</v>
      </c>
      <c r="F45" s="288"/>
      <c r="G45" s="289" t="s">
        <v>2416</v>
      </c>
    </row>
    <row r="46" spans="1:7" s="256" customFormat="1" ht="13.5" customHeight="1">
      <c r="A46" s="951" t="s">
        <v>791</v>
      </c>
      <c r="B46" s="290" t="s">
        <v>2417</v>
      </c>
      <c r="C46" s="291">
        <f ca="1">ROUND((C33+C39)*F27,0)</f>
        <v>2194</v>
      </c>
      <c r="D46" s="305"/>
      <c r="E46" s="278"/>
      <c r="F46" s="288"/>
      <c r="G46" s="289"/>
    </row>
    <row r="47" spans="1:7" s="256" customFormat="1" ht="13.5" customHeight="1">
      <c r="A47" s="951" t="s">
        <v>792</v>
      </c>
      <c r="B47" s="290" t="s">
        <v>2418</v>
      </c>
      <c r="C47" s="280">
        <f ca="1">ROUND(C40*F27,4)</f>
        <v>3.5999999999999999E-3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15885</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15885</v>
      </c>
      <c r="D51" s="274"/>
      <c r="E51" s="274"/>
      <c r="F51" s="306"/>
      <c r="G51" s="276" t="s">
        <v>2428</v>
      </c>
    </row>
    <row r="52" spans="1:7" s="250" customFormat="1" ht="16.5" thickBot="1">
      <c r="A52" s="307" t="s">
        <v>2429</v>
      </c>
      <c r="B52" s="308"/>
      <c r="C52" s="309">
        <f ca="1">C31+C51</f>
        <v>20955</v>
      </c>
      <c r="D52" s="308"/>
      <c r="E52" s="308"/>
      <c r="F52" s="308"/>
      <c r="G52" s="310"/>
    </row>
    <row r="55" spans="1:7" ht="15">
      <c r="B55" s="312" t="s">
        <v>2430</v>
      </c>
      <c r="C55" s="313"/>
    </row>
    <row r="56" spans="1:7">
      <c r="B56" s="315" t="s">
        <v>1513</v>
      </c>
      <c r="C56" s="317">
        <f ca="1">1-C57</f>
        <v>0.24199999999999999</v>
      </c>
    </row>
    <row r="57" spans="1:7">
      <c r="B57" s="315" t="s">
        <v>1514</v>
      </c>
      <c r="C57" s="316">
        <f ca="1">ROUND(C51/C52,3)</f>
        <v>0.75800000000000001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28352</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3909</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3462504</v>
      </c>
      <c r="D27" s="277">
        <f ca="1">C29</f>
        <v>3.5999999999999999E-3</v>
      </c>
      <c r="E27" s="278" t="s">
        <v>2382</v>
      </c>
      <c r="F27" s="288">
        <f ca="1">IF(B1="",'数据-取费表'!Q16,INDIRECT("'数据-取费表'!q"&amp;$G$1))</f>
        <v>0.18</v>
      </c>
      <c r="G27" s="289" t="s">
        <v>2383</v>
      </c>
    </row>
    <row r="28" spans="1:7" s="256" customFormat="1" ht="13.5" customHeight="1">
      <c r="A28" s="951" t="s">
        <v>791</v>
      </c>
      <c r="B28" s="290" t="s">
        <v>2384</v>
      </c>
      <c r="C28" s="291">
        <f ca="1">ROUND((C5+C19+C20)*F27,0)</f>
        <v>3462504</v>
      </c>
      <c r="D28" s="277"/>
      <c r="E28" s="278"/>
      <c r="F28" s="288"/>
      <c r="G28" s="289"/>
    </row>
    <row r="29" spans="1:7" s="256" customFormat="1" ht="13.5" customHeight="1">
      <c r="A29" s="951" t="s">
        <v>792</v>
      </c>
      <c r="B29" s="290" t="s">
        <v>2385</v>
      </c>
      <c r="C29" s="280">
        <f ca="1">ROUND(C21*F27,4)</f>
        <v>3.5999999999999999E-3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26071190</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161" t="s">
        <v>2459</v>
      </c>
    </row>
    <row r="43" spans="1:7" ht="13.5" customHeight="1">
      <c r="A43" s="951" t="s">
        <v>792</v>
      </c>
      <c r="B43" s="257" t="s">
        <v>2413</v>
      </c>
      <c r="C43" s="280">
        <f ca="1">ROUND(IF('数据-取费表'!B22&lt;=1,C39*F22*'数据-取费表'!B20/2,C39*(POWER((1+F22),'数据-取费表'!B20/2)-1)),0)</f>
        <v>135820</v>
      </c>
      <c r="D43" s="280"/>
      <c r="E43" s="280"/>
      <c r="F43" s="281"/>
      <c r="G43" s="3162"/>
    </row>
    <row r="44" spans="1:7" ht="13.5" customHeight="1">
      <c r="A44" s="951" t="s">
        <v>793</v>
      </c>
      <c r="B44" s="257" t="s">
        <v>2414</v>
      </c>
      <c r="C44" s="280">
        <f ca="1">ROUND(IF('数据-取费表'!B22&lt;=1,C40*F22*'数据-取费表'!B20/2,C40*(POWER((1+F22),'数据-取费表'!B20/2)-1)),4)</f>
        <v>6.9999999999999999E-4</v>
      </c>
      <c r="D44" s="280"/>
      <c r="E44" s="280"/>
      <c r="F44" s="281"/>
      <c r="G44" s="3163"/>
    </row>
    <row r="45" spans="1:7" s="256" customFormat="1" ht="13.5" customHeight="1">
      <c r="A45" s="297" t="s">
        <v>2415</v>
      </c>
      <c r="B45" s="286" t="s">
        <v>2381</v>
      </c>
      <c r="C45" s="287">
        <f ca="1">C46</f>
        <v>35203735</v>
      </c>
      <c r="D45" s="277">
        <f ca="1">C47</f>
        <v>3.5999999999999999E-3</v>
      </c>
      <c r="E45" s="278" t="s">
        <v>2407</v>
      </c>
      <c r="F45" s="288"/>
      <c r="G45" s="289" t="s">
        <v>2416</v>
      </c>
    </row>
    <row r="46" spans="1:7" s="256" customFormat="1" ht="13.5" customHeight="1">
      <c r="A46" s="951" t="s">
        <v>791</v>
      </c>
      <c r="B46" s="290" t="s">
        <v>2417</v>
      </c>
      <c r="C46" s="291">
        <f ca="1">ROUND((C33+C39)*F27,0)</f>
        <v>35203735</v>
      </c>
      <c r="D46" s="305"/>
      <c r="E46" s="278"/>
      <c r="F46" s="288"/>
      <c r="G46" s="289"/>
    </row>
    <row r="47" spans="1:7" s="256" customFormat="1" ht="13.5" customHeight="1">
      <c r="A47" s="951" t="s">
        <v>792</v>
      </c>
      <c r="B47" s="290" t="s">
        <v>2418</v>
      </c>
      <c r="C47" s="280">
        <f ca="1">ROUND(C40*F27,4)</f>
        <v>3.5999999999999999E-3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257453563</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257453563</v>
      </c>
      <c r="D51" s="274"/>
      <c r="E51" s="274"/>
      <c r="F51" s="306"/>
      <c r="G51" s="276" t="s">
        <v>2428</v>
      </c>
    </row>
    <row r="52" spans="1:7" s="250" customFormat="1" ht="16.5" thickBot="1">
      <c r="A52" s="307" t="s">
        <v>2429</v>
      </c>
      <c r="B52" s="308"/>
      <c r="C52" s="309">
        <f ca="1">C31+C51</f>
        <v>283524753</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28" sqref="N2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2804</v>
      </c>
      <c r="B1" s="239"/>
      <c r="C1" s="243" t="s">
        <v>2805</v>
      </c>
      <c r="D1" s="386">
        <f>SUM(D29:D30,D33:D39)</f>
        <v>58500.479999999996</v>
      </c>
      <c r="E1" s="2716"/>
      <c r="F1" s="2716"/>
      <c r="G1" s="2716"/>
      <c r="H1" s="2716"/>
      <c r="I1" s="2716"/>
      <c r="J1" s="2716"/>
      <c r="K1" s="1370"/>
      <c r="L1" s="2717" t="s">
        <v>2806</v>
      </c>
      <c r="M1" s="1080">
        <f>SUMPRODUCT((区片价!B5:B9=I2)*(区片价!C3:F3=E2)*(区片价!C5:F9))</f>
        <v>0</v>
      </c>
      <c r="N1" s="1083">
        <f>SUMPRODUCT((因素修正幅度!B5:B9=I2)*(因素修正幅度!C3:F3=E2)*(因素修正幅度!C5:F9))</f>
        <v>0</v>
      </c>
      <c r="O1" s="2718"/>
      <c r="P1" s="2718"/>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3" t="s">
        <v>2812</v>
      </c>
      <c r="B2" s="246">
        <f ca="1">C26</f>
        <v>2484</v>
      </c>
      <c r="C2" s="2720" t="s">
        <v>2813</v>
      </c>
      <c r="D2" s="2721" t="s">
        <v>2814</v>
      </c>
      <c r="E2" s="2722" t="s">
        <v>6</v>
      </c>
      <c r="F2" s="2721" t="s">
        <v>2815</v>
      </c>
      <c r="G2" s="2723" t="str">
        <f>IF(E2="商业",项目基本情况!B37,IF(E2="办公",项目基本情况!C37,IF(E2="住宅",项目基本情况!D37,项目基本情况!E37)))</f>
        <v>十级</v>
      </c>
      <c r="H2" s="2721" t="s">
        <v>2816</v>
      </c>
      <c r="I2" s="2723" t="str">
        <f>IF(E2="商业",项目基本情况!B38,IF(E2="办公",项目基本情况!C38,IF(E2="住宅",项目基本情况!D38,项目基本情况!E38)))</f>
        <v>Ⅹ-房2</v>
      </c>
      <c r="J2" s="2724"/>
      <c r="K2" s="1370"/>
      <c r="L2" s="2725"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2818</v>
      </c>
      <c r="B3" s="246">
        <f ca="1">ROUND(B2*10000/D1,0)</f>
        <v>425</v>
      </c>
      <c r="C3" s="2720" t="s">
        <v>2819</v>
      </c>
      <c r="D3" s="2721" t="s">
        <v>2820</v>
      </c>
      <c r="E3" s="2726" t="s">
        <v>3117</v>
      </c>
      <c r="F3" s="2727" t="s">
        <v>2821</v>
      </c>
      <c r="G3" s="913">
        <f>IF(F3="宗地容积率",'数据-汇总表'!I4,IF(F3="估价对象容积率",'数据-汇总表'!I6,'数据-汇总表'!I7))</f>
        <v>1.06</v>
      </c>
      <c r="H3" s="196" t="s">
        <v>2822</v>
      </c>
      <c r="I3" s="944"/>
      <c r="J3" s="2724" t="s">
        <v>2823</v>
      </c>
      <c r="K3" s="1370"/>
      <c r="L3" s="2725"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8"/>
      <c r="B4" s="3179"/>
      <c r="C4" s="3179"/>
      <c r="D4" s="3180"/>
      <c r="E4" s="3180"/>
      <c r="F4" s="3180"/>
      <c r="G4" s="3180"/>
      <c r="H4" s="3180"/>
      <c r="I4" s="3180"/>
      <c r="J4" s="3181"/>
      <c r="K4" s="1370"/>
      <c r="L4" s="2725"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5">
        <f>SUMIF(L1:L12,G2,M1:M12)</f>
        <v>530</v>
      </c>
      <c r="D6" s="2740" t="s">
        <v>2830</v>
      </c>
      <c r="E6" s="2741"/>
      <c r="F6" s="2741"/>
      <c r="G6" s="2742"/>
      <c r="H6" s="2742"/>
      <c r="I6" s="2742"/>
      <c r="J6" s="2743"/>
      <c r="K6" s="1842"/>
      <c r="L6" s="2725"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164" t="str">
        <f>IF(E2="商业",IF(C8="不临58条商业街","",2),"")</f>
        <v/>
      </c>
      <c r="B7" s="2744" t="s">
        <v>2832</v>
      </c>
      <c r="C7" s="916">
        <f>IF(C8="不临58条商业街",1,ROUND(1+(1.6*E8+1.2*E9+0.8*E10+0.4*E11)*C9,4))</f>
        <v>1</v>
      </c>
      <c r="D7" s="2745" t="s">
        <v>2833</v>
      </c>
      <c r="E7" s="945"/>
      <c r="F7" s="2746"/>
      <c r="G7" s="2747"/>
      <c r="H7" s="2747"/>
      <c r="I7" s="2747"/>
      <c r="J7" s="2748"/>
      <c r="K7" s="1842"/>
      <c r="L7" s="2725"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2835</v>
      </c>
      <c r="X7" s="1604" t="str">
        <f>G2</f>
        <v>十级</v>
      </c>
      <c r="Y7" s="1604" t="s">
        <v>2836</v>
      </c>
      <c r="Z7" s="1605">
        <f>G3</f>
        <v>1.06</v>
      </c>
      <c r="AA7" s="1606"/>
      <c r="AB7" s="1606"/>
      <c r="AC7" s="1607"/>
      <c r="AD7" s="1608"/>
      <c r="AE7" s="1608"/>
      <c r="AF7" s="1608"/>
      <c r="AG7" s="1608"/>
      <c r="AH7" s="1608"/>
      <c r="AI7" s="1608"/>
      <c r="AJ7" s="1609"/>
    </row>
    <row r="8" spans="1:36" ht="25.5">
      <c r="A8" s="3165"/>
      <c r="B8" s="196" t="s">
        <v>2837</v>
      </c>
      <c r="C8" s="2749" t="s">
        <v>3118</v>
      </c>
      <c r="D8" s="917" t="s">
        <v>139</v>
      </c>
      <c r="E8" s="918" t="e">
        <f>ROUND(C11/E7,4)</f>
        <v>#DIV/0!</v>
      </c>
      <c r="F8" s="2750" t="s">
        <v>2838</v>
      </c>
      <c r="G8" s="2751"/>
      <c r="H8" s="2751"/>
      <c r="I8" s="2751"/>
      <c r="J8" s="2752"/>
      <c r="K8" s="1370"/>
      <c r="L8" s="2725"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5" t="s">
        <v>2840</v>
      </c>
      <c r="X8" s="317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165"/>
      <c r="B9" s="196" t="s">
        <v>2853</v>
      </c>
      <c r="C9" s="919">
        <f>SUMIF(修正!C59:C119,C8,修正!E59:E119)</f>
        <v>0</v>
      </c>
      <c r="D9" s="198" t="s">
        <v>140</v>
      </c>
      <c r="E9" s="198" t="e">
        <f>ROUND(C11/E7,4)</f>
        <v>#DIV/0!</v>
      </c>
      <c r="F9" s="2750" t="s">
        <v>2854</v>
      </c>
      <c r="G9" s="2751"/>
      <c r="H9" s="2751"/>
      <c r="I9" s="2751"/>
      <c r="J9" s="2752"/>
      <c r="K9" s="1370"/>
      <c r="L9" s="2725"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5"/>
      <c r="B10" s="196" t="s">
        <v>2858</v>
      </c>
      <c r="C10" s="198">
        <f>SUMIF(修正!C59:C119,C8,修正!F59:F119)</f>
        <v>0</v>
      </c>
      <c r="D10" s="198" t="s">
        <v>141</v>
      </c>
      <c r="E10" s="198" t="e">
        <f>ROUND(C11/E7,4)</f>
        <v>#DIV/0!</v>
      </c>
      <c r="F10" s="2750" t="s">
        <v>2859</v>
      </c>
      <c r="G10" s="2751"/>
      <c r="H10" s="2751"/>
      <c r="I10" s="2751"/>
      <c r="J10" s="2752"/>
      <c r="K10" s="1370"/>
      <c r="L10" s="2725" t="s">
        <v>2860</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5"/>
      <c r="B11" s="2753" t="s">
        <v>2861</v>
      </c>
      <c r="C11" s="920">
        <f>C10/4</f>
        <v>0</v>
      </c>
      <c r="D11" s="920" t="s">
        <v>142</v>
      </c>
      <c r="E11" s="920" t="e">
        <f>ROUND(C11/E7,4)</f>
        <v>#DIV/0!</v>
      </c>
      <c r="F11" s="2754" t="s">
        <v>2862</v>
      </c>
      <c r="G11" s="2755"/>
      <c r="H11" s="2755"/>
      <c r="I11" s="2755"/>
      <c r="J11" s="2756"/>
      <c r="K11" s="1370"/>
      <c r="L11" s="2725"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7" t="s">
        <v>2864</v>
      </c>
      <c r="X11" s="1614" t="s">
        <v>2865</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164" t="s">
        <v>2866</v>
      </c>
      <c r="B12" s="2757" t="s">
        <v>2867</v>
      </c>
      <c r="C12" s="916">
        <f>ROUND(C15*D15*E15*F15*G15*H15*I15*J15,4)</f>
        <v>1</v>
      </c>
      <c r="D12" s="2758" t="s">
        <v>2868</v>
      </c>
      <c r="E12" s="2759"/>
      <c r="F12" s="2759"/>
      <c r="G12" s="2760"/>
      <c r="H12" s="2760"/>
      <c r="I12" s="2760"/>
      <c r="J12" s="2761"/>
      <c r="K12" s="1370"/>
      <c r="L12" s="2762"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2"/>
      <c r="B13" s="2763" t="s">
        <v>2871</v>
      </c>
      <c r="C13" s="2764" t="s">
        <v>2872</v>
      </c>
      <c r="D13" s="1808" t="s">
        <v>2873</v>
      </c>
      <c r="E13" s="1808" t="s">
        <v>2874</v>
      </c>
      <c r="F13" s="29" t="s">
        <v>2875</v>
      </c>
      <c r="G13" s="2765" t="s">
        <v>2876</v>
      </c>
      <c r="H13" s="2765" t="s">
        <v>2876</v>
      </c>
      <c r="I13" s="2765" t="s">
        <v>2876</v>
      </c>
      <c r="J13" s="2766" t="s">
        <v>2876</v>
      </c>
      <c r="K13" s="1370"/>
      <c r="L13" s="1370"/>
      <c r="M13" s="1370"/>
      <c r="N13" s="1370"/>
      <c r="O13" s="1370"/>
      <c r="P13" s="1370"/>
      <c r="Q13" s="1370"/>
      <c r="R13" s="1602">
        <v>12</v>
      </c>
      <c r="S13" s="1603"/>
      <c r="T13" s="1602">
        <f t="shared" ca="1" si="0"/>
        <v>0</v>
      </c>
      <c r="U13" s="1603"/>
      <c r="V13" s="1602">
        <f t="shared" ca="1" si="1"/>
        <v>0</v>
      </c>
      <c r="W13" s="3177"/>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182"/>
      <c r="B14" s="2767"/>
      <c r="C14" s="2768" t="s">
        <v>3119</v>
      </c>
      <c r="D14" s="2769" t="s">
        <v>3119</v>
      </c>
      <c r="E14" s="2769" t="s">
        <v>3119</v>
      </c>
      <c r="F14" s="2770" t="s">
        <v>3120</v>
      </c>
      <c r="G14" s="2771" t="s">
        <v>2877</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3"/>
      <c r="B15" s="2775" t="s">
        <v>2878</v>
      </c>
      <c r="C15" s="227">
        <f>IF(C14="有",1.1,1)</f>
        <v>1</v>
      </c>
      <c r="D15" s="227">
        <f>IF(D14="有",1.1,1)</f>
        <v>1</v>
      </c>
      <c r="E15" s="227">
        <f>IF(E14="有",1.1,1)</f>
        <v>1</v>
      </c>
      <c r="F15" s="227">
        <f>IF(F14="500米范围内",1.2,IF(F14="500-1000米",1.1,1))</f>
        <v>1</v>
      </c>
      <c r="G15" s="946">
        <v>1</v>
      </c>
      <c r="H15" s="946">
        <v>1</v>
      </c>
      <c r="I15" s="946">
        <v>1</v>
      </c>
      <c r="J15" s="947">
        <v>1</v>
      </c>
      <c r="K15" s="1370"/>
      <c r="L15" s="2776" t="s">
        <v>2814</v>
      </c>
      <c r="M15" s="917" t="s">
        <v>2879</v>
      </c>
      <c r="N15" s="917" t="s">
        <v>2880</v>
      </c>
      <c r="O15" s="917" t="s">
        <v>2881</v>
      </c>
      <c r="P15" s="2777" t="s">
        <v>2882</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64" t="s">
        <v>2883</v>
      </c>
      <c r="B16" s="2744" t="s">
        <v>2884</v>
      </c>
      <c r="C16" s="1801">
        <f>ROUND(SUM(G17:J17)/C17,0)</f>
        <v>35</v>
      </c>
      <c r="D16" s="2778" t="s">
        <v>2885</v>
      </c>
      <c r="E16" s="2779" t="s">
        <v>3167</v>
      </c>
      <c r="F16" s="2780" t="s">
        <v>3168</v>
      </c>
      <c r="G16" s="2781" t="s">
        <v>3124</v>
      </c>
      <c r="H16" s="2781" t="s">
        <v>3126</v>
      </c>
      <c r="I16" s="2781"/>
      <c r="J16" s="2782"/>
      <c r="K16" s="1370"/>
      <c r="L16" s="2783" t="s">
        <v>2886</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65"/>
      <c r="B17" s="2784" t="s">
        <v>2887</v>
      </c>
      <c r="C17" s="921">
        <f>SUMPRODUCT((修正!A2:A5=E2)*(修正!B1:M1=G2)*(修正!B2:M5))</f>
        <v>1</v>
      </c>
      <c r="D17" s="2785" t="s">
        <v>2888</v>
      </c>
      <c r="E17" s="920" t="str">
        <f>IF(OR(G2="八级",G2="九级",G2="十级",G2="十一级",G2="十二级"),"五通一平","七通一平")</f>
        <v>五通一平</v>
      </c>
      <c r="F17" s="921" t="s">
        <v>2889</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2890</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2891</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2892</v>
      </c>
      <c r="C19" s="924">
        <f>ROUND(IF(H19="按公示增长率计算",SUMPRODUCT((地价!A3:A22=YEAR(G19)&amp;"-"&amp;ROUNDUP(MONTH(G19)/3,0))*(地价!X2:AB2=E2)*(地价!X3:AB22)),IF(H19="地价指数",M20/M19,(1+I19)^O19)),4)</f>
        <v>1.2565</v>
      </c>
      <c r="D19" s="2796" t="s">
        <v>2893</v>
      </c>
      <c r="E19" s="925">
        <v>41640</v>
      </c>
      <c r="F19" s="2796" t="s">
        <v>2894</v>
      </c>
      <c r="G19" s="926">
        <f>'数据-取费表'!B2</f>
        <v>43251</v>
      </c>
      <c r="H19" s="2797" t="s">
        <v>2895</v>
      </c>
      <c r="I19" s="927" t="str">
        <f>IF(H19="季度增幅（自定义）",SUMIF(N21:N24,E2,O21:O24),"")</f>
        <v/>
      </c>
      <c r="J19" s="2794"/>
      <c r="K19" s="1377"/>
      <c r="L19" s="2798" t="s">
        <v>2896</v>
      </c>
      <c r="M19" s="1734">
        <f>ROUND(SUMIF(地价!B2:F2,E2,地价!B22:F22),0)</f>
        <v>230</v>
      </c>
      <c r="N19" s="2799" t="s">
        <v>2897</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0.97619999999999996</v>
      </c>
      <c r="D20" s="2805" t="s">
        <v>2899</v>
      </c>
      <c r="E20" s="1768">
        <f ca="1">存贷款利率!D4/100</f>
        <v>4.3499999999999997E-2</v>
      </c>
      <c r="F20" s="2805" t="s">
        <v>2890</v>
      </c>
      <c r="G20" s="934">
        <f ca="1">SUMIF(M15:P15,E2,M17:P17)</f>
        <v>4.8000000000000001E-2</v>
      </c>
      <c r="H20" s="2805" t="s">
        <v>2900</v>
      </c>
      <c r="I20" s="935">
        <f>SUMIF('数据-取费表'!C6:C15,E2,'数据-取费表'!F6:F15)/COUNTIF('数据-取费表'!C6:C15,E2)</f>
        <v>45.68</v>
      </c>
      <c r="J20" s="936">
        <f>IF(E2="住宅",70,IF(E2="商业",40,50))</f>
        <v>50</v>
      </c>
      <c r="K20" s="1377"/>
      <c r="L20" s="2806" t="s">
        <v>2901</v>
      </c>
      <c r="M20" s="1735">
        <f>ROUND(SUMPRODUCT((地价!A4:A22=YEAR(G19)&amp;"-"&amp;ROUNDUP(MONTH(G19)/3,0))*(地价!B2:F2=E2)*(地价!B4:F22)),0)</f>
        <v>289</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3121</v>
      </c>
      <c r="C21" s="937">
        <f>IF(B21="容积率修正",IF(G3&lt;=10,D22,J22),C23)</f>
        <v>0.96240000000000003</v>
      </c>
      <c r="D21" s="2812"/>
      <c r="E21" s="2812"/>
      <c r="F21" s="2812"/>
      <c r="G21" s="2812"/>
      <c r="H21" s="2812"/>
      <c r="I21" s="2812"/>
      <c r="J21" s="2813"/>
      <c r="K21" s="1377"/>
      <c r="N21" s="2814" t="s">
        <v>2905</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2909</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2912</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1.0298</v>
      </c>
      <c r="D24" s="2792"/>
      <c r="E24" s="2822"/>
      <c r="F24" s="2822"/>
      <c r="G24" s="2822"/>
      <c r="H24" s="2822"/>
      <c r="I24" s="2822"/>
      <c r="J24" s="2823"/>
      <c r="K24" s="1377"/>
      <c r="N24" s="2824" t="s">
        <v>2914</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2917</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4">
        <f ca="1">ROUND(C5*C18*C19*C20*C21*C24,0)</f>
        <v>602</v>
      </c>
      <c r="D29" s="2844">
        <f>'数据-汇总表'!F19</f>
        <v>37556.699999999997</v>
      </c>
      <c r="E29" s="942">
        <f ca="1">ROUND(C29*D29/10000,0)</f>
        <v>2261</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7">
        <f ca="1">ROUND(IF(E2="工业",C29*M39,C29*M38),0)</f>
        <v>90</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2920</v>
      </c>
      <c r="D32" s="496" t="s">
        <v>2921</v>
      </c>
      <c r="E32" s="496" t="s">
        <v>2922</v>
      </c>
      <c r="F32" s="386" t="s">
        <v>2930</v>
      </c>
      <c r="G32" s="2859" t="s">
        <v>2920</v>
      </c>
      <c r="H32" s="2859" t="s">
        <v>2921</v>
      </c>
      <c r="I32" s="2859" t="s">
        <v>2922</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72" t="s">
        <v>2931</v>
      </c>
      <c r="B33" s="2860" t="s">
        <v>2932</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4" t="s">
        <v>2933</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4" t="s">
        <v>2934</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74"/>
      <c r="B36" s="2764" t="s">
        <v>2935</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2882</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2953</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2954</v>
      </c>
      <c r="B51" s="2882" t="s">
        <v>2955</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2956</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2957</v>
      </c>
      <c r="B53" s="2883" t="s">
        <v>2958</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2962</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2953</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2954</v>
      </c>
      <c r="B62" s="2882" t="s">
        <v>2955</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2956</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2957</v>
      </c>
      <c r="B64" s="2883" t="s">
        <v>2958</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1.0298</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1" t="s">
        <v>2597</v>
      </c>
      <c r="K80" s="601" t="s">
        <v>2598</v>
      </c>
      <c r="L80" s="601" t="s">
        <v>2599</v>
      </c>
      <c r="M80" s="601" t="s">
        <v>2600</v>
      </c>
      <c r="N80" s="601" t="s">
        <v>2601</v>
      </c>
      <c r="Z80" s="2719"/>
      <c r="AA80" s="2795"/>
      <c r="AG80" s="1372"/>
      <c r="AK80" s="2795"/>
    </row>
    <row r="81" spans="1:37" ht="38.25">
      <c r="A81" s="2877" t="s">
        <v>2970</v>
      </c>
      <c r="B81" s="2881" t="str">
        <f>估价对象房地状况!G15</f>
        <v>估价对象位于XX开发区，园区建设成熟度XX，产业集聚程度XX</v>
      </c>
      <c r="C81" s="2769" t="s">
        <v>3147</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t="s">
        <v>3147</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2953</v>
      </c>
      <c r="B83" s="2881">
        <f>估价对象房地状况!G17</f>
        <v>0</v>
      </c>
      <c r="C83" s="2769" t="s">
        <v>3148</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2967</v>
      </c>
      <c r="B84" s="2881">
        <f>估价对象房地状况!G22</f>
        <v>0</v>
      </c>
      <c r="C84" s="2769" t="s">
        <v>3147</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2959</v>
      </c>
      <c r="B85" s="1725" t="str">
        <f>估价对象房地状况!G19</f>
        <v>估价对象所在区域公共配套设施齐备情况</v>
      </c>
      <c r="C85" s="2769" t="s">
        <v>3147</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2960</v>
      </c>
      <c r="B86" s="1725" t="str">
        <f>估价对象房地状况!G20</f>
        <v>估价对象所在区域基础设施水平</v>
      </c>
      <c r="C86" s="2769" t="s">
        <v>3149</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2957</v>
      </c>
      <c r="B87" s="2883" t="s">
        <v>2971</v>
      </c>
      <c r="C87" s="2769" t="s">
        <v>3148</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2972</v>
      </c>
      <c r="B88" s="2890" t="str">
        <f>估价对象房地状况!G18</f>
        <v>该园区内是否有污染型企业，绿化情况，卫生条件，整体环境状况判断</v>
      </c>
      <c r="C88" s="2769" t="s">
        <v>3147</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166" t="s">
        <v>2973</v>
      </c>
      <c r="B90" s="3166"/>
      <c r="C90" s="3166"/>
      <c r="D90" s="3166"/>
      <c r="E90" s="3166"/>
      <c r="F90" s="3166"/>
      <c r="G90" s="3166"/>
      <c r="H90" s="3166"/>
      <c r="I90" s="3166"/>
      <c r="J90" s="3166"/>
      <c r="K90" s="2891"/>
      <c r="L90" s="2891"/>
      <c r="M90" s="2891"/>
      <c r="N90" s="2891"/>
    </row>
    <row r="91" spans="1:37">
      <c r="A91" s="3168" t="s">
        <v>2974</v>
      </c>
      <c r="B91" s="3168" t="s">
        <v>2975</v>
      </c>
      <c r="C91" s="2845" t="s">
        <v>2976</v>
      </c>
      <c r="D91" s="2846"/>
      <c r="E91" s="2846"/>
      <c r="F91" s="2846"/>
      <c r="G91" s="2846"/>
      <c r="H91" s="2846"/>
      <c r="I91" s="2846"/>
      <c r="J91" s="2892"/>
      <c r="K91" s="2893"/>
      <c r="L91" s="2893"/>
      <c r="M91" s="2893"/>
      <c r="N91" s="2893"/>
    </row>
    <row r="92" spans="1:37">
      <c r="A92" s="3168"/>
      <c r="B92" s="3168"/>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169"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0"/>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69" t="s">
        <v>2978</v>
      </c>
      <c r="B101" s="2898" t="s">
        <v>2979</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170"/>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170"/>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170"/>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170"/>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170"/>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170"/>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170"/>
      <c r="B108" s="3095"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1"/>
      <c r="B109" s="3096"/>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167" t="s">
        <v>2981</v>
      </c>
      <c r="B110" s="3167"/>
      <c r="C110" s="3167"/>
      <c r="D110" s="3167"/>
      <c r="E110" s="3167"/>
      <c r="F110" s="3167"/>
      <c r="G110" s="3167"/>
      <c r="H110" s="3167"/>
      <c r="I110" s="3167"/>
      <c r="J110" s="3167"/>
      <c r="K110" s="2900"/>
      <c r="L110" s="2900"/>
      <c r="M110" s="2900"/>
      <c r="N110" s="2900"/>
    </row>
    <row r="112" spans="1:14" ht="13.5" thickBot="1"/>
    <row r="113" spans="1:13" ht="25.5" thickBot="1">
      <c r="A113" s="900" t="s">
        <v>2982</v>
      </c>
      <c r="B113" s="1287">
        <f>G3</f>
        <v>1.06</v>
      </c>
      <c r="C113" s="901" t="s">
        <v>2983</v>
      </c>
      <c r="D113" s="902">
        <f>SUMPRODUCT((A115:A118=F113)*(B114:M114=H113)*B115:M118)</f>
        <v>0.55230000000000001</v>
      </c>
      <c r="E113" s="2723" t="s">
        <v>2814</v>
      </c>
      <c r="F113" s="2902" t="str">
        <f>E2</f>
        <v>工业</v>
      </c>
      <c r="G113" s="2723" t="s">
        <v>2815</v>
      </c>
      <c r="H113" s="2902" t="str">
        <f>G2</f>
        <v>十级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2879</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2880</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2881</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2882</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9" sqref="H19"/>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22588</v>
      </c>
      <c r="C2" s="318" t="s">
        <v>2463</v>
      </c>
      <c r="D2" s="318"/>
      <c r="E2" s="318"/>
      <c r="F2" s="318"/>
      <c r="G2" s="318"/>
      <c r="H2" s="318"/>
      <c r="I2" s="318"/>
      <c r="J2" s="318"/>
      <c r="K2" s="318"/>
    </row>
    <row r="3" spans="1:33" ht="18" customHeight="1" thickBot="1">
      <c r="A3" s="245" t="s">
        <v>2332</v>
      </c>
      <c r="B3" s="246">
        <f ca="1">ROUND(B2*10000/IF(C1="",'数据-汇总表'!E3,INDIRECT("'数据-取费表'!K"&amp;$K$1)),0)</f>
        <v>3114</v>
      </c>
      <c r="C3" s="318" t="s">
        <v>2464</v>
      </c>
      <c r="D3" s="318"/>
      <c r="E3" s="318"/>
      <c r="F3" s="318"/>
      <c r="G3" s="318"/>
      <c r="H3" s="318"/>
      <c r="I3" s="318"/>
      <c r="J3" s="318"/>
      <c r="K3" s="318"/>
    </row>
    <row r="4" spans="1:33" s="956" customFormat="1" ht="16.5" customHeight="1">
      <c r="A4" s="953" t="s">
        <v>2465</v>
      </c>
      <c r="B4" s="954"/>
      <c r="C4" s="996">
        <f ca="1">SUM(C8:K8)</f>
        <v>37312</v>
      </c>
      <c r="D4" s="954"/>
      <c r="E4" s="954"/>
      <c r="F4" s="954"/>
      <c r="G4" s="954"/>
      <c r="H4" s="954"/>
      <c r="I4" s="954"/>
      <c r="J4" s="954"/>
      <c r="K4" s="955"/>
    </row>
    <row r="5" spans="1:33" s="960" customFormat="1" ht="15">
      <c r="A5" s="957" t="s">
        <v>2466</v>
      </c>
      <c r="B5" s="958" t="s">
        <v>2467</v>
      </c>
      <c r="C5" s="2553" t="s">
        <v>3132</v>
      </c>
      <c r="D5" s="2553" t="s">
        <v>3133</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7894</v>
      </c>
      <c r="D6" s="962">
        <f ca="1">收益法地下厂房!B3</f>
        <v>3967</v>
      </c>
      <c r="E6" s="962">
        <f ca="1">收益法地下车库!B3</f>
        <v>3457</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29648</v>
      </c>
      <c r="D8" s="997">
        <f ca="1">收益法地下厂房!B2</f>
        <v>3291</v>
      </c>
      <c r="E8" s="997">
        <f ca="1">收益法地下车库!B2</f>
        <v>4373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6330</v>
      </c>
      <c r="D11" s="973"/>
      <c r="E11" s="373"/>
      <c r="F11" s="974">
        <f ca="1">1-IF('数据-取费表'!B24=0,1,IF(C1="",'数据-取费表'!N16,INDIRECT("'数据-取费表'!n"&amp;$K$1)))</f>
        <v>0.377</v>
      </c>
      <c r="G11" s="8"/>
      <c r="H11" s="968"/>
      <c r="I11" s="968"/>
      <c r="J11" s="968"/>
      <c r="K11" s="969"/>
    </row>
    <row r="12" spans="1:33" s="975" customFormat="1" ht="13.5" customHeight="1">
      <c r="A12" s="971" t="s">
        <v>1335</v>
      </c>
      <c r="B12" s="972" t="s">
        <v>2481</v>
      </c>
      <c r="C12" s="23">
        <f ca="1">ROUND(C11*F12,0)</f>
        <v>253</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547</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95</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7225</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3134</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8095</v>
      </c>
      <c r="D21" s="987"/>
      <c r="E21" s="323"/>
      <c r="F21" s="323"/>
      <c r="G21" s="138" t="s">
        <v>2497</v>
      </c>
      <c r="H21" s="979"/>
      <c r="I21" s="979"/>
      <c r="J21" s="979"/>
      <c r="K21" s="980"/>
    </row>
    <row r="22" spans="1:33" s="975" customFormat="1" ht="13.5" customHeight="1">
      <c r="A22" s="961" t="s">
        <v>2469</v>
      </c>
      <c r="B22" s="985" t="s">
        <v>2498</v>
      </c>
      <c r="C22" s="986">
        <f ca="1">ROUND(C21*F22,0)</f>
        <v>162</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281</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100</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100</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1537</v>
      </c>
      <c r="D28" s="322">
        <f ca="1">C29</f>
        <v>6.1699999999999998E-2</v>
      </c>
      <c r="E28" s="324" t="s">
        <v>15</v>
      </c>
      <c r="F28" s="330">
        <f ca="1">IF(C1="",'数据-取费表'!Q16,INDIRECT("'数据-取费表'!q"&amp;$K$1))</f>
        <v>0.18</v>
      </c>
      <c r="G28" s="989"/>
      <c r="H28" s="990"/>
      <c r="I28" s="990"/>
      <c r="J28" s="990"/>
      <c r="K28" s="991"/>
    </row>
    <row r="29" spans="1:33" s="333" customFormat="1" ht="13.5" customHeight="1">
      <c r="A29" s="971" t="s">
        <v>803</v>
      </c>
      <c r="B29" s="994" t="s">
        <v>2511</v>
      </c>
      <c r="C29" s="326">
        <f ca="1">ROUND((1+C24)*F28*'数据-取费表'!B24/'数据-取费表'!B20,4)</f>
        <v>6.1699999999999998E-2</v>
      </c>
      <c r="D29" s="326"/>
      <c r="E29" s="327"/>
      <c r="F29" s="332"/>
      <c r="G29" s="138" t="s">
        <v>2512</v>
      </c>
      <c r="H29" s="979"/>
      <c r="I29" s="979"/>
      <c r="J29" s="979"/>
      <c r="K29" s="980"/>
    </row>
    <row r="30" spans="1:33" s="333" customFormat="1" ht="13.5" customHeight="1">
      <c r="A30" s="971" t="s">
        <v>804</v>
      </c>
      <c r="B30" s="994" t="s">
        <v>2513</v>
      </c>
      <c r="C30" s="334">
        <f ca="1">ROUND((C21+C22+C23)*F28,0)</f>
        <v>1537</v>
      </c>
      <c r="D30" s="326"/>
      <c r="E30" s="327"/>
      <c r="F30" s="332"/>
      <c r="G30" s="138"/>
      <c r="H30" s="979"/>
      <c r="I30" s="979"/>
      <c r="J30" s="979"/>
      <c r="K30" s="980"/>
    </row>
    <row r="31" spans="1:33" s="975" customFormat="1" ht="13.5" customHeight="1" thickBot="1">
      <c r="A31" s="2559" t="s">
        <v>2514</v>
      </c>
      <c r="B31" s="1005" t="s">
        <v>2515</v>
      </c>
      <c r="C31" s="1006">
        <f ca="1">ROUND(C4*F31/(1+'数据-取费表'!C42),0)</f>
        <v>1954</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22588</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44" sqref="A4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70</v>
      </c>
      <c r="E1" s="1821" t="s">
        <v>1387</v>
      </c>
      <c r="F1" s="1283">
        <f ca="1">J53</f>
        <v>45.68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29648</v>
      </c>
      <c r="C2" s="1845" t="s">
        <v>1516</v>
      </c>
      <c r="D2" s="1845"/>
      <c r="E2" s="1846"/>
      <c r="F2" s="1847"/>
      <c r="G2" s="1848"/>
      <c r="H2" s="1840"/>
      <c r="I2" s="1840"/>
      <c r="J2" s="1840"/>
      <c r="K2" s="1841"/>
      <c r="L2" s="1840"/>
      <c r="M2" s="1840"/>
    </row>
    <row r="3" spans="1:37" ht="18" customHeight="1" thickBot="1">
      <c r="A3" s="1849" t="s">
        <v>1517</v>
      </c>
      <c r="B3" s="1850">
        <f ca="1">IF(ISERROR(B2*10000/F43),0,ROUND(B2*10000/F43,0))</f>
        <v>7894</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186" t="s">
        <v>1403</v>
      </c>
      <c r="C6" s="1296">
        <f ca="1">ROUND(F6*F8*F7*(1-F9)/10000,0)</f>
        <v>1851</v>
      </c>
      <c r="D6" s="162" t="s">
        <v>3033</v>
      </c>
      <c r="E6" s="345" t="s">
        <v>1405</v>
      </c>
      <c r="F6" s="346">
        <f ca="1">INDIRECT("'数据-取费表'!u"&amp;$G$1)</f>
        <v>1.5</v>
      </c>
      <c r="G6" s="1851"/>
      <c r="H6" s="1291" t="s">
        <v>1035</v>
      </c>
      <c r="I6" s="3186" t="s">
        <v>1403</v>
      </c>
      <c r="J6" s="344">
        <f ca="1">ROUND(M6*M8*M7*(1-M9)/10000,0)</f>
        <v>0</v>
      </c>
      <c r="K6" s="162" t="s">
        <v>3032</v>
      </c>
      <c r="L6" s="345" t="s">
        <v>1405</v>
      </c>
      <c r="M6" s="346">
        <f ca="1">INDIRECT("'数据-取费表'!z"&amp;$G$1)</f>
        <v>0</v>
      </c>
    </row>
    <row r="7" spans="1:37" ht="18" customHeight="1">
      <c r="A7" s="1295"/>
      <c r="B7" s="3187"/>
      <c r="C7" s="1297"/>
      <c r="D7" s="350"/>
      <c r="E7" s="1298" t="s">
        <v>1406</v>
      </c>
      <c r="F7" s="346">
        <f ca="1">IF(INDIRECT("'数据-取费表'!ah"&amp;$G$1)="",INDIRECT("'数据-取费表'!k"&amp;$G$1),INDIRECT("'数据-取费表'!ah"&amp;$G$1))</f>
        <v>37556.699999999997</v>
      </c>
      <c r="G7" s="1851"/>
      <c r="H7" s="347"/>
      <c r="I7" s="3187"/>
      <c r="J7" s="349"/>
      <c r="K7" s="350"/>
      <c r="L7" s="345" t="s">
        <v>1406</v>
      </c>
      <c r="M7" s="346">
        <f ca="1">F7</f>
        <v>37556.699999999997</v>
      </c>
    </row>
    <row r="8" spans="1:37" ht="18" customHeight="1">
      <c r="A8" s="347"/>
      <c r="B8" s="3187"/>
      <c r="C8" s="349"/>
      <c r="D8" s="350"/>
      <c r="E8" s="345" t="s">
        <v>1407</v>
      </c>
      <c r="F8" s="346">
        <f ca="1">INDIRECT("'数据-取费表'!ai"&amp;$G$1)</f>
        <v>365</v>
      </c>
      <c r="G8" s="1851"/>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0.1</v>
      </c>
      <c r="G9" s="1851"/>
      <c r="H9" s="347"/>
      <c r="I9" s="3188"/>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3042</v>
      </c>
      <c r="E10" s="356" t="s">
        <v>1410</v>
      </c>
      <c r="F10" s="1366" t="s">
        <v>3136</v>
      </c>
      <c r="G10" s="1851"/>
      <c r="H10" s="1291" t="s">
        <v>1039</v>
      </c>
      <c r="I10" s="1823" t="s">
        <v>1409</v>
      </c>
      <c r="J10" s="344">
        <f ca="1">ROUND(IF(M10="押一",J6/12*M11,IF(M10="押二",J6/12*2*M11,IF(M10="押三",J6/12*3*M11,J11*M11))),0)</f>
        <v>0</v>
      </c>
      <c r="K10" s="1824" t="s">
        <v>3041</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17393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17393</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411</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150.30000000000001</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146.1</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260.89999999999998</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-411</v>
      </c>
      <c r="K25" s="1345" t="s">
        <v>1464</v>
      </c>
      <c r="L25" s="1346"/>
      <c r="M25" s="1347"/>
    </row>
    <row r="26" spans="1:37">
      <c r="A26" s="1201" t="s">
        <v>1034</v>
      </c>
      <c r="B26" s="345" t="s">
        <v>1465</v>
      </c>
      <c r="C26" s="23">
        <f ca="1">ROUND((C19+C20)*F26,0)</f>
        <v>2599</v>
      </c>
      <c r="D26" s="367" t="s">
        <v>1466</v>
      </c>
      <c r="E26" s="356" t="s">
        <v>1467</v>
      </c>
      <c r="F26" s="355">
        <f ca="1">INDIRECT("'数据-取费表'!q"&amp;$G$1)</f>
        <v>0.2</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4.0000000000000001E-3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17393</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648</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3137</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260.89999999999998</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26.1</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37.1</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3">
        <f ca="1">C5-C30</f>
        <v>1205</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29481</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7850</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-60748</v>
      </c>
      <c r="D46" s="1872" t="str">
        <f>C2</f>
        <v>万元</v>
      </c>
      <c r="E46" s="1866"/>
      <c r="F46" s="1866"/>
      <c r="I46" s="1873" t="s">
        <v>1521</v>
      </c>
      <c r="J46" s="1874"/>
      <c r="K46" s="1875"/>
      <c r="L46" s="1876">
        <f ca="1">IF(M47="住宅",0,IF(L48&gt;J51,L60,J60))</f>
        <v>167</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3138</v>
      </c>
      <c r="K47" s="1882" t="s">
        <v>1527</v>
      </c>
      <c r="L47" s="1883">
        <f ca="1">INDIRECT("'数据-取费表'!d"&amp;$G$1)</f>
        <v>50</v>
      </c>
      <c r="M47" s="1838" t="str">
        <f>IF(ISNUMBER(FIND("住宅",C1)),"住宅","非住宅")</f>
        <v>非住宅</v>
      </c>
      <c r="O47" s="1884" t="s">
        <v>1040</v>
      </c>
      <c r="P47" s="1885" t="s">
        <v>1528</v>
      </c>
      <c r="Q47" s="1886">
        <f ca="1">C40+J29</f>
        <v>29481</v>
      </c>
      <c r="R47" s="1886" t="s">
        <v>1529</v>
      </c>
    </row>
    <row r="48" spans="1:18" s="1842" customFormat="1" ht="28.5" thickBot="1">
      <c r="A48" s="1360" t="s">
        <v>1135</v>
      </c>
      <c r="B48" s="343" t="s">
        <v>1401</v>
      </c>
      <c r="C48" s="1817">
        <f ca="1">C49+C53+C55</f>
        <v>0</v>
      </c>
      <c r="D48" s="1362"/>
      <c r="E48" s="1363"/>
      <c r="F48" s="1181"/>
      <c r="G48" s="790"/>
      <c r="H48" s="791"/>
      <c r="I48" s="1887" t="s">
        <v>1530</v>
      </c>
      <c r="J48" s="1888" t="s">
        <v>3139</v>
      </c>
      <c r="K48" s="1889" t="s">
        <v>1531</v>
      </c>
      <c r="L48" s="1890">
        <f ca="1">INDIRECT("'数据-取费表'!f"&amp;$G$1)</f>
        <v>45.68</v>
      </c>
      <c r="O48" s="1884" t="s">
        <v>1041</v>
      </c>
      <c r="P48" s="1885" t="s">
        <v>1532</v>
      </c>
      <c r="Q48" s="1886">
        <f ca="1">J60</f>
        <v>167</v>
      </c>
      <c r="R48" s="1886" t="s">
        <v>1533</v>
      </c>
    </row>
    <row r="49" spans="1:18" s="1842" customFormat="1" ht="13.5" thickBot="1">
      <c r="A49" s="1194" t="s">
        <v>1136</v>
      </c>
      <c r="B49" s="1829" t="s">
        <v>1490</v>
      </c>
      <c r="C49" s="1364">
        <f ca="1">ROUND(F49*F51*F50*(1-F52)/10000,0)</f>
        <v>0</v>
      </c>
      <c r="D49" s="1276" t="s">
        <v>3034</v>
      </c>
      <c r="E49" s="1830" t="s">
        <v>1491</v>
      </c>
      <c r="F49" s="1281"/>
      <c r="G49" s="1891"/>
      <c r="H49" s="791"/>
      <c r="I49" s="1887" t="s">
        <v>1534</v>
      </c>
      <c r="J49" s="1892">
        <v>2018</v>
      </c>
      <c r="K49" s="1889" t="s">
        <v>1535</v>
      </c>
      <c r="L49" s="1893"/>
      <c r="O49" s="1894" t="s">
        <v>1042</v>
      </c>
      <c r="P49" s="1885" t="s">
        <v>1536</v>
      </c>
      <c r="Q49" s="1886">
        <f ca="1">C29</f>
        <v>17393</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-3588</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3041</v>
      </c>
      <c r="E53" s="356" t="s">
        <v>1410</v>
      </c>
      <c r="F53" s="1366"/>
      <c r="I53" s="1905" t="s">
        <v>1547</v>
      </c>
      <c r="J53" s="1906">
        <f ca="1">IF(M47="住宅",J51,IF(D1="——",MIN(J51,L48),IF(D1="在建（套用方法）",MIN(J51,L48-'数据-取费表'!B24),IF(D1="土地（套用方法）",MIN(J51,L48-'数据-取费表'!B20)))))</f>
        <v>45.68</v>
      </c>
      <c r="K53" s="3184" t="s">
        <v>1548</v>
      </c>
      <c r="L53" s="3185"/>
      <c r="O53" s="1884" t="s">
        <v>1046</v>
      </c>
      <c r="P53" s="1885" t="s">
        <v>1549</v>
      </c>
      <c r="Q53" s="1886">
        <f ca="1">Q47+Q48</f>
        <v>29648</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17393</v>
      </c>
      <c r="D56" s="1914"/>
      <c r="E56" s="1915"/>
      <c r="F56" s="1907"/>
      <c r="I56" s="1916" t="s">
        <v>1554</v>
      </c>
      <c r="J56" s="1917" t="s">
        <v>3140</v>
      </c>
      <c r="K56" s="1887" t="s">
        <v>1555</v>
      </c>
      <c r="L56" s="1890" t="str">
        <f ca="1">IF(L48&lt;J51,"——",L48-J53)</f>
        <v>——</v>
      </c>
      <c r="O56" s="1884" t="s">
        <v>1040</v>
      </c>
      <c r="P56" s="1885" t="s">
        <v>1528</v>
      </c>
      <c r="Q56" s="1886">
        <f ca="1">C40+J29</f>
        <v>29481</v>
      </c>
      <c r="R56" s="1886" t="s">
        <v>1529</v>
      </c>
    </row>
    <row r="57" spans="1:18" s="1842" customFormat="1" ht="24.75" thickBot="1">
      <c r="A57" s="1918"/>
      <c r="B57" s="1169" t="s">
        <v>1478</v>
      </c>
      <c r="C57" s="280">
        <f ca="1">C29</f>
        <v>17393</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1752</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1465.2</v>
      </c>
      <c r="D59" s="1182" t="s">
        <v>1430</v>
      </c>
      <c r="E59" s="1183" t="s">
        <v>1431</v>
      </c>
      <c r="F59" s="366" t="str">
        <f ca="1">IF(项目基本情况!B11="企业","",IF(INDIRECT("'数据-取费表'!c"&amp;$G$1)="住宅",5%,IF(F49*F50*F51/12/(1+'数据-取费表'!C42)&gt;20000,12%,7%)))</f>
        <v/>
      </c>
      <c r="I59" s="1922" t="s">
        <v>1563</v>
      </c>
      <c r="J59" s="1923">
        <f ca="1">IF(OR(M47="住宅",J51&lt;L48,J56="是"),"——",ROUND(C29*J58,0))</f>
        <v>6957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167</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1461.01</v>
      </c>
      <c r="D61" s="1828" t="s">
        <v>1438</v>
      </c>
      <c r="E61" s="1169" t="s">
        <v>1494</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29481</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260.89999999999998</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26.1</v>
      </c>
      <c r="D65" s="1183" t="s">
        <v>1454</v>
      </c>
      <c r="E65" s="1169" t="s">
        <v>1455</v>
      </c>
      <c r="F65" s="374">
        <f t="shared" ca="1" si="0"/>
        <v>1.5E-3</v>
      </c>
      <c r="I65" s="1929" t="s">
        <v>1579</v>
      </c>
      <c r="J65" s="1930">
        <v>40</v>
      </c>
      <c r="K65" s="1930">
        <v>30</v>
      </c>
      <c r="L65" s="1930">
        <v>50</v>
      </c>
      <c r="M65" s="1932">
        <v>0.02</v>
      </c>
      <c r="O65" s="1884" t="s">
        <v>1040</v>
      </c>
      <c r="P65" s="1885" t="s">
        <v>1580</v>
      </c>
      <c r="Q65" s="1886">
        <f ca="1">C40+J29</f>
        <v>29481</v>
      </c>
      <c r="R65" s="1886" t="s">
        <v>1529</v>
      </c>
    </row>
    <row r="66" spans="1:18" s="1842" customFormat="1" ht="16.5" thickBot="1">
      <c r="A66" s="1201" t="s">
        <v>1504</v>
      </c>
      <c r="B66" s="1169" t="s">
        <v>1439</v>
      </c>
      <c r="C66" s="23">
        <f ca="1">ROUND(C48*F66,1)</f>
        <v>0</v>
      </c>
      <c r="D66" s="1183" t="s">
        <v>1505</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-1752</v>
      </c>
      <c r="D67" s="1182" t="s">
        <v>1464</v>
      </c>
      <c r="E67" s="1187"/>
      <c r="F67" s="1188"/>
      <c r="O67" s="1894" t="s">
        <v>1042</v>
      </c>
      <c r="P67" s="1885" t="s">
        <v>1562</v>
      </c>
      <c r="Q67" s="1933">
        <f ca="1">L51</f>
        <v>-3588</v>
      </c>
      <c r="R67" s="1886" t="s">
        <v>1582</v>
      </c>
    </row>
    <row r="68" spans="1:18" s="1842" customFormat="1" ht="16.5" thickBot="1">
      <c r="A68" s="1166" t="s">
        <v>1032</v>
      </c>
      <c r="B68" s="1167" t="s">
        <v>1485</v>
      </c>
      <c r="C68" s="344">
        <f ca="1">ROUND(C67*(1-((1+F70)/(1+F68))^F69)/(F68-F70),0)</f>
        <v>-31267</v>
      </c>
      <c r="D68" s="1184" t="s">
        <v>1469</v>
      </c>
      <c r="E68" s="1169" t="s">
        <v>1470</v>
      </c>
      <c r="F68" s="355">
        <f ca="1">F40</f>
        <v>4.9999999999999996E-2</v>
      </c>
      <c r="O68" s="1894" t="s">
        <v>1043</v>
      </c>
      <c r="P68" s="1934" t="s">
        <v>1583</v>
      </c>
      <c r="Q68" s="1886">
        <f ca="1">ROUND(Q69-Q70*Q71,0)</f>
        <v>-186</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1205</v>
      </c>
      <c r="R69" s="1886" t="s">
        <v>1529</v>
      </c>
    </row>
    <row r="70" spans="1:18" s="1842" customFormat="1" ht="13.5" thickBot="1">
      <c r="A70" s="1173"/>
      <c r="B70" s="1174"/>
      <c r="C70" s="353"/>
      <c r="D70" s="1185"/>
      <c r="E70" s="1169" t="s">
        <v>1477</v>
      </c>
      <c r="F70" s="1275"/>
      <c r="O70" s="1894" t="s">
        <v>1049</v>
      </c>
      <c r="P70" s="1934" t="s">
        <v>1585</v>
      </c>
      <c r="Q70" s="1886">
        <f ca="1">C13</f>
        <v>17393</v>
      </c>
      <c r="R70" s="1886" t="s">
        <v>1529</v>
      </c>
    </row>
    <row r="71" spans="1:18" s="1842" customFormat="1" ht="13.5" thickBot="1">
      <c r="A71" s="1190" t="s">
        <v>1033</v>
      </c>
      <c r="B71" s="1191" t="s">
        <v>1487</v>
      </c>
      <c r="C71" s="380">
        <f ca="1">ROUND(C68*10000/F71,0)</f>
        <v>-8325</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1391</v>
      </c>
      <c r="D75" s="1842"/>
      <c r="E75" s="1842"/>
      <c r="F75" s="1842"/>
      <c r="K75" s="1868"/>
      <c r="L75" s="1842"/>
      <c r="O75" s="1884" t="s">
        <v>1046</v>
      </c>
      <c r="P75" s="1885" t="s">
        <v>1549</v>
      </c>
      <c r="Q75" s="1886">
        <f ca="1">Q65+Q66</f>
        <v>29481</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-0.15399999999999991</v>
      </c>
    </row>
    <row r="80" spans="1:18">
      <c r="B80" s="384" t="s">
        <v>1511</v>
      </c>
      <c r="C80" s="316">
        <f ca="1">ROUND(C75/C39,3)</f>
        <v>1.1539999999999999</v>
      </c>
    </row>
    <row r="81" spans="2:3">
      <c r="B81" s="312" t="s">
        <v>1512</v>
      </c>
      <c r="C81" s="280"/>
    </row>
    <row r="82" spans="2:3">
      <c r="B82" s="315" t="s">
        <v>1513</v>
      </c>
      <c r="C82" s="317">
        <f ca="1">1-C83</f>
        <v>0.41000000000000003</v>
      </c>
    </row>
    <row r="83" spans="2:3">
      <c r="B83" s="315" t="s">
        <v>1514</v>
      </c>
      <c r="C83" s="316">
        <f ca="1">ROUND(C13/C40,3)</f>
        <v>0.59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3133</v>
      </c>
      <c r="D1" s="1820" t="s">
        <v>70</v>
      </c>
      <c r="E1" s="1821" t="s">
        <v>1387</v>
      </c>
      <c r="F1" s="1283">
        <f ca="1">J53</f>
        <v>45.68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3291</v>
      </c>
      <c r="C2" s="1845" t="s">
        <v>1516</v>
      </c>
      <c r="D2" s="1845"/>
      <c r="E2" s="1846"/>
      <c r="F2" s="1847"/>
      <c r="G2" s="1848"/>
      <c r="H2" s="1840"/>
      <c r="I2" s="1840"/>
      <c r="J2" s="1840"/>
      <c r="K2" s="1841"/>
      <c r="L2" s="1840"/>
      <c r="M2" s="1840"/>
    </row>
    <row r="3" spans="1:37" ht="18" customHeight="1" thickBot="1">
      <c r="A3" s="1849" t="s">
        <v>1517</v>
      </c>
      <c r="B3" s="1850">
        <f ca="1">IF(ISERROR(B2*10000/F43),0,ROUND(B2*10000/F43,0))</f>
        <v>3967</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186" t="s">
        <v>1403</v>
      </c>
      <c r="C6" s="1296">
        <f ca="1">ROUND(F6*F8*F7*(1-F9)/10000,0)</f>
        <v>245</v>
      </c>
      <c r="D6" s="162" t="s">
        <v>3033</v>
      </c>
      <c r="E6" s="345" t="s">
        <v>1405</v>
      </c>
      <c r="F6" s="346">
        <f ca="1">INDIRECT("'数据-取费表'!u"&amp;$G$1)</f>
        <v>0.9</v>
      </c>
      <c r="G6" s="1851"/>
      <c r="H6" s="1291" t="s">
        <v>1035</v>
      </c>
      <c r="I6" s="3186" t="s">
        <v>1403</v>
      </c>
      <c r="J6" s="344">
        <f ca="1">ROUND(M6*M8*M7*(1-M9)/10000,0)</f>
        <v>0</v>
      </c>
      <c r="K6" s="162" t="s">
        <v>3032</v>
      </c>
      <c r="L6" s="345" t="s">
        <v>1405</v>
      </c>
      <c r="M6" s="346">
        <f ca="1">INDIRECT("'数据-取费表'!z"&amp;$G$1)</f>
        <v>0</v>
      </c>
    </row>
    <row r="7" spans="1:37" ht="18" customHeight="1">
      <c r="A7" s="1295"/>
      <c r="B7" s="3187"/>
      <c r="C7" s="1297"/>
      <c r="D7" s="350"/>
      <c r="E7" s="2944" t="s">
        <v>1406</v>
      </c>
      <c r="F7" s="346">
        <f ca="1">IF(INDIRECT("'数据-取费表'!ah"&amp;$G$1)="",INDIRECT("'数据-取费表'!k"&amp;$G$1),INDIRECT("'数据-取费表'!ah"&amp;$G$1))</f>
        <v>8295.2800000000007</v>
      </c>
      <c r="G7" s="1851"/>
      <c r="H7" s="347"/>
      <c r="I7" s="3187"/>
      <c r="J7" s="349"/>
      <c r="K7" s="350"/>
      <c r="L7" s="345" t="s">
        <v>1406</v>
      </c>
      <c r="M7" s="346">
        <f ca="1">F7</f>
        <v>8295.2800000000007</v>
      </c>
    </row>
    <row r="8" spans="1:37" ht="18" customHeight="1">
      <c r="A8" s="347"/>
      <c r="B8" s="3187"/>
      <c r="C8" s="349"/>
      <c r="D8" s="350"/>
      <c r="E8" s="345" t="s">
        <v>1407</v>
      </c>
      <c r="F8" s="346">
        <f ca="1">INDIRECT("'数据-取费表'!ai"&amp;$G$1)</f>
        <v>365</v>
      </c>
      <c r="G8" s="1851"/>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0.1</v>
      </c>
      <c r="G9" s="1851"/>
      <c r="H9" s="347"/>
      <c r="I9" s="318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3041</v>
      </c>
      <c r="E10" s="356" t="s">
        <v>1410</v>
      </c>
      <c r="F10" s="1366" t="s">
        <v>3136</v>
      </c>
      <c r="G10" s="1851"/>
      <c r="H10" s="1291" t="s">
        <v>1039</v>
      </c>
      <c r="I10" s="1823" t="s">
        <v>1409</v>
      </c>
      <c r="J10" s="344">
        <f ca="1">ROUND(IF(M10="押一",J6/12*M11,IF(M10="押二",J6/12*2*M11,IF(M10="押三",J6/12*3*M11,J11*M11))),0)</f>
        <v>0</v>
      </c>
      <c r="K10" s="1824" t="s">
        <v>3041</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3842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3842</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91</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33.200000000000003</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32.270000000000003</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57.6</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-91</v>
      </c>
      <c r="K25" s="1345" t="s">
        <v>1464</v>
      </c>
      <c r="L25" s="1346"/>
      <c r="M25" s="1347"/>
    </row>
    <row r="26" spans="1:37">
      <c r="A26" s="1201" t="s">
        <v>1034</v>
      </c>
      <c r="B26" s="345" t="s">
        <v>1465</v>
      </c>
      <c r="C26" s="23">
        <f ca="1">ROUND((C19+C20)*F26,0)</f>
        <v>574</v>
      </c>
      <c r="D26" s="367" t="s">
        <v>1466</v>
      </c>
      <c r="E26" s="356" t="s">
        <v>1467</v>
      </c>
      <c r="F26" s="355">
        <f ca="1">INDIRECT("'数据-取费表'!q"&amp;$G$1)</f>
        <v>0.2</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4.0000000000000001E-3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3842</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112</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3137</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57.6</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5.8</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4.9000000000000004</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133</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3254</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3923</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-10161</v>
      </c>
      <c r="D46" s="1872" t="str">
        <f>C2</f>
        <v>万元</v>
      </c>
      <c r="E46" s="1866"/>
      <c r="F46" s="1866"/>
      <c r="I46" s="1873" t="s">
        <v>1521</v>
      </c>
      <c r="J46" s="1874"/>
      <c r="K46" s="1875"/>
      <c r="L46" s="1876">
        <f ca="1">IF(M47="住宅",0,IF(L48&gt;J51,L60,J60))</f>
        <v>37</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3138</v>
      </c>
      <c r="K47" s="1882" t="s">
        <v>1527</v>
      </c>
      <c r="L47" s="1883">
        <f ca="1">INDIRECT("'数据-取费表'!d"&amp;$G$1)</f>
        <v>50</v>
      </c>
      <c r="M47" s="1838" t="str">
        <f>IF(ISNUMBER(FIND("住宅",C1)),"住宅","非住宅")</f>
        <v>非住宅</v>
      </c>
      <c r="O47" s="1884" t="s">
        <v>1040</v>
      </c>
      <c r="P47" s="1885" t="s">
        <v>1528</v>
      </c>
      <c r="Q47" s="1886">
        <f ca="1">C40+J29</f>
        <v>3254</v>
      </c>
      <c r="R47" s="1886" t="s">
        <v>1529</v>
      </c>
    </row>
    <row r="48" spans="1:18" s="1842" customFormat="1" ht="28.5" thickBot="1">
      <c r="A48" s="1360" t="s">
        <v>1135</v>
      </c>
      <c r="B48" s="343" t="s">
        <v>1401</v>
      </c>
      <c r="C48" s="2941">
        <f ca="1">C49+C53+C55</f>
        <v>0</v>
      </c>
      <c r="D48" s="1362"/>
      <c r="E48" s="1363"/>
      <c r="F48" s="1181"/>
      <c r="G48" s="790"/>
      <c r="H48" s="791"/>
      <c r="I48" s="1887" t="s">
        <v>1530</v>
      </c>
      <c r="J48" s="1888" t="s">
        <v>3139</v>
      </c>
      <c r="K48" s="1889" t="s">
        <v>1531</v>
      </c>
      <c r="L48" s="1890">
        <f ca="1">INDIRECT("'数据-取费表'!f"&amp;$G$1)</f>
        <v>45.68</v>
      </c>
      <c r="O48" s="1884" t="s">
        <v>1041</v>
      </c>
      <c r="P48" s="1885" t="s">
        <v>1532</v>
      </c>
      <c r="Q48" s="1886">
        <f ca="1">J60</f>
        <v>37</v>
      </c>
      <c r="R48" s="1886" t="s">
        <v>1533</v>
      </c>
    </row>
    <row r="49" spans="1:18" s="1842" customFormat="1" ht="13.5" thickBot="1">
      <c r="A49" s="1194" t="s">
        <v>1136</v>
      </c>
      <c r="B49" s="1829" t="s">
        <v>1490</v>
      </c>
      <c r="C49" s="1364">
        <f ca="1">ROUND(F49*F51*F50*(1-F52)/10000,0)</f>
        <v>0</v>
      </c>
      <c r="D49" s="1276" t="s">
        <v>3032</v>
      </c>
      <c r="E49" s="1830" t="s">
        <v>1491</v>
      </c>
      <c r="F49" s="1281"/>
      <c r="G49" s="1891"/>
      <c r="H49" s="791"/>
      <c r="I49" s="1887" t="s">
        <v>1534</v>
      </c>
      <c r="J49" s="1892">
        <v>2018</v>
      </c>
      <c r="K49" s="1889" t="s">
        <v>1535</v>
      </c>
      <c r="L49" s="1893"/>
      <c r="O49" s="1894" t="s">
        <v>1042</v>
      </c>
      <c r="P49" s="1885" t="s">
        <v>1536</v>
      </c>
      <c r="Q49" s="1886">
        <f ca="1">C29</f>
        <v>3842</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-3356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3041</v>
      </c>
      <c r="E53" s="356" t="s">
        <v>1410</v>
      </c>
      <c r="F53" s="1366"/>
      <c r="I53" s="1905" t="s">
        <v>1547</v>
      </c>
      <c r="J53" s="1906">
        <f ca="1">IF(M47="住宅",J51,IF(D1="——",MIN(J51,L48),IF(D1="在建（套用方法）",MIN(J51,L48-'数据-取费表'!B24),IF(D1="土地（套用方法）",MIN(J51,L48-'数据-取费表'!B20)))))</f>
        <v>45.68</v>
      </c>
      <c r="K53" s="3184" t="s">
        <v>1548</v>
      </c>
      <c r="L53" s="3185"/>
      <c r="O53" s="1884" t="s">
        <v>1046</v>
      </c>
      <c r="P53" s="1885" t="s">
        <v>1549</v>
      </c>
      <c r="Q53" s="1886">
        <f ca="1">Q47+Q48</f>
        <v>3291</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3842</v>
      </c>
      <c r="D56" s="1914"/>
      <c r="E56" s="1915"/>
      <c r="F56" s="1907"/>
      <c r="I56" s="1916" t="s">
        <v>1554</v>
      </c>
      <c r="J56" s="1917" t="s">
        <v>3140</v>
      </c>
      <c r="K56" s="1887" t="s">
        <v>1555</v>
      </c>
      <c r="L56" s="1890" t="str">
        <f ca="1">IF(L48&lt;J51,"——",L48-J53)</f>
        <v>——</v>
      </c>
      <c r="O56" s="1884" t="s">
        <v>1040</v>
      </c>
      <c r="P56" s="1885" t="s">
        <v>1528</v>
      </c>
      <c r="Q56" s="1886">
        <f ca="1">C40+J29</f>
        <v>3254</v>
      </c>
      <c r="R56" s="1886" t="s">
        <v>1529</v>
      </c>
    </row>
    <row r="57" spans="1:18" s="1842" customFormat="1" ht="24.75" thickBot="1">
      <c r="A57" s="1918"/>
      <c r="B57" s="1169" t="s">
        <v>1478</v>
      </c>
      <c r="C57" s="280">
        <f ca="1">C29</f>
        <v>3842</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387</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323.7</v>
      </c>
      <c r="D59" s="1182" t="s">
        <v>1430</v>
      </c>
      <c r="E59" s="1183" t="s">
        <v>1431</v>
      </c>
      <c r="F59" s="366" t="str">
        <f ca="1">IF(项目基本情况!B11="企业","",IF(INDIRECT("'数据-取费表'!c"&amp;$G$1)="住宅",5%,IF(F49*F50*F51/12/(1+'数据-取费表'!C42)&gt;20000,12%,7%)))</f>
        <v/>
      </c>
      <c r="I59" s="1922" t="s">
        <v>1563</v>
      </c>
      <c r="J59" s="1923">
        <f ca="1">IF(OR(M47="住宅",J51&lt;L48,J56="是"),"——",ROUND(C29*J58,0))</f>
        <v>1537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37</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322.73</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3254</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57.6</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5.8</v>
      </c>
      <c r="D65" s="1183" t="s">
        <v>1454</v>
      </c>
      <c r="E65" s="1169" t="s">
        <v>1422</v>
      </c>
      <c r="F65" s="374">
        <f t="shared" ca="1" si="0"/>
        <v>1.5E-3</v>
      </c>
      <c r="I65" s="1929" t="s">
        <v>1579</v>
      </c>
      <c r="J65" s="1930">
        <v>40</v>
      </c>
      <c r="K65" s="1930">
        <v>30</v>
      </c>
      <c r="L65" s="1930">
        <v>50</v>
      </c>
      <c r="M65" s="1932">
        <v>0.02</v>
      </c>
      <c r="O65" s="1884" t="s">
        <v>1040</v>
      </c>
      <c r="P65" s="1885" t="s">
        <v>1528</v>
      </c>
      <c r="Q65" s="1886">
        <f ca="1">C40+J29</f>
        <v>3254</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-387</v>
      </c>
      <c r="D67" s="1182" t="s">
        <v>1464</v>
      </c>
      <c r="E67" s="1187"/>
      <c r="F67" s="1188"/>
      <c r="O67" s="1894" t="s">
        <v>1042</v>
      </c>
      <c r="P67" s="1885" t="s">
        <v>1562</v>
      </c>
      <c r="Q67" s="1933">
        <f ca="1">L51</f>
        <v>-3356</v>
      </c>
      <c r="R67" s="1886" t="s">
        <v>1582</v>
      </c>
    </row>
    <row r="68" spans="1:18" s="1842" customFormat="1" ht="16.5" thickBot="1">
      <c r="A68" s="1166" t="s">
        <v>1032</v>
      </c>
      <c r="B68" s="1167" t="s">
        <v>1485</v>
      </c>
      <c r="C68" s="344">
        <f ca="1">ROUND(C67*(1-((1+F70)/(1+F68))^F69)/(F68-F70),0)</f>
        <v>-6907</v>
      </c>
      <c r="D68" s="1184" t="s">
        <v>1469</v>
      </c>
      <c r="E68" s="1169" t="s">
        <v>1470</v>
      </c>
      <c r="F68" s="355">
        <f ca="1">F40</f>
        <v>4.9999999999999996E-2</v>
      </c>
      <c r="O68" s="1894" t="s">
        <v>1043</v>
      </c>
      <c r="P68" s="1934" t="s">
        <v>1583</v>
      </c>
      <c r="Q68" s="1886">
        <f ca="1">ROUND(Q69-Q70*Q71,0)</f>
        <v>-174</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133</v>
      </c>
      <c r="R69" s="1886" t="s">
        <v>1529</v>
      </c>
    </row>
    <row r="70" spans="1:18" s="1842" customFormat="1" ht="13.5" thickBot="1">
      <c r="A70" s="1173"/>
      <c r="B70" s="1174"/>
      <c r="C70" s="353"/>
      <c r="D70" s="1185"/>
      <c r="E70" s="1169" t="s">
        <v>1477</v>
      </c>
      <c r="F70" s="1275"/>
      <c r="O70" s="1894" t="s">
        <v>1049</v>
      </c>
      <c r="P70" s="1934" t="s">
        <v>1585</v>
      </c>
      <c r="Q70" s="1886">
        <f ca="1">C13</f>
        <v>3842</v>
      </c>
      <c r="R70" s="1886" t="s">
        <v>1529</v>
      </c>
    </row>
    <row r="71" spans="1:18" s="1842" customFormat="1" ht="13.5" thickBot="1">
      <c r="A71" s="1190" t="s">
        <v>1033</v>
      </c>
      <c r="B71" s="1191" t="s">
        <v>1487</v>
      </c>
      <c r="C71" s="380">
        <f ca="1">ROUND(C68*10000/F71,0)</f>
        <v>-8326</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307</v>
      </c>
      <c r="D75" s="1842"/>
      <c r="E75" s="1842"/>
      <c r="F75" s="1842"/>
      <c r="K75" s="1868"/>
      <c r="L75" s="1842"/>
      <c r="O75" s="1884" t="s">
        <v>1046</v>
      </c>
      <c r="P75" s="1885" t="s">
        <v>1549</v>
      </c>
      <c r="Q75" s="1886">
        <f ca="1">Q65+Q66</f>
        <v>3254</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-1.3079999999999998</v>
      </c>
    </row>
    <row r="80" spans="1:18">
      <c r="B80" s="384" t="s">
        <v>1511</v>
      </c>
      <c r="C80" s="316">
        <f ca="1">ROUND(C75/C39,3)</f>
        <v>2.3079999999999998</v>
      </c>
    </row>
    <row r="81" spans="2:3">
      <c r="B81" s="312" t="s">
        <v>1512</v>
      </c>
      <c r="C81" s="280"/>
    </row>
    <row r="82" spans="2:3">
      <c r="B82" s="315" t="s">
        <v>1513</v>
      </c>
      <c r="C82" s="317">
        <f ca="1">1-C83</f>
        <v>-0.18100000000000005</v>
      </c>
    </row>
    <row r="83" spans="2:3">
      <c r="B83" s="315" t="s">
        <v>1514</v>
      </c>
      <c r="C83" s="316">
        <f ca="1">ROUND(C13/C40,3)</f>
        <v>1.181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I31" sqref="I3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70</v>
      </c>
      <c r="E1" s="1821" t="s">
        <v>1387</v>
      </c>
      <c r="F1" s="1283">
        <f ca="1">J53</f>
        <v>45.68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4373</v>
      </c>
      <c r="C2" s="1845" t="s">
        <v>1516</v>
      </c>
      <c r="D2" s="1845"/>
      <c r="E2" s="1846"/>
      <c r="F2" s="1847"/>
      <c r="G2" s="1848"/>
      <c r="H2" s="1840"/>
      <c r="I2" s="1840"/>
      <c r="J2" s="1840"/>
      <c r="K2" s="1841"/>
      <c r="L2" s="1840"/>
      <c r="M2" s="1840"/>
    </row>
    <row r="3" spans="1:37" ht="18" customHeight="1" thickBot="1">
      <c r="A3" s="1849" t="s">
        <v>1517</v>
      </c>
      <c r="B3" s="1850">
        <f ca="1">IF(ISERROR(B2*10000/F43),0,ROUND(B2*10000/F43,0))</f>
        <v>3457</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332</v>
      </c>
      <c r="D5" s="1822" t="s">
        <v>1402</v>
      </c>
      <c r="E5" s="1293"/>
      <c r="F5" s="1294"/>
      <c r="G5" s="1851"/>
      <c r="H5" s="342">
        <v>1</v>
      </c>
      <c r="I5" s="343" t="s">
        <v>1401</v>
      </c>
      <c r="J5" s="1292">
        <f ca="1">J6+J10+J12</f>
        <v>0</v>
      </c>
      <c r="K5" s="1822" t="s">
        <v>1402</v>
      </c>
      <c r="L5" s="1293"/>
      <c r="M5" s="1294"/>
    </row>
    <row r="6" spans="1:37" ht="18" customHeight="1">
      <c r="A6" s="1291" t="s">
        <v>1035</v>
      </c>
      <c r="B6" s="3186" t="s">
        <v>1403</v>
      </c>
      <c r="C6" s="1296">
        <f ca="1">ROUND(F6*F8*F7*(1-F9)/10000,0)</f>
        <v>332</v>
      </c>
      <c r="D6" s="162" t="s">
        <v>3033</v>
      </c>
      <c r="E6" s="345" t="s">
        <v>1405</v>
      </c>
      <c r="F6" s="346">
        <f ca="1">INDIRECT("'数据-取费表'!u"&amp;$G$1)</f>
        <v>0.8</v>
      </c>
      <c r="G6" s="1851"/>
      <c r="H6" s="1291" t="s">
        <v>1035</v>
      </c>
      <c r="I6" s="3186" t="s">
        <v>1403</v>
      </c>
      <c r="J6" s="344">
        <f ca="1">ROUND(M6*M8*M7*(1-M9)/10000,0)</f>
        <v>0</v>
      </c>
      <c r="K6" s="162" t="s">
        <v>3032</v>
      </c>
      <c r="L6" s="345" t="s">
        <v>1405</v>
      </c>
      <c r="M6" s="346">
        <f ca="1">INDIRECT("'数据-取费表'!z"&amp;$G$1)</f>
        <v>0</v>
      </c>
    </row>
    <row r="7" spans="1:37" ht="18" customHeight="1">
      <c r="A7" s="1295"/>
      <c r="B7" s="3187"/>
      <c r="C7" s="1297"/>
      <c r="D7" s="350"/>
      <c r="E7" s="2944" t="s">
        <v>1406</v>
      </c>
      <c r="F7" s="346">
        <f ca="1">IF(INDIRECT("'数据-取费表'!ah"&amp;$G$1)="",INDIRECT("'数据-取费表'!k"&amp;$G$1),INDIRECT("'数据-取费表'!ah"&amp;$G$1))</f>
        <v>12648.5</v>
      </c>
      <c r="G7" s="1851"/>
      <c r="H7" s="347"/>
      <c r="I7" s="3187"/>
      <c r="J7" s="349"/>
      <c r="K7" s="350"/>
      <c r="L7" s="345" t="s">
        <v>1406</v>
      </c>
      <c r="M7" s="346">
        <f ca="1">F7</f>
        <v>12648.5</v>
      </c>
    </row>
    <row r="8" spans="1:37" ht="18" customHeight="1">
      <c r="A8" s="347"/>
      <c r="B8" s="3187"/>
      <c r="C8" s="349"/>
      <c r="D8" s="350"/>
      <c r="E8" s="345" t="s">
        <v>1407</v>
      </c>
      <c r="F8" s="346">
        <f ca="1">INDIRECT("'数据-取费表'!ai"&amp;$G$1)</f>
        <v>365</v>
      </c>
      <c r="G8" s="1851"/>
      <c r="H8" s="347"/>
      <c r="I8" s="3187"/>
      <c r="J8" s="349"/>
      <c r="K8" s="350"/>
      <c r="L8" s="345" t="s">
        <v>1407</v>
      </c>
      <c r="M8" s="346">
        <f ca="1">INDIRECT("'数据-取费表'!ai"&amp;$G$1)</f>
        <v>365</v>
      </c>
    </row>
    <row r="9" spans="1:37" ht="18" customHeight="1">
      <c r="A9" s="347"/>
      <c r="B9" s="3188"/>
      <c r="C9" s="349"/>
      <c r="D9" s="350"/>
      <c r="E9" s="345" t="s">
        <v>1408</v>
      </c>
      <c r="F9" s="355">
        <f ca="1">INDIRECT("'数据-取费表'!w"&amp;$G$1)</f>
        <v>0.1</v>
      </c>
      <c r="G9" s="1851"/>
      <c r="H9" s="347"/>
      <c r="I9" s="318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3041</v>
      </c>
      <c r="E10" s="356" t="s">
        <v>1410</v>
      </c>
      <c r="F10" s="1366" t="s">
        <v>3150</v>
      </c>
      <c r="G10" s="1851"/>
      <c r="H10" s="1291" t="s">
        <v>1039</v>
      </c>
      <c r="I10" s="1823" t="s">
        <v>1409</v>
      </c>
      <c r="J10" s="344">
        <f ca="1">ROUND(IF(M10="押一",J6/12*M11,IF(M10="押二",J6/12*2*M11,IF(M10="押三",J6/12*3*M11,J11*M11))),0)</f>
        <v>0</v>
      </c>
      <c r="K10" s="1824" t="s">
        <v>3041</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4537</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4537</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108</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39.5</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38.11</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68.099999999999994</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-108</v>
      </c>
      <c r="K25" s="1345" t="s">
        <v>1464</v>
      </c>
      <c r="L25" s="1346"/>
      <c r="M25" s="1347"/>
    </row>
    <row r="26" spans="1:37">
      <c r="A26" s="1201" t="s">
        <v>1034</v>
      </c>
      <c r="B26" s="345" t="s">
        <v>1465</v>
      </c>
      <c r="C26" s="23">
        <f ca="1">ROUND((C19+C20)*F26,0)</f>
        <v>370</v>
      </c>
      <c r="D26" s="367" t="s">
        <v>1466</v>
      </c>
      <c r="E26" s="356" t="s">
        <v>1467</v>
      </c>
      <c r="F26" s="355">
        <f ca="1">INDIRECT("'数据-取费表'!q"&amp;$G$1)</f>
        <v>0.1</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2E-3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4537</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140</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58.6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17.39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39.840000000000003</v>
      </c>
      <c r="D33" s="1828" t="s">
        <v>3137</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68.099999999999994</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6.8</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6.6</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192</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4329</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3423</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-13125</v>
      </c>
      <c r="D46" s="1872" t="str">
        <f>C2</f>
        <v>万元</v>
      </c>
      <c r="E46" s="1866"/>
      <c r="F46" s="1866"/>
      <c r="I46" s="1873" t="s">
        <v>1521</v>
      </c>
      <c r="J46" s="1874"/>
      <c r="K46" s="1875"/>
      <c r="L46" s="1876">
        <f ca="1">IF(M47="住宅",0,IF(L48&gt;J51,L60,J60))</f>
        <v>44</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3138</v>
      </c>
      <c r="K47" s="1882" t="s">
        <v>1527</v>
      </c>
      <c r="L47" s="1883">
        <f ca="1">INDIRECT("'数据-取费表'!d"&amp;$G$1)</f>
        <v>50</v>
      </c>
      <c r="M47" s="1838" t="str">
        <f>IF(ISNUMBER(FIND("住宅",C1)),"住宅","非住宅")</f>
        <v>非住宅</v>
      </c>
      <c r="O47" s="1884" t="s">
        <v>1040</v>
      </c>
      <c r="P47" s="1885" t="s">
        <v>1528</v>
      </c>
      <c r="Q47" s="1886">
        <f ca="1">C40+J29</f>
        <v>4329</v>
      </c>
      <c r="R47" s="1886" t="s">
        <v>1529</v>
      </c>
    </row>
    <row r="48" spans="1:18" s="1842" customFormat="1" ht="28.5" thickBot="1">
      <c r="A48" s="1360" t="s">
        <v>1135</v>
      </c>
      <c r="B48" s="343" t="s">
        <v>1401</v>
      </c>
      <c r="C48" s="2941">
        <f ca="1">C49+C53+C55</f>
        <v>0</v>
      </c>
      <c r="D48" s="1362"/>
      <c r="E48" s="1363"/>
      <c r="F48" s="1181"/>
      <c r="G48" s="790"/>
      <c r="H48" s="791"/>
      <c r="I48" s="1887" t="s">
        <v>1530</v>
      </c>
      <c r="J48" s="1888" t="s">
        <v>3139</v>
      </c>
      <c r="K48" s="1889" t="s">
        <v>1531</v>
      </c>
      <c r="L48" s="1890">
        <f ca="1">INDIRECT("'数据-取费表'!f"&amp;$G$1)</f>
        <v>45.68</v>
      </c>
      <c r="O48" s="1884" t="s">
        <v>1041</v>
      </c>
      <c r="P48" s="1885" t="s">
        <v>1532</v>
      </c>
      <c r="Q48" s="1886">
        <f ca="1">J60</f>
        <v>44</v>
      </c>
      <c r="R48" s="1886" t="s">
        <v>1533</v>
      </c>
    </row>
    <row r="49" spans="1:18" s="1842" customFormat="1" ht="13.5" thickBot="1">
      <c r="A49" s="1194" t="s">
        <v>1136</v>
      </c>
      <c r="B49" s="1829" t="s">
        <v>1490</v>
      </c>
      <c r="C49" s="1364">
        <f ca="1">ROUND(F49*F51*F50*(1-F52)/10000,0)</f>
        <v>0</v>
      </c>
      <c r="D49" s="1276" t="s">
        <v>3032</v>
      </c>
      <c r="E49" s="1830" t="s">
        <v>1491</v>
      </c>
      <c r="F49" s="1281"/>
      <c r="G49" s="1891"/>
      <c r="H49" s="791"/>
      <c r="I49" s="1887" t="s">
        <v>1534</v>
      </c>
      <c r="J49" s="1892">
        <v>2018</v>
      </c>
      <c r="K49" s="1889" t="s">
        <v>1535</v>
      </c>
      <c r="L49" s="1893"/>
      <c r="O49" s="1894" t="s">
        <v>1042</v>
      </c>
      <c r="P49" s="1885" t="s">
        <v>1536</v>
      </c>
      <c r="Q49" s="1886">
        <f ca="1">C29</f>
        <v>4537</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-3562</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3041</v>
      </c>
      <c r="E53" s="356" t="s">
        <v>1410</v>
      </c>
      <c r="F53" s="1366"/>
      <c r="I53" s="1905" t="s">
        <v>1547</v>
      </c>
      <c r="J53" s="1906">
        <f ca="1">IF(M47="住宅",J51,IF(D1="——",MIN(J51,L48),IF(D1="在建（套用方法）",MIN(J51,L48-'数据-取费表'!B24),IF(D1="土地（套用方法）",MIN(J51,L48-'数据-取费表'!B20)))))</f>
        <v>45.68</v>
      </c>
      <c r="K53" s="3184" t="s">
        <v>1548</v>
      </c>
      <c r="L53" s="3185"/>
      <c r="O53" s="1884" t="s">
        <v>1046</v>
      </c>
      <c r="P53" s="1885" t="s">
        <v>1549</v>
      </c>
      <c r="Q53" s="1886">
        <f ca="1">Q47+Q48</f>
        <v>4373</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4537</v>
      </c>
      <c r="D56" s="1914"/>
      <c r="E56" s="1915"/>
      <c r="F56" s="1907"/>
      <c r="I56" s="1916" t="s">
        <v>1554</v>
      </c>
      <c r="J56" s="1917" t="s">
        <v>3140</v>
      </c>
      <c r="K56" s="1887" t="s">
        <v>1555</v>
      </c>
      <c r="L56" s="1890" t="str">
        <f ca="1">IF(L48&lt;J51,"——",L48-J53)</f>
        <v>——</v>
      </c>
      <c r="O56" s="1884" t="s">
        <v>1040</v>
      </c>
      <c r="P56" s="1885" t="s">
        <v>1528</v>
      </c>
      <c r="Q56" s="1886">
        <f ca="1">C40+J29</f>
        <v>4329</v>
      </c>
      <c r="R56" s="1886" t="s">
        <v>1529</v>
      </c>
    </row>
    <row r="57" spans="1:18" s="1842" customFormat="1" ht="24.75" thickBot="1">
      <c r="A57" s="1918"/>
      <c r="B57" s="1169" t="s">
        <v>1478</v>
      </c>
      <c r="C57" s="280">
        <f ca="1">C29</f>
        <v>4537</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457</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382.5</v>
      </c>
      <c r="D59" s="1182" t="s">
        <v>1430</v>
      </c>
      <c r="E59" s="1183" t="s">
        <v>1431</v>
      </c>
      <c r="F59" s="366" t="str">
        <f ca="1">IF(项目基本情况!B11="企业","",IF(INDIRECT("'数据-取费表'!c"&amp;$G$1)="住宅",5%,IF(F49*F50*F51/12/(1+'数据-取费表'!C42)&gt;20000,12%,7%)))</f>
        <v/>
      </c>
      <c r="I59" s="1922" t="s">
        <v>1563</v>
      </c>
      <c r="J59" s="1923">
        <f ca="1">IF(OR(M47="住宅",J51&lt;L48,J56="是"),"——",ROUND(C29*J58,0))</f>
        <v>1815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44</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381.11</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4329</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68.099999999999994</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6.8</v>
      </c>
      <c r="D65" s="1183" t="s">
        <v>1454</v>
      </c>
      <c r="E65" s="1169" t="s">
        <v>1422</v>
      </c>
      <c r="F65" s="374">
        <f t="shared" ca="1" si="0"/>
        <v>1.5E-3</v>
      </c>
      <c r="I65" s="1929" t="s">
        <v>1579</v>
      </c>
      <c r="J65" s="1930">
        <v>40</v>
      </c>
      <c r="K65" s="1930">
        <v>30</v>
      </c>
      <c r="L65" s="1930">
        <v>50</v>
      </c>
      <c r="M65" s="1932">
        <v>0.02</v>
      </c>
      <c r="O65" s="1884" t="s">
        <v>1040</v>
      </c>
      <c r="P65" s="1885" t="s">
        <v>1528</v>
      </c>
      <c r="Q65" s="1886">
        <f ca="1">C40+J29</f>
        <v>4329</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-457</v>
      </c>
      <c r="D67" s="1182" t="s">
        <v>1464</v>
      </c>
      <c r="E67" s="1187"/>
      <c r="F67" s="1188"/>
      <c r="O67" s="1894" t="s">
        <v>1042</v>
      </c>
      <c r="P67" s="1885" t="s">
        <v>1562</v>
      </c>
      <c r="Q67" s="1933">
        <f ca="1">L51</f>
        <v>-3562</v>
      </c>
      <c r="R67" s="1886" t="s">
        <v>1582</v>
      </c>
    </row>
    <row r="68" spans="1:18" s="1842" customFormat="1" ht="16.5" thickBot="1">
      <c r="A68" s="1166" t="s">
        <v>1032</v>
      </c>
      <c r="B68" s="1167" t="s">
        <v>1485</v>
      </c>
      <c r="C68" s="344">
        <f ca="1">ROUND(C67*(1-((1+F70)/(1+F68))^F69)/(F68-F70),0)</f>
        <v>-8796</v>
      </c>
      <c r="D68" s="1184" t="s">
        <v>1469</v>
      </c>
      <c r="E68" s="1169" t="s">
        <v>1470</v>
      </c>
      <c r="F68" s="355">
        <f ca="1">F40</f>
        <v>4.4999999999999998E-2</v>
      </c>
      <c r="O68" s="1894" t="s">
        <v>1043</v>
      </c>
      <c r="P68" s="1934" t="s">
        <v>1583</v>
      </c>
      <c r="Q68" s="1886">
        <f ca="1">ROUND(Q69-Q70*Q71,0)</f>
        <v>-171</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192</v>
      </c>
      <c r="R69" s="1886" t="s">
        <v>1529</v>
      </c>
    </row>
    <row r="70" spans="1:18" s="1842" customFormat="1" ht="13.5" thickBot="1">
      <c r="A70" s="1173"/>
      <c r="B70" s="1174"/>
      <c r="C70" s="353"/>
      <c r="D70" s="1185"/>
      <c r="E70" s="1169" t="s">
        <v>1477</v>
      </c>
      <c r="F70" s="1275"/>
      <c r="O70" s="1894" t="s">
        <v>1049</v>
      </c>
      <c r="P70" s="1934" t="s">
        <v>1585</v>
      </c>
      <c r="Q70" s="1886">
        <f ca="1">C13</f>
        <v>4537</v>
      </c>
      <c r="R70" s="1886" t="s">
        <v>1529</v>
      </c>
    </row>
    <row r="71" spans="1:18" s="1842" customFormat="1" ht="13.5" thickBot="1">
      <c r="A71" s="1190" t="s">
        <v>1033</v>
      </c>
      <c r="B71" s="1191" t="s">
        <v>1487</v>
      </c>
      <c r="C71" s="380">
        <f ca="1">ROUND(C68*10000/F71,0)</f>
        <v>-6954</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363</v>
      </c>
      <c r="D75" s="1842"/>
      <c r="E75" s="1842"/>
      <c r="F75" s="1842"/>
      <c r="K75" s="1868"/>
      <c r="L75" s="1842"/>
      <c r="O75" s="1884" t="s">
        <v>1046</v>
      </c>
      <c r="P75" s="1885" t="s">
        <v>1549</v>
      </c>
      <c r="Q75" s="1886">
        <f ca="1">Q65+Q66</f>
        <v>4329</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-0.89100000000000001</v>
      </c>
    </row>
    <row r="80" spans="1:18">
      <c r="B80" s="384" t="s">
        <v>1511</v>
      </c>
      <c r="C80" s="316">
        <f ca="1">ROUND(C75/C39,3)</f>
        <v>1.891</v>
      </c>
    </row>
    <row r="81" spans="2:3">
      <c r="B81" s="312" t="s">
        <v>1512</v>
      </c>
      <c r="C81" s="280"/>
    </row>
    <row r="82" spans="2:3">
      <c r="B82" s="315" t="s">
        <v>1513</v>
      </c>
      <c r="C82" s="317">
        <f ca="1">1-C83</f>
        <v>-4.8000000000000043E-2</v>
      </c>
    </row>
    <row r="83" spans="2:3">
      <c r="B83" s="315" t="s">
        <v>1514</v>
      </c>
      <c r="C83" s="316">
        <f ca="1">ROUND(C13/C40,3)</f>
        <v>1.048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186" t="s">
        <v>1403</v>
      </c>
      <c r="C6" s="1296">
        <f ca="1">ROUND(F6*F8*F7*(1-F9),0)</f>
        <v>0</v>
      </c>
      <c r="D6" s="162" t="s">
        <v>3030</v>
      </c>
      <c r="E6" s="345" t="s">
        <v>1405</v>
      </c>
      <c r="F6" s="346">
        <f ca="1">INDIRECT("'数据-取费表'!u"&amp;$G$1)</f>
        <v>0</v>
      </c>
      <c r="G6" s="1851"/>
      <c r="H6" s="1291" t="s">
        <v>1035</v>
      </c>
      <c r="I6" s="3186" t="s">
        <v>1403</v>
      </c>
      <c r="J6" s="344">
        <f ca="1">ROUND(M6*M8*M7*(1-M9),0)</f>
        <v>0</v>
      </c>
      <c r="K6" s="1834" t="s">
        <v>3031</v>
      </c>
      <c r="L6" s="345" t="s">
        <v>1405</v>
      </c>
      <c r="M6" s="346">
        <f ca="1">INDIRECT("'数据-取费表'!z"&amp;$G$1)</f>
        <v>0</v>
      </c>
    </row>
    <row r="7" spans="1:37" ht="18" customHeight="1">
      <c r="A7" s="1295"/>
      <c r="B7" s="3187"/>
      <c r="C7" s="1297"/>
      <c r="D7" s="350"/>
      <c r="E7" s="1298" t="s">
        <v>1406</v>
      </c>
      <c r="F7" s="346">
        <f ca="1">IF(INDIRECT("'数据-取费表'!ah"&amp;$G$1)="",INDIRECT("'数据-取费表'!k"&amp;$G$1),INDIRECT("'数据-取费表'!ah"&amp;$G$1))</f>
        <v>0</v>
      </c>
      <c r="G7" s="1851"/>
      <c r="H7" s="347"/>
      <c r="I7" s="3187"/>
      <c r="J7" s="349"/>
      <c r="K7" s="350"/>
      <c r="L7" s="345" t="s">
        <v>1406</v>
      </c>
      <c r="M7" s="346">
        <f ca="1">F7</f>
        <v>0</v>
      </c>
    </row>
    <row r="8" spans="1:37" ht="18" customHeight="1">
      <c r="A8" s="347"/>
      <c r="B8" s="3187"/>
      <c r="C8" s="349"/>
      <c r="D8" s="350"/>
      <c r="E8" s="345" t="s">
        <v>1407</v>
      </c>
      <c r="F8" s="346">
        <f ca="1">INDIRECT("'数据-取费表'!ai"&amp;$G$1)</f>
        <v>0</v>
      </c>
      <c r="G8" s="1851"/>
      <c r="H8" s="347"/>
      <c r="I8" s="3187"/>
      <c r="J8" s="349"/>
      <c r="K8" s="350"/>
      <c r="L8" s="345" t="s">
        <v>1407</v>
      </c>
      <c r="M8" s="346">
        <f ca="1">INDIRECT("'数据-取费表'!ai"&amp;$G$1)</f>
        <v>0</v>
      </c>
    </row>
    <row r="9" spans="1:37" ht="18" customHeight="1">
      <c r="A9" s="347"/>
      <c r="B9" s="3188"/>
      <c r="C9" s="349"/>
      <c r="D9" s="350"/>
      <c r="E9" s="345" t="s">
        <v>1408</v>
      </c>
      <c r="F9" s="355">
        <f ca="1">INDIRECT("'数据-取费表'!w"&amp;$G$1)</f>
        <v>0</v>
      </c>
      <c r="G9" s="1851"/>
      <c r="H9" s="347"/>
      <c r="I9" s="318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3041</v>
      </c>
      <c r="E10" s="356" t="s">
        <v>1410</v>
      </c>
      <c r="F10" s="1366"/>
      <c r="G10" s="1851"/>
      <c r="H10" s="1291" t="s">
        <v>1039</v>
      </c>
      <c r="I10" s="1823" t="s">
        <v>1409</v>
      </c>
      <c r="J10" s="344">
        <f ca="1">ROUND(IF(M10="押一",J6/12*M11,IF(M10="押二",J6/12*2*M11,IF(M10="押三",J6/12*3*M11,J11*M11))),0)</f>
        <v>0</v>
      </c>
      <c r="K10" s="1835" t="s">
        <v>3043</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3044</v>
      </c>
      <c r="E53" s="356" t="s">
        <v>1410</v>
      </c>
      <c r="F53" s="1366"/>
      <c r="I53" s="1905" t="s">
        <v>1547</v>
      </c>
      <c r="J53" s="1906" t="b">
        <f>IF(M47="住宅",J51,IF(D1="——",MIN(J51,L48),IF(D1="在建（套用方法）",MIN(J51,L48-'数据-取费表'!B24),IF(D1="土地（套用方法）",MIN(J51,L48-'数据-取费表'!B20)))))</f>
        <v>0</v>
      </c>
      <c r="K53" s="3184" t="s">
        <v>1548</v>
      </c>
      <c r="L53" s="3185"/>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37312</v>
      </c>
      <c r="C2" s="2565" t="s">
        <v>2519</v>
      </c>
      <c r="D2" s="2566" t="s">
        <v>2520</v>
      </c>
      <c r="E2" s="2567">
        <f>SUM(E6:E13)</f>
        <v>72534.44</v>
      </c>
    </row>
    <row r="3" spans="1:6" ht="15.75">
      <c r="A3" s="2563" t="s">
        <v>1395</v>
      </c>
      <c r="B3" s="2564">
        <f ca="1">ROUND(B2*10000/E2,0)</f>
        <v>5144</v>
      </c>
      <c r="C3" s="2565" t="s">
        <v>2527</v>
      </c>
      <c r="D3" s="2568"/>
      <c r="E3" s="2569"/>
    </row>
    <row r="4" spans="1:6" ht="15.75">
      <c r="A4" s="2570"/>
      <c r="B4" s="2568"/>
      <c r="C4" s="2568"/>
      <c r="D4" s="2568"/>
      <c r="E4" s="2569"/>
    </row>
    <row r="5" spans="1:6" ht="15">
      <c r="A5" s="2571" t="s">
        <v>2521</v>
      </c>
      <c r="B5" s="3189" t="s">
        <v>2522</v>
      </c>
      <c r="C5" s="3189"/>
      <c r="D5" s="2572"/>
      <c r="E5" s="2573" t="s">
        <v>2523</v>
      </c>
      <c r="F5" s="2574" t="s">
        <v>2524</v>
      </c>
    </row>
    <row r="6" spans="1:6">
      <c r="A6" s="2575" t="str">
        <f>'数据-取费表'!AN6</f>
        <v>收益法</v>
      </c>
      <c r="B6" s="2574">
        <f ca="1">IF(F6="是",'数据-取费表'!AO6,0)</f>
        <v>29648</v>
      </c>
      <c r="C6" s="2565" t="s">
        <v>2519</v>
      </c>
      <c r="D6" s="2568"/>
      <c r="E6" s="2576">
        <f>IF(OR(A6=0,F6="否"),0,'数据-取费表'!K6+'数据-取费表'!S6)</f>
        <v>46566.36</v>
      </c>
      <c r="F6" s="2577" t="s">
        <v>2525</v>
      </c>
    </row>
    <row r="7" spans="1:6">
      <c r="A7" s="2575" t="str">
        <f>'数据-取费表'!AN7</f>
        <v>收益法地下厂房</v>
      </c>
      <c r="B7" s="2574">
        <f ca="1">IF(F7="是",'数据-取费表'!AO7,0)</f>
        <v>3291</v>
      </c>
      <c r="C7" s="2565" t="s">
        <v>2519</v>
      </c>
      <c r="D7" s="2568"/>
      <c r="E7" s="2576">
        <f>IF(OR(A7=0,F7="否"),0,'数据-取费表'!K7+'数据-取费表'!S7)</f>
        <v>10285.27</v>
      </c>
      <c r="F7" s="2577" t="s">
        <v>2525</v>
      </c>
    </row>
    <row r="8" spans="1:6">
      <c r="A8" s="2575" t="str">
        <f>'数据-取费表'!AN8</f>
        <v>收益法地下车库</v>
      </c>
      <c r="B8" s="2574">
        <f ca="1">IF(F8="是",'数据-取费表'!AO8,0)</f>
        <v>4373</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1076</v>
      </c>
      <c r="B1" s="3191"/>
      <c r="C1" s="3192"/>
      <c r="D1" s="3193">
        <f>SUM(I10,I15,I20,I21,I23)</f>
        <v>0</v>
      </c>
      <c r="E1" s="3193"/>
      <c r="F1" s="3193"/>
      <c r="G1" s="3193"/>
      <c r="H1" s="3193"/>
      <c r="I1" s="3194"/>
    </row>
    <row r="2" spans="1:9">
      <c r="A2" s="3195" t="s">
        <v>1077</v>
      </c>
      <c r="B2" s="3196" t="s">
        <v>1078</v>
      </c>
      <c r="C2" s="3196"/>
      <c r="D2" s="1301" t="s">
        <v>1079</v>
      </c>
      <c r="E2" s="1301" t="s">
        <v>1080</v>
      </c>
      <c r="F2" s="1301" t="s">
        <v>1081</v>
      </c>
      <c r="G2" s="1301" t="s">
        <v>1082</v>
      </c>
      <c r="H2" s="1301" t="s">
        <v>1083</v>
      </c>
      <c r="I2" s="1302" t="s">
        <v>1084</v>
      </c>
    </row>
    <row r="3" spans="1:9">
      <c r="A3" s="3195"/>
      <c r="B3" s="3196" t="s">
        <v>1085</v>
      </c>
      <c r="C3" s="3196"/>
      <c r="D3" s="1303"/>
      <c r="E3" s="1301"/>
      <c r="F3" s="1304"/>
      <c r="G3" s="1304"/>
      <c r="H3" s="1305"/>
      <c r="I3" s="1306">
        <f>ROUND(D3*E3*F3*G3*H3/10000,0)</f>
        <v>0</v>
      </c>
    </row>
    <row r="4" spans="1:9">
      <c r="A4" s="3195"/>
      <c r="B4" s="3196" t="s">
        <v>1086</v>
      </c>
      <c r="C4" s="3196"/>
      <c r="D4" s="1303"/>
      <c r="E4" s="1301"/>
      <c r="F4" s="1304"/>
      <c r="G4" s="1304"/>
      <c r="H4" s="1305"/>
      <c r="I4" s="1306">
        <f t="shared" ref="I4:I9" si="0">ROUND(D4*E4*F4*G4*H4/10000,0)</f>
        <v>0</v>
      </c>
    </row>
    <row r="5" spans="1:9">
      <c r="A5" s="3195"/>
      <c r="B5" s="3196" t="s">
        <v>1087</v>
      </c>
      <c r="C5" s="3196"/>
      <c r="D5" s="1303"/>
      <c r="E5" s="1301"/>
      <c r="F5" s="1304"/>
      <c r="G5" s="1304"/>
      <c r="H5" s="1305"/>
      <c r="I5" s="1306">
        <f t="shared" si="0"/>
        <v>0</v>
      </c>
    </row>
    <row r="6" spans="1:9">
      <c r="A6" s="3195"/>
      <c r="B6" s="3196" t="s">
        <v>1088</v>
      </c>
      <c r="C6" s="3196"/>
      <c r="D6" s="1303"/>
      <c r="E6" s="1301"/>
      <c r="F6" s="1304"/>
      <c r="G6" s="1304"/>
      <c r="H6" s="1305"/>
      <c r="I6" s="1306">
        <f t="shared" si="0"/>
        <v>0</v>
      </c>
    </row>
    <row r="7" spans="1:9">
      <c r="A7" s="3195"/>
      <c r="B7" s="3196" t="s">
        <v>1089</v>
      </c>
      <c r="C7" s="3196"/>
      <c r="D7" s="1303"/>
      <c r="E7" s="1301"/>
      <c r="F7" s="1304"/>
      <c r="G7" s="1304"/>
      <c r="H7" s="1305"/>
      <c r="I7" s="1306">
        <f t="shared" si="0"/>
        <v>0</v>
      </c>
    </row>
    <row r="8" spans="1:9">
      <c r="A8" s="3195"/>
      <c r="B8" s="3196" t="s">
        <v>1090</v>
      </c>
      <c r="C8" s="3196"/>
      <c r="D8" s="1303"/>
      <c r="E8" s="1301"/>
      <c r="F8" s="1304"/>
      <c r="G8" s="1304"/>
      <c r="H8" s="1305"/>
      <c r="I8" s="1306">
        <f t="shared" si="0"/>
        <v>0</v>
      </c>
    </row>
    <row r="9" spans="1:9">
      <c r="A9" s="3195"/>
      <c r="B9" s="3196" t="s">
        <v>1091</v>
      </c>
      <c r="C9" s="3196"/>
      <c r="D9" s="1303"/>
      <c r="E9" s="1301"/>
      <c r="F9" s="1304"/>
      <c r="G9" s="1304"/>
      <c r="H9" s="1305"/>
      <c r="I9" s="1306">
        <f t="shared" si="0"/>
        <v>0</v>
      </c>
    </row>
    <row r="10" spans="1:9">
      <c r="A10" s="3195"/>
      <c r="B10" s="3197" t="s">
        <v>1092</v>
      </c>
      <c r="C10" s="3197"/>
      <c r="D10" s="1307"/>
      <c r="E10" s="1307" t="e">
        <f>ROUND(D1*10000/D10/H9,0)</f>
        <v>#DIV/0!</v>
      </c>
      <c r="F10" s="1308"/>
      <c r="G10" s="1308"/>
      <c r="H10" s="1309"/>
      <c r="I10" s="1310">
        <f>SUM(I3:I9)</f>
        <v>0</v>
      </c>
    </row>
    <row r="11" spans="1:9" ht="14.25">
      <c r="A11" s="3195" t="s">
        <v>1093</v>
      </c>
      <c r="B11" s="3196" t="s">
        <v>1094</v>
      </c>
      <c r="C11" s="3196"/>
      <c r="D11" s="1303" t="s">
        <v>1095</v>
      </c>
      <c r="E11" s="1303" t="s">
        <v>1096</v>
      </c>
      <c r="F11" s="1304" t="s">
        <v>1097</v>
      </c>
      <c r="G11" s="1304" t="s">
        <v>1083</v>
      </c>
      <c r="H11" s="1311" t="s">
        <v>1098</v>
      </c>
      <c r="I11" s="1302" t="s">
        <v>1084</v>
      </c>
    </row>
    <row r="12" spans="1:9">
      <c r="A12" s="3195"/>
      <c r="B12" s="3196" t="s">
        <v>1099</v>
      </c>
      <c r="C12" s="3196"/>
      <c r="D12" s="1303"/>
      <c r="E12" s="1303"/>
      <c r="F12" s="1304"/>
      <c r="G12" s="1305"/>
      <c r="H12" s="1312"/>
      <c r="I12" s="1302">
        <f>ROUND(D12*E12*F12*G12/10000,0)</f>
        <v>0</v>
      </c>
    </row>
    <row r="13" spans="1:9">
      <c r="A13" s="3195"/>
      <c r="B13" s="3196" t="s">
        <v>1100</v>
      </c>
      <c r="C13" s="3196"/>
      <c r="D13" s="1303"/>
      <c r="E13" s="1303"/>
      <c r="F13" s="1304"/>
      <c r="G13" s="1305"/>
      <c r="H13" s="1312"/>
      <c r="I13" s="1302">
        <f>ROUND(D13*E13*F13*G13/10000,0)</f>
        <v>0</v>
      </c>
    </row>
    <row r="14" spans="1:9">
      <c r="A14" s="3195"/>
      <c r="B14" s="3196" t="s">
        <v>1101</v>
      </c>
      <c r="C14" s="3196"/>
      <c r="D14" s="1303"/>
      <c r="E14" s="1303"/>
      <c r="F14" s="1304"/>
      <c r="G14" s="1305"/>
      <c r="H14" s="1312"/>
      <c r="I14" s="1302">
        <f>ROUND(D14*E14*F14*G14/10000,0)</f>
        <v>0</v>
      </c>
    </row>
    <row r="15" spans="1:9">
      <c r="A15" s="3195"/>
      <c r="B15" s="3197" t="s">
        <v>1092</v>
      </c>
      <c r="C15" s="3197"/>
      <c r="D15" s="1307"/>
      <c r="E15" s="1307">
        <f>SUM(E12:E14)</f>
        <v>0</v>
      </c>
      <c r="F15" s="1308"/>
      <c r="G15" s="1305"/>
      <c r="H15" s="1312"/>
      <c r="I15" s="1313">
        <f>SUM(I12:I14)</f>
        <v>0</v>
      </c>
    </row>
    <row r="16" spans="1:9" ht="24">
      <c r="A16" s="3195" t="s">
        <v>1102</v>
      </c>
      <c r="B16" s="3196" t="s">
        <v>1103</v>
      </c>
      <c r="C16" s="3196"/>
      <c r="D16" s="1303" t="s">
        <v>1079</v>
      </c>
      <c r="E16" s="1314" t="s">
        <v>1104</v>
      </c>
      <c r="F16" s="1304" t="s">
        <v>1105</v>
      </c>
      <c r="G16" s="1305" t="s">
        <v>1083</v>
      </c>
      <c r="H16" s="1311" t="s">
        <v>1098</v>
      </c>
      <c r="I16" s="1302" t="s">
        <v>1084</v>
      </c>
    </row>
    <row r="17" spans="1:9" ht="14.25">
      <c r="A17" s="3195"/>
      <c r="B17" s="3196" t="s">
        <v>1106</v>
      </c>
      <c r="C17" s="3196"/>
      <c r="D17" s="1303"/>
      <c r="E17" s="1303"/>
      <c r="F17" s="1304"/>
      <c r="G17" s="1305"/>
      <c r="H17" s="1315"/>
      <c r="I17" s="1316">
        <f>ROUND(D17*E17*F17*G17/10000,0)</f>
        <v>0</v>
      </c>
    </row>
    <row r="18" spans="1:9" ht="14.25">
      <c r="A18" s="3195"/>
      <c r="B18" s="3196" t="s">
        <v>1107</v>
      </c>
      <c r="C18" s="3196"/>
      <c r="D18" s="1303"/>
      <c r="E18" s="1303"/>
      <c r="F18" s="1304"/>
      <c r="G18" s="1305"/>
      <c r="H18" s="1315"/>
      <c r="I18" s="1316">
        <f>ROUND(D18*E18*F18*G18/10000,0)</f>
        <v>0</v>
      </c>
    </row>
    <row r="19" spans="1:9" ht="14.25">
      <c r="A19" s="3195"/>
      <c r="B19" s="3196" t="s">
        <v>1108</v>
      </c>
      <c r="C19" s="3196"/>
      <c r="D19" s="1303"/>
      <c r="E19" s="1303"/>
      <c r="F19" s="1304"/>
      <c r="G19" s="1305"/>
      <c r="H19" s="1315"/>
      <c r="I19" s="1316">
        <f>ROUND(D19*E19*F19*G19/10000,0)</f>
        <v>0</v>
      </c>
    </row>
    <row r="20" spans="1:9">
      <c r="A20" s="3195"/>
      <c r="B20" s="3197" t="s">
        <v>1092</v>
      </c>
      <c r="C20" s="3197"/>
      <c r="D20" s="1307">
        <f>SUM(D17:D19)</f>
        <v>0</v>
      </c>
      <c r="E20" s="1307"/>
      <c r="F20" s="1308"/>
      <c r="G20" s="1305"/>
      <c r="H20" s="1312"/>
      <c r="I20" s="1313">
        <f>SUM(I17:I19)</f>
        <v>0</v>
      </c>
    </row>
    <row r="21" spans="1:9">
      <c r="A21" s="3195" t="s">
        <v>1109</v>
      </c>
      <c r="B21" s="3199"/>
      <c r="C21" s="3199"/>
      <c r="D21" s="3199"/>
      <c r="E21" s="3199"/>
      <c r="F21" s="3199"/>
      <c r="G21" s="3199"/>
      <c r="H21" s="1765">
        <v>0.1</v>
      </c>
      <c r="I21" s="1310">
        <f>ROUND(I10*H21,0)</f>
        <v>0</v>
      </c>
    </row>
    <row r="22" spans="1:9" ht="14.25">
      <c r="A22" s="3200" t="s">
        <v>1110</v>
      </c>
      <c r="B22" s="3201"/>
      <c r="C22" s="3202"/>
      <c r="D22" s="1317" t="s">
        <v>1111</v>
      </c>
      <c r="E22" s="1317" t="s">
        <v>1112</v>
      </c>
      <c r="F22" s="1318" t="s">
        <v>1113</v>
      </c>
      <c r="G22" s="1318" t="s">
        <v>1114</v>
      </c>
      <c r="H22" s="1311" t="s">
        <v>1115</v>
      </c>
      <c r="I22" s="1302" t="s">
        <v>1116</v>
      </c>
    </row>
    <row r="23" spans="1:9" ht="14.25" thickBot="1">
      <c r="A23" s="3203"/>
      <c r="B23" s="3204"/>
      <c r="C23" s="3205"/>
      <c r="D23" s="1319"/>
      <c r="E23" s="1319"/>
      <c r="F23" s="1319"/>
      <c r="G23" s="1320"/>
      <c r="H23" s="1321"/>
      <c r="I23" s="1322">
        <f>ROUND(E23*D23*F23*(1-G23)/10000,0)</f>
        <v>0</v>
      </c>
    </row>
    <row r="26" spans="1:9">
      <c r="A26" s="1323" t="s">
        <v>1117</v>
      </c>
      <c r="B26" s="1323"/>
      <c r="C26" s="1323"/>
      <c r="D26" s="1323"/>
      <c r="E26" s="3206">
        <f>C27-C30-C31-C32</f>
        <v>0</v>
      </c>
      <c r="F26" s="3206"/>
      <c r="G26" s="3206"/>
      <c r="H26" s="1737" t="s">
        <v>1340</v>
      </c>
    </row>
    <row r="27" spans="1:9">
      <c r="A27" s="1324">
        <v>1</v>
      </c>
      <c r="B27" s="1325" t="s">
        <v>1118</v>
      </c>
      <c r="C27" s="1325">
        <f>C28+C29</f>
        <v>0</v>
      </c>
      <c r="D27" s="1325"/>
      <c r="E27" s="3207"/>
      <c r="F27" s="3207"/>
      <c r="G27" s="3207"/>
    </row>
    <row r="28" spans="1:9">
      <c r="A28" s="1326" t="s">
        <v>1119</v>
      </c>
      <c r="B28" s="1325" t="s">
        <v>1120</v>
      </c>
      <c r="C28" s="1325"/>
      <c r="D28" s="1325"/>
      <c r="E28" s="3207"/>
      <c r="F28" s="3207"/>
      <c r="G28" s="320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8"/>
      <c r="F32" s="3198"/>
      <c r="G32" s="3198"/>
    </row>
    <row r="33" spans="1:7" hidden="1">
      <c r="A33" s="3208" t="s">
        <v>1129</v>
      </c>
      <c r="B33" s="3209"/>
      <c r="C33" s="3209"/>
      <c r="D33" s="3210"/>
      <c r="E33" s="3206"/>
      <c r="F33" s="3206"/>
      <c r="G33" s="3206"/>
    </row>
    <row r="34" spans="1:7" hidden="1">
      <c r="A34" s="1328">
        <v>1</v>
      </c>
      <c r="B34" s="1325" t="s">
        <v>1130</v>
      </c>
      <c r="C34" s="1325"/>
      <c r="D34" s="1325"/>
      <c r="E34" s="3207"/>
      <c r="F34" s="3207"/>
      <c r="G34" s="3207"/>
    </row>
    <row r="35" spans="1:7" hidden="1">
      <c r="A35" s="1328">
        <v>2</v>
      </c>
      <c r="B35" s="1325" t="s">
        <v>1131</v>
      </c>
      <c r="C35" s="1325"/>
      <c r="D35" s="1325"/>
      <c r="E35" s="3207"/>
      <c r="F35" s="3207"/>
      <c r="G35" s="3207"/>
    </row>
    <row r="36" spans="1:7" hidden="1">
      <c r="A36" s="1328">
        <v>3</v>
      </c>
      <c r="B36" s="1325" t="s">
        <v>1132</v>
      </c>
      <c r="C36" s="1325"/>
      <c r="D36" s="1325"/>
      <c r="E36" s="3207"/>
      <c r="F36" s="3207"/>
      <c r="G36" s="3207"/>
    </row>
    <row r="37" spans="1:7" hidden="1">
      <c r="A37" s="1328">
        <v>4</v>
      </c>
      <c r="B37" s="1325" t="s">
        <v>1133</v>
      </c>
      <c r="C37" s="1325"/>
      <c r="D37" s="1325"/>
      <c r="E37" s="3207"/>
      <c r="F37" s="3207"/>
      <c r="G37" s="3207"/>
    </row>
    <row r="38" spans="1:7" hidden="1">
      <c r="A38" s="3208" t="s">
        <v>1134</v>
      </c>
      <c r="B38" s="3209"/>
      <c r="C38" s="3209"/>
      <c r="D38" s="3210"/>
      <c r="E38" s="3206"/>
      <c r="F38" s="3206"/>
      <c r="G38" s="32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229" t="s">
        <v>2536</v>
      </c>
      <c r="D4" s="3230"/>
      <c r="E4" s="3231" t="s">
        <v>2537</v>
      </c>
      <c r="F4" s="3232"/>
      <c r="G4" s="3229" t="s">
        <v>2538</v>
      </c>
      <c r="H4" s="3230"/>
      <c r="I4" s="3229" t="s">
        <v>2539</v>
      </c>
      <c r="J4" s="3230"/>
      <c r="K4" s="2595" t="s">
        <v>2540</v>
      </c>
      <c r="L4" s="1130"/>
      <c r="M4" s="1131"/>
      <c r="N4" s="1131"/>
      <c r="O4" s="1131"/>
      <c r="P4" s="3233" t="s">
        <v>2541</v>
      </c>
      <c r="Q4" s="3234"/>
      <c r="R4" s="3216" t="s">
        <v>2537</v>
      </c>
      <c r="S4" s="3217"/>
      <c r="T4" s="3216" t="s">
        <v>2538</v>
      </c>
      <c r="U4" s="3217"/>
      <c r="V4" s="3241" t="s">
        <v>2539</v>
      </c>
      <c r="W4" s="3241"/>
      <c r="X4" s="1813"/>
      <c r="Y4" s="3216" t="s">
        <v>2541</v>
      </c>
      <c r="Z4" s="3217"/>
      <c r="AA4" s="3211" t="s">
        <v>2537</v>
      </c>
      <c r="AB4" s="3211" t="s">
        <v>2538</v>
      </c>
      <c r="AC4" s="3211" t="s">
        <v>2539</v>
      </c>
    </row>
    <row r="5" spans="1:29" ht="15">
      <c r="A5" s="402"/>
      <c r="B5" s="403"/>
      <c r="C5" s="3222" t="s">
        <v>2542</v>
      </c>
      <c r="D5" s="3223"/>
      <c r="E5" s="3220" t="s">
        <v>2543</v>
      </c>
      <c r="F5" s="3221"/>
      <c r="G5" s="3222" t="s">
        <v>2544</v>
      </c>
      <c r="H5" s="3223"/>
      <c r="I5" s="3222" t="s">
        <v>2545</v>
      </c>
      <c r="J5" s="3223"/>
      <c r="K5" s="2596"/>
      <c r="L5" s="1130"/>
      <c r="M5" s="1131"/>
      <c r="N5" s="1131"/>
      <c r="O5" s="1131"/>
      <c r="P5" s="3235"/>
      <c r="Q5" s="3236"/>
      <c r="R5" s="3218"/>
      <c r="S5" s="3219"/>
      <c r="T5" s="3218"/>
      <c r="U5" s="3219"/>
      <c r="V5" s="3241"/>
      <c r="W5" s="3241"/>
      <c r="X5" s="1813"/>
      <c r="Y5" s="3218"/>
      <c r="Z5" s="3219"/>
      <c r="AA5" s="3212"/>
      <c r="AB5" s="3212"/>
      <c r="AC5" s="3212"/>
    </row>
    <row r="6" spans="1:29" ht="15.75" thickBot="1">
      <c r="A6" s="404"/>
      <c r="B6" s="405"/>
      <c r="C6" s="3224" t="s">
        <v>2546</v>
      </c>
      <c r="D6" s="3225"/>
      <c r="E6" s="3226" t="s">
        <v>2546</v>
      </c>
      <c r="F6" s="3227"/>
      <c r="G6" s="3224" t="s">
        <v>2546</v>
      </c>
      <c r="H6" s="3225"/>
      <c r="I6" s="3224" t="s">
        <v>2546</v>
      </c>
      <c r="J6" s="3225"/>
      <c r="K6" s="2596" t="s">
        <v>2547</v>
      </c>
      <c r="L6" s="1130"/>
      <c r="M6" s="1131"/>
      <c r="N6" s="1131"/>
      <c r="O6" s="1131"/>
      <c r="P6" s="3237"/>
      <c r="Q6" s="3238"/>
      <c r="R6" s="3218"/>
      <c r="S6" s="3219"/>
      <c r="T6" s="3239"/>
      <c r="U6" s="3240"/>
      <c r="V6" s="3241"/>
      <c r="W6" s="3241"/>
      <c r="X6" s="1813"/>
      <c r="Y6" s="3239"/>
      <c r="Z6" s="3240"/>
      <c r="AA6" s="3213"/>
      <c r="AB6" s="3213"/>
      <c r="AC6" s="3213"/>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214" t="s">
        <v>2549</v>
      </c>
      <c r="Q7" s="3242"/>
      <c r="R7" s="768" t="s">
        <v>23</v>
      </c>
      <c r="S7" s="769">
        <f t="shared" ref="S7:S15" si="0">F7</f>
        <v>0</v>
      </c>
      <c r="T7" s="768" t="s">
        <v>23</v>
      </c>
      <c r="U7" s="769">
        <f t="shared" ref="U7:U15" si="1">H7</f>
        <v>0</v>
      </c>
      <c r="V7" s="768" t="s">
        <v>23</v>
      </c>
      <c r="W7" s="769">
        <f t="shared" ref="W7:W15" si="2">J7</f>
        <v>0</v>
      </c>
      <c r="X7" s="770"/>
      <c r="Y7" s="3214" t="s">
        <v>2549</v>
      </c>
      <c r="Z7" s="3215"/>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214" t="s">
        <v>2552</v>
      </c>
      <c r="Q8" s="3215"/>
      <c r="R8" s="768" t="s">
        <v>23</v>
      </c>
      <c r="S8" s="769">
        <f t="shared" si="0"/>
        <v>0</v>
      </c>
      <c r="T8" s="768" t="s">
        <v>23</v>
      </c>
      <c r="U8" s="769">
        <f t="shared" si="1"/>
        <v>0</v>
      </c>
      <c r="V8" s="768" t="s">
        <v>23</v>
      </c>
      <c r="W8" s="769">
        <f t="shared" si="2"/>
        <v>0</v>
      </c>
      <c r="X8" s="770"/>
      <c r="Y8" s="3214" t="s">
        <v>2552</v>
      </c>
      <c r="Z8" s="3215"/>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228"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28"/>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28"/>
      <c r="Q11" s="1795" t="str">
        <f t="shared" si="6"/>
        <v>容积率</v>
      </c>
      <c r="R11" s="768" t="s">
        <v>21</v>
      </c>
      <c r="S11" s="769" t="e">
        <f t="shared" si="0"/>
        <v>#N/A</v>
      </c>
      <c r="T11" s="768" t="s">
        <v>21</v>
      </c>
      <c r="U11" s="769" t="e">
        <f t="shared" si="1"/>
        <v>#N/A</v>
      </c>
      <c r="V11" s="768" t="s">
        <v>21</v>
      </c>
      <c r="W11" s="769" t="e">
        <f t="shared" si="2"/>
        <v>#N/A</v>
      </c>
      <c r="X11" s="770"/>
      <c r="Y11" s="3036"/>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228"/>
      <c r="Q12" s="1795">
        <f t="shared" si="6"/>
        <v>111</v>
      </c>
      <c r="R12" s="768" t="s">
        <v>21</v>
      </c>
      <c r="S12" s="769">
        <f t="shared" si="0"/>
        <v>100</v>
      </c>
      <c r="T12" s="768" t="s">
        <v>21</v>
      </c>
      <c r="U12" s="769">
        <f t="shared" si="1"/>
        <v>100</v>
      </c>
      <c r="V12" s="768" t="s">
        <v>21</v>
      </c>
      <c r="W12" s="769">
        <f t="shared" si="2"/>
        <v>100</v>
      </c>
      <c r="X12" s="770"/>
      <c r="Y12" s="3036"/>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228"/>
      <c r="Q13" s="1795">
        <f t="shared" si="6"/>
        <v>111</v>
      </c>
      <c r="R13" s="768" t="s">
        <v>21</v>
      </c>
      <c r="S13" s="769">
        <f t="shared" si="0"/>
        <v>100</v>
      </c>
      <c r="T13" s="768" t="s">
        <v>21</v>
      </c>
      <c r="U13" s="769">
        <f t="shared" si="1"/>
        <v>100</v>
      </c>
      <c r="V13" s="768" t="s">
        <v>21</v>
      </c>
      <c r="W13" s="769">
        <f t="shared" si="2"/>
        <v>100</v>
      </c>
      <c r="X13" s="770"/>
      <c r="Y13" s="3036"/>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228"/>
      <c r="Q14" s="1795">
        <f t="shared" si="6"/>
        <v>111</v>
      </c>
      <c r="R14" s="768" t="s">
        <v>21</v>
      </c>
      <c r="S14" s="769">
        <f t="shared" si="0"/>
        <v>100</v>
      </c>
      <c r="T14" s="768" t="s">
        <v>21</v>
      </c>
      <c r="U14" s="769">
        <f t="shared" si="1"/>
        <v>100</v>
      </c>
      <c r="V14" s="768" t="s">
        <v>21</v>
      </c>
      <c r="W14" s="769">
        <f t="shared" si="2"/>
        <v>100</v>
      </c>
      <c r="X14" s="770"/>
      <c r="Y14" s="3036"/>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55" t="s">
        <v>2560</v>
      </c>
      <c r="Q15" s="1810" t="str">
        <f t="shared" si="6"/>
        <v>居住社区成熟度</v>
      </c>
      <c r="R15" s="772" t="s">
        <v>21</v>
      </c>
      <c r="S15" s="773">
        <f t="shared" si="0"/>
        <v>100</v>
      </c>
      <c r="T15" s="772" t="s">
        <v>21</v>
      </c>
      <c r="U15" s="773">
        <f t="shared" si="1"/>
        <v>100</v>
      </c>
      <c r="V15" s="772" t="s">
        <v>21</v>
      </c>
      <c r="W15" s="773">
        <f t="shared" si="2"/>
        <v>100</v>
      </c>
      <c r="X15" s="1813"/>
      <c r="Y15" s="3248"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256"/>
      <c r="Q16" s="1810"/>
      <c r="R16" s="772"/>
      <c r="S16" s="773"/>
      <c r="T16" s="772"/>
      <c r="U16" s="773"/>
      <c r="V16" s="772"/>
      <c r="W16" s="773"/>
      <c r="X16" s="1813"/>
      <c r="Y16" s="3249"/>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56"/>
      <c r="Q17" s="1810" t="str">
        <f>B17</f>
        <v>交通便捷度</v>
      </c>
      <c r="R17" s="772" t="s">
        <v>21</v>
      </c>
      <c r="S17" s="773">
        <f>F17</f>
        <v>100</v>
      </c>
      <c r="T17" s="772" t="s">
        <v>21</v>
      </c>
      <c r="U17" s="773">
        <f>H17</f>
        <v>100</v>
      </c>
      <c r="V17" s="772" t="s">
        <v>21</v>
      </c>
      <c r="W17" s="773">
        <f>J17</f>
        <v>100</v>
      </c>
      <c r="X17" s="1813"/>
      <c r="Y17" s="3249"/>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256"/>
      <c r="Q18" s="1810"/>
      <c r="R18" s="772"/>
      <c r="S18" s="773"/>
      <c r="T18" s="772"/>
      <c r="U18" s="773"/>
      <c r="V18" s="772"/>
      <c r="W18" s="773"/>
      <c r="X18" s="1813"/>
      <c r="Y18" s="3249"/>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56"/>
      <c r="Q19" s="1810" t="str">
        <f>B19</f>
        <v>公共配套设施</v>
      </c>
      <c r="R19" s="772" t="s">
        <v>21</v>
      </c>
      <c r="S19" s="773">
        <f>F19</f>
        <v>100</v>
      </c>
      <c r="T19" s="772" t="s">
        <v>21</v>
      </c>
      <c r="U19" s="773">
        <f>H19</f>
        <v>100</v>
      </c>
      <c r="V19" s="772" t="s">
        <v>21</v>
      </c>
      <c r="W19" s="773">
        <f>J19</f>
        <v>100</v>
      </c>
      <c r="X19" s="1813"/>
      <c r="Y19" s="3249"/>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256"/>
      <c r="Q20" s="1810"/>
      <c r="R20" s="772"/>
      <c r="S20" s="773"/>
      <c r="T20" s="772"/>
      <c r="U20" s="773"/>
      <c r="V20" s="772"/>
      <c r="W20" s="773"/>
      <c r="X20" s="1813"/>
      <c r="Y20" s="3249"/>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56"/>
      <c r="Q21" s="1810" t="str">
        <f>B21</f>
        <v>基础设施水平</v>
      </c>
      <c r="R21" s="772" t="s">
        <v>17</v>
      </c>
      <c r="S21" s="773">
        <f>F21</f>
        <v>100</v>
      </c>
      <c r="T21" s="772" t="s">
        <v>17</v>
      </c>
      <c r="U21" s="773">
        <f>H21</f>
        <v>100</v>
      </c>
      <c r="V21" s="772" t="s">
        <v>17</v>
      </c>
      <c r="W21" s="773">
        <f>J21</f>
        <v>100</v>
      </c>
      <c r="X21" s="1813"/>
      <c r="Y21" s="3249"/>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256"/>
      <c r="Q22" s="1810"/>
      <c r="R22" s="772"/>
      <c r="S22" s="773"/>
      <c r="T22" s="772"/>
      <c r="U22" s="773"/>
      <c r="V22" s="772"/>
      <c r="W22" s="773"/>
      <c r="X22" s="1813"/>
      <c r="Y22" s="3249"/>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56"/>
      <c r="Q23" s="1810" t="str">
        <f>B23</f>
        <v>自然及人文环境</v>
      </c>
      <c r="R23" s="772" t="s">
        <v>21</v>
      </c>
      <c r="S23" s="773">
        <f>F23</f>
        <v>100</v>
      </c>
      <c r="T23" s="772" t="s">
        <v>21</v>
      </c>
      <c r="U23" s="773">
        <f>H23</f>
        <v>100</v>
      </c>
      <c r="V23" s="772" t="s">
        <v>21</v>
      </c>
      <c r="W23" s="773">
        <f>J23</f>
        <v>100</v>
      </c>
      <c r="X23" s="1813"/>
      <c r="Y23" s="3249"/>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256"/>
      <c r="Q24" s="1810"/>
      <c r="R24" s="772"/>
      <c r="S24" s="773"/>
      <c r="T24" s="772"/>
      <c r="U24" s="773"/>
      <c r="V24" s="772"/>
      <c r="W24" s="773"/>
      <c r="X24" s="1813"/>
      <c r="Y24" s="3249"/>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256"/>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49"/>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256"/>
      <c r="Q26" s="1810" t="str">
        <f t="shared" si="11"/>
        <v>朝向</v>
      </c>
      <c r="R26" s="772" t="s">
        <v>21</v>
      </c>
      <c r="S26" s="773">
        <f t="shared" si="12"/>
        <v>100</v>
      </c>
      <c r="T26" s="772" t="s">
        <v>21</v>
      </c>
      <c r="U26" s="773">
        <f t="shared" si="13"/>
        <v>100</v>
      </c>
      <c r="V26" s="772" t="s">
        <v>21</v>
      </c>
      <c r="W26" s="773">
        <f t="shared" si="14"/>
        <v>100</v>
      </c>
      <c r="X26" s="1813"/>
      <c r="Y26" s="3249"/>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256"/>
      <c r="Q27" s="1795">
        <f t="shared" si="11"/>
        <v>111</v>
      </c>
      <c r="R27" s="768" t="s">
        <v>21</v>
      </c>
      <c r="S27" s="769">
        <f t="shared" si="12"/>
        <v>100</v>
      </c>
      <c r="T27" s="768" t="s">
        <v>21</v>
      </c>
      <c r="U27" s="769">
        <f t="shared" si="13"/>
        <v>100</v>
      </c>
      <c r="V27" s="768" t="s">
        <v>21</v>
      </c>
      <c r="W27" s="769">
        <f t="shared" si="14"/>
        <v>100</v>
      </c>
      <c r="X27" s="770"/>
      <c r="Y27" s="3249"/>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256"/>
      <c r="Q28" s="1810">
        <f t="shared" si="11"/>
        <v>111</v>
      </c>
      <c r="R28" s="772" t="s">
        <v>21</v>
      </c>
      <c r="S28" s="773">
        <f t="shared" si="12"/>
        <v>100</v>
      </c>
      <c r="T28" s="772" t="s">
        <v>21</v>
      </c>
      <c r="U28" s="773">
        <f t="shared" si="13"/>
        <v>100</v>
      </c>
      <c r="V28" s="772" t="s">
        <v>21</v>
      </c>
      <c r="W28" s="773">
        <f t="shared" si="14"/>
        <v>100</v>
      </c>
      <c r="X28" s="1813"/>
      <c r="Y28" s="3249"/>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256"/>
      <c r="Q29" s="1810">
        <f t="shared" si="11"/>
        <v>111</v>
      </c>
      <c r="R29" s="772" t="s">
        <v>21</v>
      </c>
      <c r="S29" s="773">
        <f t="shared" si="12"/>
        <v>100</v>
      </c>
      <c r="T29" s="772" t="s">
        <v>21</v>
      </c>
      <c r="U29" s="773">
        <f t="shared" si="13"/>
        <v>100</v>
      </c>
      <c r="V29" s="772" t="s">
        <v>21</v>
      </c>
      <c r="W29" s="773">
        <f t="shared" si="14"/>
        <v>100</v>
      </c>
      <c r="X29" s="1813"/>
      <c r="Y29" s="3249"/>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256"/>
      <c r="Q30" s="1810">
        <f t="shared" si="11"/>
        <v>111</v>
      </c>
      <c r="R30" s="772" t="s">
        <v>21</v>
      </c>
      <c r="S30" s="773">
        <f t="shared" si="12"/>
        <v>100</v>
      </c>
      <c r="T30" s="772" t="s">
        <v>21</v>
      </c>
      <c r="U30" s="773">
        <f t="shared" si="13"/>
        <v>100</v>
      </c>
      <c r="V30" s="772" t="s">
        <v>21</v>
      </c>
      <c r="W30" s="773">
        <f t="shared" si="14"/>
        <v>100</v>
      </c>
      <c r="X30" s="1813"/>
      <c r="Y30" s="3249"/>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256"/>
      <c r="Q31" s="1810">
        <f t="shared" si="11"/>
        <v>111</v>
      </c>
      <c r="R31" s="772" t="s">
        <v>21</v>
      </c>
      <c r="S31" s="773">
        <f t="shared" si="12"/>
        <v>100</v>
      </c>
      <c r="T31" s="772" t="s">
        <v>21</v>
      </c>
      <c r="U31" s="773">
        <f t="shared" si="13"/>
        <v>100</v>
      </c>
      <c r="V31" s="772" t="s">
        <v>21</v>
      </c>
      <c r="W31" s="773">
        <f t="shared" si="14"/>
        <v>100</v>
      </c>
      <c r="X31" s="1813"/>
      <c r="Y31" s="3249"/>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250" t="s">
        <v>2565</v>
      </c>
      <c r="Q32" s="1810" t="str">
        <f t="shared" si="11"/>
        <v>建筑类型</v>
      </c>
      <c r="R32" s="772" t="s">
        <v>21</v>
      </c>
      <c r="S32" s="773">
        <f t="shared" si="12"/>
        <v>100</v>
      </c>
      <c r="T32" s="772" t="s">
        <v>21</v>
      </c>
      <c r="U32" s="773">
        <f t="shared" si="13"/>
        <v>100</v>
      </c>
      <c r="V32" s="772" t="s">
        <v>21</v>
      </c>
      <c r="W32" s="773">
        <f t="shared" si="14"/>
        <v>100</v>
      </c>
      <c r="X32" s="1813"/>
      <c r="Y32" s="3253"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251"/>
      <c r="Q33" s="774" t="str">
        <f t="shared" si="11"/>
        <v>项目建筑规模</v>
      </c>
      <c r="R33" s="775" t="s">
        <v>21</v>
      </c>
      <c r="S33" s="776" t="e">
        <f t="shared" si="12"/>
        <v>#N/A</v>
      </c>
      <c r="T33" s="775" t="s">
        <v>21</v>
      </c>
      <c r="U33" s="776" t="e">
        <f t="shared" si="13"/>
        <v>#N/A</v>
      </c>
      <c r="V33" s="775" t="s">
        <v>21</v>
      </c>
      <c r="W33" s="776" t="e">
        <f t="shared" si="14"/>
        <v>#N/A</v>
      </c>
      <c r="X33" s="777"/>
      <c r="Y33" s="3253"/>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251"/>
      <c r="Q34" s="1810" t="str">
        <f t="shared" si="11"/>
        <v>建筑结构</v>
      </c>
      <c r="R34" s="772" t="s">
        <v>21</v>
      </c>
      <c r="S34" s="773">
        <f t="shared" si="12"/>
        <v>100</v>
      </c>
      <c r="T34" s="772" t="s">
        <v>21</v>
      </c>
      <c r="U34" s="773">
        <f t="shared" si="13"/>
        <v>100</v>
      </c>
      <c r="V34" s="772" t="s">
        <v>21</v>
      </c>
      <c r="W34" s="773">
        <f t="shared" si="14"/>
        <v>100</v>
      </c>
      <c r="X34" s="1813"/>
      <c r="Y34" s="3253"/>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251"/>
      <c r="Q35" s="1810" t="str">
        <f t="shared" si="11"/>
        <v>建筑品质</v>
      </c>
      <c r="R35" s="772" t="s">
        <v>21</v>
      </c>
      <c r="S35" s="773">
        <f t="shared" si="12"/>
        <v>100</v>
      </c>
      <c r="T35" s="772" t="s">
        <v>21</v>
      </c>
      <c r="U35" s="773">
        <f t="shared" si="13"/>
        <v>100</v>
      </c>
      <c r="V35" s="772" t="s">
        <v>21</v>
      </c>
      <c r="W35" s="773">
        <f t="shared" si="14"/>
        <v>100</v>
      </c>
      <c r="X35" s="1813"/>
      <c r="Y35" s="3253"/>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251"/>
      <c r="Q36" s="1810" t="str">
        <f t="shared" si="11"/>
        <v>公共部分装修</v>
      </c>
      <c r="R36" s="772" t="s">
        <v>21</v>
      </c>
      <c r="S36" s="773">
        <f t="shared" si="12"/>
        <v>100</v>
      </c>
      <c r="T36" s="772" t="s">
        <v>21</v>
      </c>
      <c r="U36" s="773">
        <f t="shared" si="13"/>
        <v>100</v>
      </c>
      <c r="V36" s="772" t="s">
        <v>21</v>
      </c>
      <c r="W36" s="773">
        <f t="shared" si="14"/>
        <v>100</v>
      </c>
      <c r="X36" s="1813"/>
      <c r="Y36" s="3253"/>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51"/>
      <c r="Q37" s="1795" t="str">
        <f t="shared" si="11"/>
        <v>成新度</v>
      </c>
      <c r="R37" s="768" t="s">
        <v>21</v>
      </c>
      <c r="S37" s="769" t="e">
        <f t="shared" si="12"/>
        <v>#N/A</v>
      </c>
      <c r="T37" s="768" t="s">
        <v>21</v>
      </c>
      <c r="U37" s="769" t="e">
        <f t="shared" si="13"/>
        <v>#N/A</v>
      </c>
      <c r="V37" s="768" t="s">
        <v>21</v>
      </c>
      <c r="W37" s="769" t="e">
        <f t="shared" si="14"/>
        <v>#N/A</v>
      </c>
      <c r="X37" s="770"/>
      <c r="Y37" s="3253"/>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251" t="s">
        <v>2565</v>
      </c>
      <c r="Q38" s="1810" t="str">
        <f t="shared" si="11"/>
        <v>物业管理</v>
      </c>
      <c r="R38" s="772" t="s">
        <v>21</v>
      </c>
      <c r="S38" s="773">
        <f t="shared" si="12"/>
        <v>100</v>
      </c>
      <c r="T38" s="772" t="s">
        <v>21</v>
      </c>
      <c r="U38" s="773">
        <f t="shared" si="13"/>
        <v>100</v>
      </c>
      <c r="V38" s="772" t="s">
        <v>21</v>
      </c>
      <c r="W38" s="773">
        <f t="shared" si="14"/>
        <v>100</v>
      </c>
      <c r="X38" s="1813"/>
      <c r="Y38" s="3253"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251"/>
      <c r="Q39" s="1810" t="str">
        <f t="shared" si="11"/>
        <v>市政基础设施</v>
      </c>
      <c r="R39" s="772" t="s">
        <v>21</v>
      </c>
      <c r="S39" s="773">
        <f t="shared" si="12"/>
        <v>100</v>
      </c>
      <c r="T39" s="772" t="s">
        <v>21</v>
      </c>
      <c r="U39" s="773">
        <f t="shared" si="13"/>
        <v>100</v>
      </c>
      <c r="V39" s="772" t="s">
        <v>21</v>
      </c>
      <c r="W39" s="773">
        <f t="shared" si="14"/>
        <v>100</v>
      </c>
      <c r="X39" s="1813"/>
      <c r="Y39" s="3253"/>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251"/>
      <c r="Q40" s="1810" t="str">
        <f t="shared" si="11"/>
        <v>房型</v>
      </c>
      <c r="R40" s="772" t="s">
        <v>21</v>
      </c>
      <c r="S40" s="773">
        <f t="shared" si="12"/>
        <v>100</v>
      </c>
      <c r="T40" s="772" t="s">
        <v>21</v>
      </c>
      <c r="U40" s="773">
        <f t="shared" si="13"/>
        <v>100</v>
      </c>
      <c r="V40" s="772" t="s">
        <v>21</v>
      </c>
      <c r="W40" s="773">
        <f t="shared" si="14"/>
        <v>100</v>
      </c>
      <c r="X40" s="1813"/>
      <c r="Y40" s="3253"/>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251"/>
      <c r="Q41" s="774" t="str">
        <f t="shared" si="11"/>
        <v>单套/主力户型建筑面积</v>
      </c>
      <c r="R41" s="775" t="s">
        <v>21</v>
      </c>
      <c r="S41" s="776">
        <f t="shared" si="12"/>
        <v>100</v>
      </c>
      <c r="T41" s="775" t="s">
        <v>21</v>
      </c>
      <c r="U41" s="776">
        <f t="shared" si="13"/>
        <v>100</v>
      </c>
      <c r="V41" s="775" t="s">
        <v>21</v>
      </c>
      <c r="W41" s="776">
        <f t="shared" si="14"/>
        <v>100</v>
      </c>
      <c r="X41" s="777"/>
      <c r="Y41" s="3253"/>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251"/>
      <c r="Q42" s="1810" t="str">
        <f t="shared" si="11"/>
        <v>内部装修</v>
      </c>
      <c r="R42" s="772" t="s">
        <v>21</v>
      </c>
      <c r="S42" s="773">
        <f t="shared" si="12"/>
        <v>100</v>
      </c>
      <c r="T42" s="772" t="s">
        <v>21</v>
      </c>
      <c r="U42" s="773">
        <f t="shared" si="13"/>
        <v>100</v>
      </c>
      <c r="V42" s="772" t="s">
        <v>21</v>
      </c>
      <c r="W42" s="773">
        <f t="shared" si="14"/>
        <v>100</v>
      </c>
      <c r="X42" s="1813"/>
      <c r="Y42" s="3253"/>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251"/>
      <c r="Q43" s="1810" t="str">
        <f t="shared" si="11"/>
        <v>内部装修维护情况</v>
      </c>
      <c r="R43" s="772" t="s">
        <v>21</v>
      </c>
      <c r="S43" s="773">
        <f t="shared" si="12"/>
        <v>100</v>
      </c>
      <c r="T43" s="772" t="s">
        <v>21</v>
      </c>
      <c r="U43" s="773">
        <f t="shared" si="13"/>
        <v>100</v>
      </c>
      <c r="V43" s="772" t="s">
        <v>21</v>
      </c>
      <c r="W43" s="773">
        <f t="shared" si="14"/>
        <v>100</v>
      </c>
      <c r="X43" s="1813"/>
      <c r="Y43" s="3253"/>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251"/>
      <c r="Q44" s="1795">
        <f t="shared" si="11"/>
        <v>111</v>
      </c>
      <c r="R44" s="768" t="s">
        <v>21</v>
      </c>
      <c r="S44" s="769">
        <f t="shared" si="12"/>
        <v>100</v>
      </c>
      <c r="T44" s="768" t="s">
        <v>21</v>
      </c>
      <c r="U44" s="769">
        <f t="shared" si="13"/>
        <v>100</v>
      </c>
      <c r="V44" s="768" t="s">
        <v>21</v>
      </c>
      <c r="W44" s="769">
        <f t="shared" si="14"/>
        <v>100</v>
      </c>
      <c r="X44" s="770"/>
      <c r="Y44" s="3253"/>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251"/>
      <c r="Q45" s="1810">
        <f t="shared" si="11"/>
        <v>111</v>
      </c>
      <c r="R45" s="772" t="s">
        <v>21</v>
      </c>
      <c r="S45" s="773">
        <f t="shared" si="12"/>
        <v>100</v>
      </c>
      <c r="T45" s="772" t="s">
        <v>21</v>
      </c>
      <c r="U45" s="773">
        <f t="shared" si="13"/>
        <v>100</v>
      </c>
      <c r="V45" s="772" t="s">
        <v>21</v>
      </c>
      <c r="W45" s="773">
        <f t="shared" si="14"/>
        <v>100</v>
      </c>
      <c r="X45" s="1813"/>
      <c r="Y45" s="3253"/>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252"/>
      <c r="Q46" s="1810">
        <f t="shared" si="11"/>
        <v>111</v>
      </c>
      <c r="R46" s="772" t="s">
        <v>20</v>
      </c>
      <c r="S46" s="773">
        <f t="shared" si="12"/>
        <v>100</v>
      </c>
      <c r="T46" s="772" t="s">
        <v>20</v>
      </c>
      <c r="U46" s="773">
        <f t="shared" si="13"/>
        <v>100</v>
      </c>
      <c r="V46" s="772" t="s">
        <v>20</v>
      </c>
      <c r="W46" s="773">
        <f t="shared" si="14"/>
        <v>100</v>
      </c>
      <c r="X46" s="1813"/>
      <c r="Y46" s="3254"/>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246" t="str">
        <f>A47</f>
        <v>成交单价（元/平方米）</v>
      </c>
      <c r="Q47" s="3246"/>
      <c r="R47" s="3247">
        <f>E47</f>
        <v>0</v>
      </c>
      <c r="S47" s="3247"/>
      <c r="T47" s="3247">
        <f>G47</f>
        <v>0</v>
      </c>
      <c r="U47" s="3247"/>
      <c r="V47" s="3247">
        <f>I47</f>
        <v>0</v>
      </c>
      <c r="W47" s="3247"/>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243" t="str">
        <f>A49</f>
        <v>估价对象XX用房的比较价值（楼面单价，元/平方米）</v>
      </c>
      <c r="Q49" s="3244"/>
      <c r="R49" s="3245" t="e">
        <f>IF(F1="售价",ROUND(AVERAGE(R48:V48),0),ROUND(AVERAGE(R48:V48),1))</f>
        <v>#DIV/0!</v>
      </c>
      <c r="S49" s="3245"/>
      <c r="T49" s="3245"/>
      <c r="U49" s="3245"/>
      <c r="V49" s="3245"/>
      <c r="W49" s="324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41" t="s">
        <v>2648</v>
      </c>
      <c r="AC4" s="3211" t="s">
        <v>2649</v>
      </c>
    </row>
    <row r="5" spans="1:29"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41"/>
      <c r="AC5" s="3212"/>
    </row>
    <row r="6" spans="1:29" ht="15.75" thickBot="1">
      <c r="A6" s="404"/>
      <c r="B6" s="405"/>
      <c r="C6" s="3224" t="s">
        <v>2546</v>
      </c>
      <c r="D6" s="3225"/>
      <c r="E6" s="3226" t="s">
        <v>2546</v>
      </c>
      <c r="F6" s="3227"/>
      <c r="G6" s="3224" t="s">
        <v>2546</v>
      </c>
      <c r="H6" s="3225"/>
      <c r="I6" s="3224" t="s">
        <v>2546</v>
      </c>
      <c r="J6" s="3225"/>
      <c r="K6" s="608" t="s">
        <v>2547</v>
      </c>
      <c r="L6" s="1130"/>
      <c r="M6" s="1131"/>
      <c r="N6" s="1131"/>
      <c r="O6" s="1131"/>
      <c r="P6" s="3237"/>
      <c r="Q6" s="3238"/>
      <c r="R6" s="3218"/>
      <c r="S6" s="3219"/>
      <c r="T6" s="3239"/>
      <c r="U6" s="3240"/>
      <c r="V6" s="3241"/>
      <c r="W6" s="3241"/>
      <c r="X6" s="1813"/>
      <c r="Y6" s="3239"/>
      <c r="Z6" s="3240"/>
      <c r="AA6" s="3213"/>
      <c r="AB6" s="3241"/>
      <c r="AC6" s="3213"/>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4" t="s">
        <v>2549</v>
      </c>
      <c r="Q7" s="3242"/>
      <c r="R7" s="768" t="s">
        <v>17</v>
      </c>
      <c r="S7" s="769">
        <f t="shared" ref="S7:S15" si="0">F7</f>
        <v>0</v>
      </c>
      <c r="T7" s="768" t="s">
        <v>17</v>
      </c>
      <c r="U7" s="769">
        <f t="shared" ref="U7:U15" si="1">H7</f>
        <v>0</v>
      </c>
      <c r="V7" s="768" t="s">
        <v>17</v>
      </c>
      <c r="W7" s="769">
        <f t="shared" ref="W7:W15" si="2">J7</f>
        <v>0</v>
      </c>
      <c r="X7" s="770"/>
      <c r="Y7" s="3214" t="s">
        <v>2549</v>
      </c>
      <c r="Z7" s="3215"/>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28"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28"/>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28"/>
      <c r="Q11" s="1795" t="str">
        <f t="shared" si="6"/>
        <v>容积率</v>
      </c>
      <c r="R11" s="768" t="s">
        <v>17</v>
      </c>
      <c r="S11" s="769" t="e">
        <f t="shared" si="0"/>
        <v>#N/A</v>
      </c>
      <c r="T11" s="768" t="s">
        <v>17</v>
      </c>
      <c r="U11" s="769" t="e">
        <f t="shared" si="1"/>
        <v>#N/A</v>
      </c>
      <c r="V11" s="768" t="s">
        <v>17</v>
      </c>
      <c r="W11" s="769" t="e">
        <f t="shared" si="2"/>
        <v>#N/A</v>
      </c>
      <c r="X11" s="770"/>
      <c r="Y11" s="3036"/>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28"/>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28"/>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28"/>
      <c r="Q14" s="1795">
        <f t="shared" si="6"/>
        <v>111</v>
      </c>
      <c r="R14" s="768" t="s">
        <v>17</v>
      </c>
      <c r="S14" s="769">
        <f t="shared" si="0"/>
        <v>100</v>
      </c>
      <c r="T14" s="768" t="s">
        <v>17</v>
      </c>
      <c r="U14" s="769">
        <f t="shared" si="1"/>
        <v>100</v>
      </c>
      <c r="V14" s="768" t="s">
        <v>17</v>
      </c>
      <c r="W14" s="769">
        <f t="shared" si="2"/>
        <v>100</v>
      </c>
      <c r="X14" s="770"/>
      <c r="Y14" s="3036"/>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55" t="s">
        <v>2560</v>
      </c>
      <c r="Q15" s="1810" t="str">
        <f t="shared" si="6"/>
        <v>商业繁华度</v>
      </c>
      <c r="R15" s="772" t="s">
        <v>17</v>
      </c>
      <c r="S15" s="773">
        <f t="shared" si="0"/>
        <v>100</v>
      </c>
      <c r="T15" s="772" t="s">
        <v>17</v>
      </c>
      <c r="U15" s="773">
        <f t="shared" si="1"/>
        <v>100</v>
      </c>
      <c r="V15" s="772" t="s">
        <v>17</v>
      </c>
      <c r="W15" s="773">
        <f t="shared" si="2"/>
        <v>100</v>
      </c>
      <c r="X15" s="1813"/>
      <c r="Y15" s="3248"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256"/>
      <c r="Q16" s="1810"/>
      <c r="R16" s="772"/>
      <c r="S16" s="773"/>
      <c r="T16" s="772"/>
      <c r="U16" s="773"/>
      <c r="V16" s="772"/>
      <c r="W16" s="773"/>
      <c r="X16" s="1813"/>
      <c r="Y16" s="3249"/>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56"/>
      <c r="Q17" s="1810" t="str">
        <f>B17</f>
        <v>交通便捷度</v>
      </c>
      <c r="R17" s="772" t="s">
        <v>17</v>
      </c>
      <c r="S17" s="773">
        <f>F17</f>
        <v>100</v>
      </c>
      <c r="T17" s="772" t="s">
        <v>17</v>
      </c>
      <c r="U17" s="773">
        <f>H17</f>
        <v>100</v>
      </c>
      <c r="V17" s="772" t="s">
        <v>17</v>
      </c>
      <c r="W17" s="773">
        <f>J17</f>
        <v>100</v>
      </c>
      <c r="X17" s="1813"/>
      <c r="Y17" s="3249"/>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256"/>
      <c r="Q18" s="1810"/>
      <c r="R18" s="772"/>
      <c r="S18" s="773"/>
      <c r="T18" s="772"/>
      <c r="U18" s="773"/>
      <c r="V18" s="772"/>
      <c r="W18" s="773"/>
      <c r="X18" s="1813"/>
      <c r="Y18" s="3249"/>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56"/>
      <c r="Q19" s="1810" t="str">
        <f>B19</f>
        <v>公共配套设施</v>
      </c>
      <c r="R19" s="772" t="s">
        <v>17</v>
      </c>
      <c r="S19" s="773">
        <f>F19</f>
        <v>100</v>
      </c>
      <c r="T19" s="772" t="s">
        <v>17</v>
      </c>
      <c r="U19" s="773">
        <f>H19</f>
        <v>100</v>
      </c>
      <c r="V19" s="772" t="s">
        <v>17</v>
      </c>
      <c r="W19" s="773">
        <f>J19</f>
        <v>100</v>
      </c>
      <c r="X19" s="1813"/>
      <c r="Y19" s="3249"/>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256"/>
      <c r="Q20" s="1810"/>
      <c r="R20" s="772"/>
      <c r="S20" s="773"/>
      <c r="T20" s="772"/>
      <c r="U20" s="773"/>
      <c r="V20" s="772"/>
      <c r="W20" s="773"/>
      <c r="X20" s="1813"/>
      <c r="Y20" s="3249"/>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56"/>
      <c r="Q21" s="1810" t="str">
        <f>B21</f>
        <v>基础设施水平</v>
      </c>
      <c r="R21" s="772" t="s">
        <v>17</v>
      </c>
      <c r="S21" s="773">
        <f>F21</f>
        <v>100</v>
      </c>
      <c r="T21" s="772" t="s">
        <v>17</v>
      </c>
      <c r="U21" s="773">
        <f>H21</f>
        <v>100</v>
      </c>
      <c r="V21" s="772" t="s">
        <v>17</v>
      </c>
      <c r="W21" s="773">
        <f>J21</f>
        <v>100</v>
      </c>
      <c r="X21" s="1813"/>
      <c r="Y21" s="3249"/>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256"/>
      <c r="Q22" s="1810"/>
      <c r="R22" s="772"/>
      <c r="S22" s="773"/>
      <c r="T22" s="772"/>
      <c r="U22" s="773"/>
      <c r="V22" s="772"/>
      <c r="W22" s="773"/>
      <c r="X22" s="1813"/>
      <c r="Y22" s="3249"/>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56"/>
      <c r="Q23" s="1810" t="str">
        <f>B23</f>
        <v>自然及人文环境</v>
      </c>
      <c r="R23" s="772" t="s">
        <v>17</v>
      </c>
      <c r="S23" s="773">
        <f>F23</f>
        <v>100</v>
      </c>
      <c r="T23" s="772" t="s">
        <v>17</v>
      </c>
      <c r="U23" s="773">
        <f>H23</f>
        <v>100</v>
      </c>
      <c r="V23" s="772" t="s">
        <v>17</v>
      </c>
      <c r="W23" s="773">
        <f>J23</f>
        <v>100</v>
      </c>
      <c r="X23" s="1813"/>
      <c r="Y23" s="3249"/>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256"/>
      <c r="Q24" s="1810"/>
      <c r="R24" s="772"/>
      <c r="S24" s="773"/>
      <c r="T24" s="772"/>
      <c r="U24" s="773"/>
      <c r="V24" s="772"/>
      <c r="W24" s="773"/>
      <c r="X24" s="1813"/>
      <c r="Y24" s="3249"/>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56"/>
      <c r="Q25" s="1810" t="str">
        <f t="shared" ref="Q25:Q46" si="11">B25</f>
        <v>临街状况</v>
      </c>
      <c r="R25" s="772" t="s">
        <v>17</v>
      </c>
      <c r="S25" s="773">
        <f>F25</f>
        <v>100</v>
      </c>
      <c r="T25" s="772" t="s">
        <v>17</v>
      </c>
      <c r="U25" s="773">
        <f>H25</f>
        <v>100</v>
      </c>
      <c r="V25" s="772" t="s">
        <v>17</v>
      </c>
      <c r="W25" s="773">
        <f>J25</f>
        <v>100</v>
      </c>
      <c r="X25" s="1813"/>
      <c r="Y25" s="3249"/>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56"/>
      <c r="Q26" s="1810" t="str">
        <f t="shared" si="11"/>
        <v>平面位置/可视性</v>
      </c>
      <c r="R26" s="772" t="s">
        <v>17</v>
      </c>
      <c r="S26" s="773">
        <f>F26</f>
        <v>100</v>
      </c>
      <c r="T26" s="772" t="s">
        <v>17</v>
      </c>
      <c r="U26" s="773">
        <f>H26</f>
        <v>100</v>
      </c>
      <c r="V26" s="772" t="s">
        <v>17</v>
      </c>
      <c r="W26" s="773">
        <f>J26</f>
        <v>100</v>
      </c>
      <c r="X26" s="1813"/>
      <c r="Y26" s="3249"/>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256"/>
      <c r="Q27" s="1795" t="str">
        <f t="shared" si="11"/>
        <v>人流量</v>
      </c>
      <c r="R27" s="768" t="s">
        <v>17</v>
      </c>
      <c r="S27" s="769">
        <f>F27</f>
        <v>100</v>
      </c>
      <c r="T27" s="768" t="s">
        <v>17</v>
      </c>
      <c r="U27" s="769">
        <f>H27</f>
        <v>100</v>
      </c>
      <c r="V27" s="768" t="s">
        <v>17</v>
      </c>
      <c r="W27" s="769">
        <f>J27</f>
        <v>100</v>
      </c>
      <c r="X27" s="770"/>
      <c r="Y27" s="3249"/>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56"/>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49"/>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56"/>
      <c r="Q29" s="1810">
        <f t="shared" si="11"/>
        <v>111</v>
      </c>
      <c r="R29" s="772" t="s">
        <v>17</v>
      </c>
      <c r="S29" s="773">
        <f t="shared" si="12"/>
        <v>100</v>
      </c>
      <c r="T29" s="772" t="s">
        <v>17</v>
      </c>
      <c r="U29" s="773">
        <f t="shared" si="13"/>
        <v>100</v>
      </c>
      <c r="V29" s="772" t="s">
        <v>17</v>
      </c>
      <c r="W29" s="773">
        <f t="shared" si="14"/>
        <v>100</v>
      </c>
      <c r="X29" s="1813"/>
      <c r="Y29" s="3249"/>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56"/>
      <c r="Q30" s="1810">
        <f t="shared" si="11"/>
        <v>111</v>
      </c>
      <c r="R30" s="772" t="s">
        <v>17</v>
      </c>
      <c r="S30" s="773">
        <f t="shared" si="12"/>
        <v>100</v>
      </c>
      <c r="T30" s="772" t="s">
        <v>17</v>
      </c>
      <c r="U30" s="773">
        <f t="shared" si="13"/>
        <v>100</v>
      </c>
      <c r="V30" s="772" t="s">
        <v>17</v>
      </c>
      <c r="W30" s="773">
        <f t="shared" si="14"/>
        <v>100</v>
      </c>
      <c r="X30" s="1813"/>
      <c r="Y30" s="3249"/>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56"/>
      <c r="Q31" s="1810">
        <f t="shared" si="11"/>
        <v>111</v>
      </c>
      <c r="R31" s="772" t="s">
        <v>17</v>
      </c>
      <c r="S31" s="773">
        <f t="shared" si="12"/>
        <v>100</v>
      </c>
      <c r="T31" s="772" t="s">
        <v>17</v>
      </c>
      <c r="U31" s="773">
        <f t="shared" si="13"/>
        <v>100</v>
      </c>
      <c r="V31" s="772" t="s">
        <v>17</v>
      </c>
      <c r="W31" s="773">
        <f t="shared" si="14"/>
        <v>100</v>
      </c>
      <c r="X31" s="1813"/>
      <c r="Y31" s="3249"/>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250" t="s">
        <v>2565</v>
      </c>
      <c r="Q32" s="1810" t="str">
        <f t="shared" si="11"/>
        <v>商业类型</v>
      </c>
      <c r="R32" s="772" t="s">
        <v>17</v>
      </c>
      <c r="S32" s="773">
        <f t="shared" si="12"/>
        <v>100</v>
      </c>
      <c r="T32" s="772" t="s">
        <v>17</v>
      </c>
      <c r="U32" s="773">
        <f t="shared" si="13"/>
        <v>100</v>
      </c>
      <c r="V32" s="772" t="s">
        <v>17</v>
      </c>
      <c r="W32" s="773">
        <f t="shared" si="14"/>
        <v>100</v>
      </c>
      <c r="X32" s="1813"/>
      <c r="Y32" s="3253"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51"/>
      <c r="Q33" s="774" t="str">
        <f t="shared" si="11"/>
        <v>项目建筑规模</v>
      </c>
      <c r="R33" s="775" t="s">
        <v>17</v>
      </c>
      <c r="S33" s="776" t="e">
        <f t="shared" si="12"/>
        <v>#N/A</v>
      </c>
      <c r="T33" s="775" t="s">
        <v>17</v>
      </c>
      <c r="U33" s="776" t="e">
        <f t="shared" si="13"/>
        <v>#N/A</v>
      </c>
      <c r="V33" s="775" t="s">
        <v>17</v>
      </c>
      <c r="W33" s="776" t="e">
        <f t="shared" si="14"/>
        <v>#N/A</v>
      </c>
      <c r="X33" s="777"/>
      <c r="Y33" s="3253"/>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251"/>
      <c r="Q34" s="1810" t="str">
        <f t="shared" si="11"/>
        <v>建筑结构</v>
      </c>
      <c r="R34" s="772" t="s">
        <v>17</v>
      </c>
      <c r="S34" s="773">
        <f t="shared" si="12"/>
        <v>100</v>
      </c>
      <c r="T34" s="772" t="s">
        <v>17</v>
      </c>
      <c r="U34" s="773">
        <f t="shared" si="13"/>
        <v>100</v>
      </c>
      <c r="V34" s="772" t="s">
        <v>17</v>
      </c>
      <c r="W34" s="773">
        <f t="shared" si="14"/>
        <v>100</v>
      </c>
      <c r="X34" s="1813"/>
      <c r="Y34" s="3253"/>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251"/>
      <c r="Q35" s="1810" t="str">
        <f t="shared" si="11"/>
        <v>公共部分装修</v>
      </c>
      <c r="R35" s="772" t="s">
        <v>17</v>
      </c>
      <c r="S35" s="773">
        <f t="shared" si="12"/>
        <v>100</v>
      </c>
      <c r="T35" s="772" t="s">
        <v>17</v>
      </c>
      <c r="U35" s="773">
        <f t="shared" si="13"/>
        <v>100</v>
      </c>
      <c r="V35" s="772" t="s">
        <v>17</v>
      </c>
      <c r="W35" s="773">
        <f t="shared" si="14"/>
        <v>100</v>
      </c>
      <c r="X35" s="1813"/>
      <c r="Y35" s="3253"/>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51"/>
      <c r="Q36" s="1810" t="str">
        <f t="shared" si="11"/>
        <v>成新度</v>
      </c>
      <c r="R36" s="772" t="s">
        <v>17</v>
      </c>
      <c r="S36" s="773" t="e">
        <f t="shared" si="12"/>
        <v>#N/A</v>
      </c>
      <c r="T36" s="772" t="s">
        <v>17</v>
      </c>
      <c r="U36" s="773" t="e">
        <f t="shared" si="13"/>
        <v>#N/A</v>
      </c>
      <c r="V36" s="772" t="s">
        <v>17</v>
      </c>
      <c r="W36" s="773" t="e">
        <f t="shared" si="14"/>
        <v>#N/A</v>
      </c>
      <c r="X36" s="1813"/>
      <c r="Y36" s="3253"/>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251"/>
      <c r="Q37" s="1795" t="str">
        <f t="shared" si="11"/>
        <v>市政基础设施</v>
      </c>
      <c r="R37" s="768" t="s">
        <v>17</v>
      </c>
      <c r="S37" s="769">
        <f t="shared" si="12"/>
        <v>100</v>
      </c>
      <c r="T37" s="768" t="s">
        <v>17</v>
      </c>
      <c r="U37" s="769">
        <f t="shared" si="13"/>
        <v>100</v>
      </c>
      <c r="V37" s="768" t="s">
        <v>17</v>
      </c>
      <c r="W37" s="769">
        <f t="shared" si="14"/>
        <v>100</v>
      </c>
      <c r="X37" s="770"/>
      <c r="Y37" s="3253"/>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251" t="s">
        <v>2565</v>
      </c>
      <c r="Q38" s="1810" t="str">
        <f t="shared" si="11"/>
        <v>业态</v>
      </c>
      <c r="R38" s="772" t="s">
        <v>17</v>
      </c>
      <c r="S38" s="773">
        <f t="shared" si="12"/>
        <v>100</v>
      </c>
      <c r="T38" s="772" t="s">
        <v>17</v>
      </c>
      <c r="U38" s="773">
        <f t="shared" si="13"/>
        <v>100</v>
      </c>
      <c r="V38" s="772" t="s">
        <v>17</v>
      </c>
      <c r="W38" s="773">
        <f t="shared" si="14"/>
        <v>100</v>
      </c>
      <c r="X38" s="1813"/>
      <c r="Y38" s="3253"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251"/>
      <c r="Q39" s="1810" t="str">
        <f t="shared" si="11"/>
        <v>层高</v>
      </c>
      <c r="R39" s="772" t="s">
        <v>17</v>
      </c>
      <c r="S39" s="773">
        <f t="shared" si="12"/>
        <v>100</v>
      </c>
      <c r="T39" s="772" t="s">
        <v>17</v>
      </c>
      <c r="U39" s="773">
        <f t="shared" si="13"/>
        <v>100</v>
      </c>
      <c r="V39" s="772" t="s">
        <v>17</v>
      </c>
      <c r="W39" s="773">
        <f t="shared" si="14"/>
        <v>100</v>
      </c>
      <c r="X39" s="1813"/>
      <c r="Y39" s="3253"/>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51"/>
      <c r="Q40" s="1810" t="str">
        <f t="shared" si="11"/>
        <v>单套建筑面积</v>
      </c>
      <c r="R40" s="772" t="s">
        <v>17</v>
      </c>
      <c r="S40" s="773">
        <f t="shared" si="12"/>
        <v>100</v>
      </c>
      <c r="T40" s="772" t="s">
        <v>17</v>
      </c>
      <c r="U40" s="773">
        <f t="shared" si="13"/>
        <v>100</v>
      </c>
      <c r="V40" s="772" t="s">
        <v>17</v>
      </c>
      <c r="W40" s="773">
        <f t="shared" si="14"/>
        <v>100</v>
      </c>
      <c r="X40" s="1813"/>
      <c r="Y40" s="3253"/>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51"/>
      <c r="Q41" s="774" t="str">
        <f t="shared" si="11"/>
        <v>进深比</v>
      </c>
      <c r="R41" s="775" t="s">
        <v>17</v>
      </c>
      <c r="S41" s="776">
        <f t="shared" si="12"/>
        <v>100</v>
      </c>
      <c r="T41" s="775" t="s">
        <v>17</v>
      </c>
      <c r="U41" s="776">
        <f t="shared" si="13"/>
        <v>100</v>
      </c>
      <c r="V41" s="775" t="s">
        <v>17</v>
      </c>
      <c r="W41" s="776">
        <f t="shared" si="14"/>
        <v>100</v>
      </c>
      <c r="X41" s="777"/>
      <c r="Y41" s="3253"/>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251"/>
      <c r="Q42" s="1810" t="str">
        <f t="shared" si="11"/>
        <v>内部装修</v>
      </c>
      <c r="R42" s="772" t="s">
        <v>17</v>
      </c>
      <c r="S42" s="773">
        <f t="shared" si="12"/>
        <v>100</v>
      </c>
      <c r="T42" s="772" t="s">
        <v>17</v>
      </c>
      <c r="U42" s="773">
        <f t="shared" si="13"/>
        <v>100</v>
      </c>
      <c r="V42" s="772" t="s">
        <v>17</v>
      </c>
      <c r="W42" s="773">
        <f t="shared" si="14"/>
        <v>100</v>
      </c>
      <c r="X42" s="1813"/>
      <c r="Y42" s="3253"/>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251"/>
      <c r="Q43" s="1810" t="str">
        <f t="shared" si="11"/>
        <v>内部装修维护情况</v>
      </c>
      <c r="R43" s="772" t="s">
        <v>17</v>
      </c>
      <c r="S43" s="773">
        <f t="shared" si="12"/>
        <v>100</v>
      </c>
      <c r="T43" s="772" t="s">
        <v>17</v>
      </c>
      <c r="U43" s="773">
        <f t="shared" si="13"/>
        <v>100</v>
      </c>
      <c r="V43" s="772" t="s">
        <v>17</v>
      </c>
      <c r="W43" s="773">
        <f t="shared" si="14"/>
        <v>100</v>
      </c>
      <c r="X43" s="1813"/>
      <c r="Y43" s="3253"/>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51"/>
      <c r="Q44" s="1795">
        <f t="shared" si="11"/>
        <v>111</v>
      </c>
      <c r="R44" s="768" t="s">
        <v>17</v>
      </c>
      <c r="S44" s="769">
        <f t="shared" si="12"/>
        <v>100</v>
      </c>
      <c r="T44" s="768" t="s">
        <v>17</v>
      </c>
      <c r="U44" s="769">
        <f t="shared" si="13"/>
        <v>100</v>
      </c>
      <c r="V44" s="768" t="s">
        <v>17</v>
      </c>
      <c r="W44" s="769">
        <f t="shared" si="14"/>
        <v>100</v>
      </c>
      <c r="X44" s="770"/>
      <c r="Y44" s="3253"/>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51"/>
      <c r="Q45" s="1810">
        <f t="shared" si="11"/>
        <v>111</v>
      </c>
      <c r="R45" s="772" t="s">
        <v>17</v>
      </c>
      <c r="S45" s="773">
        <f t="shared" si="12"/>
        <v>100</v>
      </c>
      <c r="T45" s="772" t="s">
        <v>17</v>
      </c>
      <c r="U45" s="773">
        <f t="shared" si="13"/>
        <v>100</v>
      </c>
      <c r="V45" s="772" t="s">
        <v>17</v>
      </c>
      <c r="W45" s="773">
        <f t="shared" si="14"/>
        <v>100</v>
      </c>
      <c r="X45" s="1813"/>
      <c r="Y45" s="3253"/>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52"/>
      <c r="Q46" s="1810">
        <f t="shared" si="11"/>
        <v>111</v>
      </c>
      <c r="R46" s="772" t="s">
        <v>17</v>
      </c>
      <c r="S46" s="773">
        <f t="shared" si="12"/>
        <v>100</v>
      </c>
      <c r="T46" s="772" t="s">
        <v>17</v>
      </c>
      <c r="U46" s="773">
        <f t="shared" si="13"/>
        <v>100</v>
      </c>
      <c r="V46" s="772" t="s">
        <v>17</v>
      </c>
      <c r="W46" s="773">
        <f t="shared" si="14"/>
        <v>100</v>
      </c>
      <c r="X46" s="1813"/>
      <c r="Y46" s="3254"/>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246" t="str">
        <f>A47</f>
        <v>成交单价（元/平方米）</v>
      </c>
      <c r="Q47" s="3246"/>
      <c r="R47" s="3241">
        <f>E47</f>
        <v>0</v>
      </c>
      <c r="S47" s="3241"/>
      <c r="T47" s="3241">
        <f>G47</f>
        <v>0</v>
      </c>
      <c r="U47" s="3241"/>
      <c r="V47" s="3241">
        <f>I47</f>
        <v>0</v>
      </c>
      <c r="W47" s="3241"/>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243" t="str">
        <f>A49</f>
        <v>估价对象XX用房的比较价值（楼面单价，元/平方米）</v>
      </c>
      <c r="Q49" s="3244"/>
      <c r="R49" s="3245" t="e">
        <f>IF(F1="售价",ROUND(AVERAGE(R48:V48),0),ROUND(AVERAGE(R48:V48),1))</f>
        <v>#DIV/0!</v>
      </c>
      <c r="S49" s="3245"/>
      <c r="T49" s="3245"/>
      <c r="U49" s="3245"/>
      <c r="V49" s="3245"/>
      <c r="W49" s="324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63" t="s">
        <v>2651</v>
      </c>
      <c r="Q4" s="3264"/>
      <c r="R4" s="3258" t="s">
        <v>2647</v>
      </c>
      <c r="S4" s="3259"/>
      <c r="T4" s="3258" t="s">
        <v>2648</v>
      </c>
      <c r="U4" s="3259"/>
      <c r="V4" s="3267" t="s">
        <v>2649</v>
      </c>
      <c r="W4" s="3267"/>
      <c r="X4" s="2669"/>
      <c r="Y4" s="3258" t="s">
        <v>2651</v>
      </c>
      <c r="Z4" s="3259"/>
      <c r="AA4" s="3257" t="s">
        <v>2647</v>
      </c>
      <c r="AB4" s="3257" t="s">
        <v>2648</v>
      </c>
      <c r="AC4" s="3260" t="s">
        <v>2649</v>
      </c>
    </row>
    <row r="5" spans="1:29" ht="15">
      <c r="A5" s="402"/>
      <c r="B5" s="403"/>
      <c r="C5" s="3222" t="s">
        <v>2542</v>
      </c>
      <c r="D5" s="3223"/>
      <c r="E5" s="3220" t="s">
        <v>2543</v>
      </c>
      <c r="F5" s="3221"/>
      <c r="G5" s="3222" t="s">
        <v>2544</v>
      </c>
      <c r="H5" s="3223"/>
      <c r="I5" s="3222" t="s">
        <v>2545</v>
      </c>
      <c r="J5" s="3223"/>
      <c r="K5" s="608"/>
      <c r="L5" s="1130"/>
      <c r="M5" s="1131"/>
      <c r="N5" s="1131"/>
      <c r="O5" s="1131"/>
      <c r="P5" s="3265"/>
      <c r="Q5" s="3236"/>
      <c r="R5" s="3218"/>
      <c r="S5" s="3219"/>
      <c r="T5" s="3218"/>
      <c r="U5" s="3219"/>
      <c r="V5" s="3241"/>
      <c r="W5" s="3241"/>
      <c r="X5" s="1813"/>
      <c r="Y5" s="3218"/>
      <c r="Z5" s="3219"/>
      <c r="AA5" s="3212"/>
      <c r="AB5" s="3212"/>
      <c r="AC5" s="3261"/>
    </row>
    <row r="6" spans="1:29" ht="15.75" thickBot="1">
      <c r="A6" s="404"/>
      <c r="B6" s="405"/>
      <c r="C6" s="3224" t="s">
        <v>2546</v>
      </c>
      <c r="D6" s="3225"/>
      <c r="E6" s="3226" t="s">
        <v>2546</v>
      </c>
      <c r="F6" s="3227"/>
      <c r="G6" s="3224" t="s">
        <v>2546</v>
      </c>
      <c r="H6" s="3225"/>
      <c r="I6" s="3224" t="s">
        <v>2546</v>
      </c>
      <c r="J6" s="3225"/>
      <c r="K6" s="608" t="s">
        <v>2547</v>
      </c>
      <c r="L6" s="1130"/>
      <c r="M6" s="1131"/>
      <c r="N6" s="1131"/>
      <c r="O6" s="1131"/>
      <c r="P6" s="3266"/>
      <c r="Q6" s="3238"/>
      <c r="R6" s="3218"/>
      <c r="S6" s="3219"/>
      <c r="T6" s="3239"/>
      <c r="U6" s="3240"/>
      <c r="V6" s="3241"/>
      <c r="W6" s="3241"/>
      <c r="X6" s="1813"/>
      <c r="Y6" s="3239"/>
      <c r="Z6" s="3240"/>
      <c r="AA6" s="3213"/>
      <c r="AB6" s="3213"/>
      <c r="AC6" s="3262"/>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68" t="s">
        <v>2549</v>
      </c>
      <c r="Q7" s="3242"/>
      <c r="R7" s="768" t="s">
        <v>17</v>
      </c>
      <c r="S7" s="769">
        <f t="shared" ref="S7:S15" si="0">F7</f>
        <v>0</v>
      </c>
      <c r="T7" s="768" t="s">
        <v>17</v>
      </c>
      <c r="U7" s="769">
        <f t="shared" ref="U7:U15" si="1">H7</f>
        <v>0</v>
      </c>
      <c r="V7" s="768" t="s">
        <v>17</v>
      </c>
      <c r="W7" s="769">
        <f t="shared" ref="W7:W15" si="2">J7</f>
        <v>0</v>
      </c>
      <c r="X7" s="770"/>
      <c r="Y7" s="3214" t="s">
        <v>2549</v>
      </c>
      <c r="Z7" s="3215"/>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68" t="s">
        <v>2552</v>
      </c>
      <c r="Q8" s="3215"/>
      <c r="R8" s="768" t="s">
        <v>17</v>
      </c>
      <c r="S8" s="769">
        <f t="shared" si="0"/>
        <v>0</v>
      </c>
      <c r="T8" s="768" t="s">
        <v>17</v>
      </c>
      <c r="U8" s="769">
        <f t="shared" si="1"/>
        <v>0</v>
      </c>
      <c r="V8" s="768" t="s">
        <v>17</v>
      </c>
      <c r="W8" s="769">
        <f t="shared" si="2"/>
        <v>0</v>
      </c>
      <c r="X8" s="770"/>
      <c r="Y8" s="3214" t="s">
        <v>2552</v>
      </c>
      <c r="Z8" s="3215"/>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28"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28"/>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28"/>
      <c r="Q11" s="1795" t="str">
        <f t="shared" si="6"/>
        <v>容积率</v>
      </c>
      <c r="R11" s="768" t="s">
        <v>17</v>
      </c>
      <c r="S11" s="769" t="e">
        <f t="shared" si="0"/>
        <v>#N/A</v>
      </c>
      <c r="T11" s="768" t="s">
        <v>17</v>
      </c>
      <c r="U11" s="769" t="e">
        <f t="shared" si="1"/>
        <v>#N/A</v>
      </c>
      <c r="V11" s="768" t="s">
        <v>17</v>
      </c>
      <c r="W11" s="769" t="e">
        <f t="shared" si="2"/>
        <v>#N/A</v>
      </c>
      <c r="X11" s="770"/>
      <c r="Y11" s="3036"/>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228"/>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228"/>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228"/>
      <c r="Q14" s="1795">
        <f t="shared" si="6"/>
        <v>111</v>
      </c>
      <c r="R14" s="768" t="s">
        <v>17</v>
      </c>
      <c r="S14" s="769">
        <f t="shared" si="0"/>
        <v>100</v>
      </c>
      <c r="T14" s="768" t="s">
        <v>17</v>
      </c>
      <c r="U14" s="769">
        <f t="shared" si="1"/>
        <v>100</v>
      </c>
      <c r="V14" s="768" t="s">
        <v>17</v>
      </c>
      <c r="W14" s="769">
        <f t="shared" si="2"/>
        <v>100</v>
      </c>
      <c r="X14" s="770"/>
      <c r="Y14" s="3036"/>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55" t="s">
        <v>2560</v>
      </c>
      <c r="Q15" s="1810" t="str">
        <f t="shared" si="6"/>
        <v>办公集聚程度</v>
      </c>
      <c r="R15" s="772" t="s">
        <v>17</v>
      </c>
      <c r="S15" s="773">
        <f t="shared" si="0"/>
        <v>100</v>
      </c>
      <c r="T15" s="772" t="s">
        <v>17</v>
      </c>
      <c r="U15" s="773">
        <f t="shared" si="1"/>
        <v>100</v>
      </c>
      <c r="V15" s="772" t="s">
        <v>17</v>
      </c>
      <c r="W15" s="773">
        <f t="shared" si="2"/>
        <v>100</v>
      </c>
      <c r="X15" s="1813"/>
      <c r="Y15" s="3248"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256"/>
      <c r="Q16" s="1810"/>
      <c r="R16" s="772"/>
      <c r="S16" s="773"/>
      <c r="T16" s="772"/>
      <c r="U16" s="773"/>
      <c r="V16" s="772"/>
      <c r="W16" s="773"/>
      <c r="X16" s="1813"/>
      <c r="Y16" s="3249"/>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56"/>
      <c r="Q17" s="1810" t="str">
        <f>B17</f>
        <v>交通便捷度</v>
      </c>
      <c r="R17" s="772" t="s">
        <v>17</v>
      </c>
      <c r="S17" s="773">
        <f>F17</f>
        <v>100</v>
      </c>
      <c r="T17" s="772" t="s">
        <v>17</v>
      </c>
      <c r="U17" s="773">
        <f>H17</f>
        <v>100</v>
      </c>
      <c r="V17" s="772" t="s">
        <v>17</v>
      </c>
      <c r="W17" s="773">
        <f>J17</f>
        <v>100</v>
      </c>
      <c r="X17" s="1813"/>
      <c r="Y17" s="3249"/>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256"/>
      <c r="Q18" s="1810"/>
      <c r="R18" s="772"/>
      <c r="S18" s="773"/>
      <c r="T18" s="772"/>
      <c r="U18" s="773"/>
      <c r="V18" s="772"/>
      <c r="W18" s="773"/>
      <c r="X18" s="1813"/>
      <c r="Y18" s="3249"/>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56"/>
      <c r="Q19" s="1810" t="str">
        <f>B19</f>
        <v>公共配套设施</v>
      </c>
      <c r="R19" s="772" t="s">
        <v>17</v>
      </c>
      <c r="S19" s="773">
        <f>F19</f>
        <v>100</v>
      </c>
      <c r="T19" s="772" t="s">
        <v>17</v>
      </c>
      <c r="U19" s="773">
        <f>H19</f>
        <v>100</v>
      </c>
      <c r="V19" s="772" t="s">
        <v>17</v>
      </c>
      <c r="W19" s="773">
        <f>J19</f>
        <v>100</v>
      </c>
      <c r="X19" s="1813"/>
      <c r="Y19" s="3249"/>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256"/>
      <c r="Q20" s="1810"/>
      <c r="R20" s="772"/>
      <c r="S20" s="773"/>
      <c r="T20" s="772"/>
      <c r="U20" s="773"/>
      <c r="V20" s="772"/>
      <c r="W20" s="773"/>
      <c r="X20" s="1813"/>
      <c r="Y20" s="3249"/>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56"/>
      <c r="Q21" s="1810" t="str">
        <f>B21</f>
        <v>基础设施水平</v>
      </c>
      <c r="R21" s="772" t="s">
        <v>17</v>
      </c>
      <c r="S21" s="773">
        <f>F21</f>
        <v>100</v>
      </c>
      <c r="T21" s="772" t="s">
        <v>17</v>
      </c>
      <c r="U21" s="773">
        <f>H21</f>
        <v>100</v>
      </c>
      <c r="V21" s="772" t="s">
        <v>17</v>
      </c>
      <c r="W21" s="773">
        <f>J21</f>
        <v>100</v>
      </c>
      <c r="X21" s="1813"/>
      <c r="Y21" s="3249"/>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256"/>
      <c r="Q22" s="1810"/>
      <c r="R22" s="772"/>
      <c r="S22" s="773"/>
      <c r="T22" s="772"/>
      <c r="U22" s="773"/>
      <c r="V22" s="772"/>
      <c r="W22" s="773"/>
      <c r="X22" s="1813"/>
      <c r="Y22" s="3249"/>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56"/>
      <c r="Q23" s="1810" t="str">
        <f>B23</f>
        <v>环境质量</v>
      </c>
      <c r="R23" s="772" t="s">
        <v>17</v>
      </c>
      <c r="S23" s="773">
        <f>F23</f>
        <v>100</v>
      </c>
      <c r="T23" s="772" t="s">
        <v>17</v>
      </c>
      <c r="U23" s="773">
        <f>H23</f>
        <v>100</v>
      </c>
      <c r="V23" s="772" t="s">
        <v>17</v>
      </c>
      <c r="W23" s="773">
        <f>J23</f>
        <v>100</v>
      </c>
      <c r="X23" s="1813"/>
      <c r="Y23" s="3249"/>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256"/>
      <c r="Q24" s="1810"/>
      <c r="R24" s="772"/>
      <c r="S24" s="773"/>
      <c r="T24" s="772"/>
      <c r="U24" s="773"/>
      <c r="V24" s="772"/>
      <c r="W24" s="773"/>
      <c r="X24" s="1813"/>
      <c r="Y24" s="3249"/>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256"/>
      <c r="Q25" s="1810" t="str">
        <f>B25</f>
        <v>毗邻道路的类型与等级</v>
      </c>
      <c r="R25" s="772" t="s">
        <v>17</v>
      </c>
      <c r="S25" s="773">
        <f>F25</f>
        <v>100</v>
      </c>
      <c r="T25" s="772" t="s">
        <v>17</v>
      </c>
      <c r="U25" s="773">
        <f>H25</f>
        <v>100</v>
      </c>
      <c r="V25" s="772" t="s">
        <v>17</v>
      </c>
      <c r="W25" s="773">
        <f>J25</f>
        <v>100</v>
      </c>
      <c r="X25" s="1813"/>
      <c r="Y25" s="3249"/>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256"/>
      <c r="Q26" s="1810"/>
      <c r="R26" s="772"/>
      <c r="S26" s="773"/>
      <c r="T26" s="772"/>
      <c r="U26" s="773"/>
      <c r="V26" s="772"/>
      <c r="W26" s="773"/>
      <c r="X26" s="1813"/>
      <c r="Y26" s="3249"/>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56"/>
      <c r="Q27" s="1810" t="str">
        <f t="shared" ref="Q27:Q47" si="11">B27</f>
        <v>楼层</v>
      </c>
      <c r="R27" s="772" t="s">
        <v>17</v>
      </c>
      <c r="S27" s="773">
        <f>F27</f>
        <v>100</v>
      </c>
      <c r="T27" s="772" t="s">
        <v>17</v>
      </c>
      <c r="U27" s="773">
        <f>H27</f>
        <v>100</v>
      </c>
      <c r="V27" s="772" t="s">
        <v>17</v>
      </c>
      <c r="W27" s="773">
        <f>J27</f>
        <v>100</v>
      </c>
      <c r="X27" s="1813"/>
      <c r="Y27" s="3249"/>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256"/>
      <c r="Q28" s="1795" t="str">
        <f t="shared" si="11"/>
        <v>朝向</v>
      </c>
      <c r="R28" s="768" t="s">
        <v>17</v>
      </c>
      <c r="S28" s="769">
        <f>F28</f>
        <v>100</v>
      </c>
      <c r="T28" s="768" t="s">
        <v>17</v>
      </c>
      <c r="U28" s="769">
        <f>H28</f>
        <v>100</v>
      </c>
      <c r="V28" s="768" t="s">
        <v>17</v>
      </c>
      <c r="W28" s="769">
        <f>J28</f>
        <v>100</v>
      </c>
      <c r="X28" s="770"/>
      <c r="Y28" s="3249"/>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256"/>
      <c r="Q29" s="1810">
        <f t="shared" si="11"/>
        <v>111</v>
      </c>
      <c r="R29" s="772" t="s">
        <v>17</v>
      </c>
      <c r="S29" s="773">
        <f t="shared" ref="S29:S47" si="12">F29</f>
        <v>100</v>
      </c>
      <c r="T29" s="772" t="s">
        <v>17</v>
      </c>
      <c r="U29" s="773">
        <f t="shared" ref="U29:U47" si="13">H29</f>
        <v>100</v>
      </c>
      <c r="V29" s="772" t="s">
        <v>17</v>
      </c>
      <c r="W29" s="773">
        <f t="shared" ref="W29:W47" si="14">J29</f>
        <v>100</v>
      </c>
      <c r="X29" s="1813"/>
      <c r="Y29" s="3249"/>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256"/>
      <c r="Q30" s="1810">
        <f t="shared" si="11"/>
        <v>111</v>
      </c>
      <c r="R30" s="772" t="s">
        <v>17</v>
      </c>
      <c r="S30" s="773">
        <f t="shared" si="12"/>
        <v>100</v>
      </c>
      <c r="T30" s="772" t="s">
        <v>17</v>
      </c>
      <c r="U30" s="773">
        <f t="shared" si="13"/>
        <v>100</v>
      </c>
      <c r="V30" s="772" t="s">
        <v>17</v>
      </c>
      <c r="W30" s="773">
        <f t="shared" si="14"/>
        <v>100</v>
      </c>
      <c r="X30" s="1813"/>
      <c r="Y30" s="3249"/>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256"/>
      <c r="Q31" s="1810">
        <f t="shared" si="11"/>
        <v>111</v>
      </c>
      <c r="R31" s="772" t="s">
        <v>17</v>
      </c>
      <c r="S31" s="773">
        <f t="shared" si="12"/>
        <v>100</v>
      </c>
      <c r="T31" s="772" t="s">
        <v>17</v>
      </c>
      <c r="U31" s="773">
        <f t="shared" si="13"/>
        <v>100</v>
      </c>
      <c r="V31" s="772" t="s">
        <v>17</v>
      </c>
      <c r="W31" s="773">
        <f t="shared" si="14"/>
        <v>100</v>
      </c>
      <c r="X31" s="1813"/>
      <c r="Y31" s="3249"/>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256"/>
      <c r="Q32" s="1810">
        <f t="shared" si="11"/>
        <v>111</v>
      </c>
      <c r="R32" s="772" t="s">
        <v>17</v>
      </c>
      <c r="S32" s="773">
        <f t="shared" si="12"/>
        <v>100</v>
      </c>
      <c r="T32" s="772" t="s">
        <v>17</v>
      </c>
      <c r="U32" s="773">
        <f t="shared" si="13"/>
        <v>100</v>
      </c>
      <c r="V32" s="772" t="s">
        <v>17</v>
      </c>
      <c r="W32" s="773">
        <f t="shared" si="14"/>
        <v>100</v>
      </c>
      <c r="X32" s="1813"/>
      <c r="Y32" s="3249"/>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250" t="s">
        <v>2565</v>
      </c>
      <c r="Q33" s="1810" t="str">
        <f t="shared" si="11"/>
        <v>建筑类型</v>
      </c>
      <c r="R33" s="772" t="s">
        <v>17</v>
      </c>
      <c r="S33" s="773">
        <f t="shared" si="12"/>
        <v>100</v>
      </c>
      <c r="T33" s="772" t="s">
        <v>17</v>
      </c>
      <c r="U33" s="773">
        <f t="shared" si="13"/>
        <v>100</v>
      </c>
      <c r="V33" s="772" t="s">
        <v>17</v>
      </c>
      <c r="W33" s="773">
        <f t="shared" si="14"/>
        <v>100</v>
      </c>
      <c r="X33" s="1813"/>
      <c r="Y33" s="3253"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51"/>
      <c r="Q34" s="774" t="str">
        <f t="shared" si="11"/>
        <v>项目建筑规模</v>
      </c>
      <c r="R34" s="775" t="s">
        <v>17</v>
      </c>
      <c r="S34" s="776" t="e">
        <f t="shared" si="12"/>
        <v>#N/A</v>
      </c>
      <c r="T34" s="775" t="s">
        <v>17</v>
      </c>
      <c r="U34" s="776" t="e">
        <f t="shared" si="13"/>
        <v>#N/A</v>
      </c>
      <c r="V34" s="775" t="s">
        <v>17</v>
      </c>
      <c r="W34" s="776" t="e">
        <f t="shared" si="14"/>
        <v>#N/A</v>
      </c>
      <c r="X34" s="777"/>
      <c r="Y34" s="3253"/>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51"/>
      <c r="Q35" s="1810" t="str">
        <f t="shared" si="11"/>
        <v>建筑结构</v>
      </c>
      <c r="R35" s="772" t="s">
        <v>17</v>
      </c>
      <c r="S35" s="773">
        <f t="shared" si="12"/>
        <v>100</v>
      </c>
      <c r="T35" s="772" t="s">
        <v>17</v>
      </c>
      <c r="U35" s="773">
        <f t="shared" si="13"/>
        <v>100</v>
      </c>
      <c r="V35" s="772" t="s">
        <v>17</v>
      </c>
      <c r="W35" s="773">
        <f t="shared" si="14"/>
        <v>100</v>
      </c>
      <c r="X35" s="1813"/>
      <c r="Y35" s="3253"/>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51"/>
      <c r="Q36" s="1810" t="str">
        <f t="shared" si="11"/>
        <v>公共部分装修</v>
      </c>
      <c r="R36" s="772" t="s">
        <v>17</v>
      </c>
      <c r="S36" s="773">
        <f t="shared" si="12"/>
        <v>100</v>
      </c>
      <c r="T36" s="772" t="s">
        <v>17</v>
      </c>
      <c r="U36" s="773">
        <f t="shared" si="13"/>
        <v>100</v>
      </c>
      <c r="V36" s="772" t="s">
        <v>17</v>
      </c>
      <c r="W36" s="773">
        <f t="shared" si="14"/>
        <v>100</v>
      </c>
      <c r="X36" s="1813"/>
      <c r="Y36" s="3253"/>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51"/>
      <c r="Q37" s="1810" t="str">
        <f t="shared" si="11"/>
        <v>成新度</v>
      </c>
      <c r="R37" s="772" t="s">
        <v>17</v>
      </c>
      <c r="S37" s="773" t="e">
        <f t="shared" si="12"/>
        <v>#N/A</v>
      </c>
      <c r="T37" s="772" t="s">
        <v>17</v>
      </c>
      <c r="U37" s="773" t="e">
        <f t="shared" si="13"/>
        <v>#N/A</v>
      </c>
      <c r="V37" s="772" t="s">
        <v>17</v>
      </c>
      <c r="W37" s="773" t="e">
        <f t="shared" si="14"/>
        <v>#N/A</v>
      </c>
      <c r="X37" s="1813"/>
      <c r="Y37" s="3253"/>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51"/>
      <c r="Q38" s="1795" t="str">
        <f t="shared" si="11"/>
        <v>写字楼等级</v>
      </c>
      <c r="R38" s="768" t="s">
        <v>17</v>
      </c>
      <c r="S38" s="769">
        <f t="shared" si="12"/>
        <v>100</v>
      </c>
      <c r="T38" s="768" t="s">
        <v>17</v>
      </c>
      <c r="U38" s="769">
        <f t="shared" si="13"/>
        <v>100</v>
      </c>
      <c r="V38" s="768" t="s">
        <v>17</v>
      </c>
      <c r="W38" s="769">
        <f t="shared" si="14"/>
        <v>100</v>
      </c>
      <c r="X38" s="770"/>
      <c r="Y38" s="3253"/>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51" t="s">
        <v>2565</v>
      </c>
      <c r="Q39" s="1810" t="str">
        <f t="shared" si="11"/>
        <v>物业管理</v>
      </c>
      <c r="R39" s="772" t="s">
        <v>17</v>
      </c>
      <c r="S39" s="773">
        <f t="shared" si="12"/>
        <v>100</v>
      </c>
      <c r="T39" s="772" t="s">
        <v>17</v>
      </c>
      <c r="U39" s="773">
        <f t="shared" si="13"/>
        <v>100</v>
      </c>
      <c r="V39" s="772" t="s">
        <v>17</v>
      </c>
      <c r="W39" s="773">
        <f t="shared" si="14"/>
        <v>100</v>
      </c>
      <c r="X39" s="1813"/>
      <c r="Y39" s="3253"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51"/>
      <c r="Q40" s="1810" t="str">
        <f t="shared" si="11"/>
        <v>市政基础设施</v>
      </c>
      <c r="R40" s="772" t="s">
        <v>17</v>
      </c>
      <c r="S40" s="773">
        <f t="shared" si="12"/>
        <v>100</v>
      </c>
      <c r="T40" s="772" t="s">
        <v>17</v>
      </c>
      <c r="U40" s="773">
        <f t="shared" si="13"/>
        <v>100</v>
      </c>
      <c r="V40" s="772" t="s">
        <v>17</v>
      </c>
      <c r="W40" s="773">
        <f t="shared" si="14"/>
        <v>100</v>
      </c>
      <c r="X40" s="1813"/>
      <c r="Y40" s="3253"/>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51"/>
      <c r="Q41" s="1810" t="str">
        <f t="shared" si="11"/>
        <v>层高</v>
      </c>
      <c r="R41" s="772" t="s">
        <v>17</v>
      </c>
      <c r="S41" s="773">
        <f t="shared" si="12"/>
        <v>100</v>
      </c>
      <c r="T41" s="772" t="s">
        <v>17</v>
      </c>
      <c r="U41" s="773">
        <f t="shared" si="13"/>
        <v>100</v>
      </c>
      <c r="V41" s="772" t="s">
        <v>17</v>
      </c>
      <c r="W41" s="773">
        <f t="shared" si="14"/>
        <v>100</v>
      </c>
      <c r="X41" s="1813"/>
      <c r="Y41" s="3253"/>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51"/>
      <c r="Q42" s="774" t="str">
        <f t="shared" si="11"/>
        <v>单套建筑面积</v>
      </c>
      <c r="R42" s="775" t="s">
        <v>17</v>
      </c>
      <c r="S42" s="776">
        <f t="shared" si="12"/>
        <v>100</v>
      </c>
      <c r="T42" s="775" t="s">
        <v>17</v>
      </c>
      <c r="U42" s="776">
        <f t="shared" si="13"/>
        <v>100</v>
      </c>
      <c r="V42" s="775" t="s">
        <v>17</v>
      </c>
      <c r="W42" s="776">
        <f t="shared" si="14"/>
        <v>100</v>
      </c>
      <c r="X42" s="777"/>
      <c r="Y42" s="3253"/>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51"/>
      <c r="Q43" s="1810" t="str">
        <f t="shared" si="11"/>
        <v>内部装修</v>
      </c>
      <c r="R43" s="772" t="s">
        <v>17</v>
      </c>
      <c r="S43" s="773">
        <f t="shared" si="12"/>
        <v>100</v>
      </c>
      <c r="T43" s="772" t="s">
        <v>17</v>
      </c>
      <c r="U43" s="773">
        <f t="shared" si="13"/>
        <v>100</v>
      </c>
      <c r="V43" s="772" t="s">
        <v>17</v>
      </c>
      <c r="W43" s="773">
        <f t="shared" si="14"/>
        <v>100</v>
      </c>
      <c r="X43" s="1813"/>
      <c r="Y43" s="3253"/>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251"/>
      <c r="Q44" s="1810" t="str">
        <f t="shared" si="11"/>
        <v>内部装修维护情况</v>
      </c>
      <c r="R44" s="772" t="s">
        <v>17</v>
      </c>
      <c r="S44" s="773">
        <f t="shared" si="12"/>
        <v>100</v>
      </c>
      <c r="T44" s="772" t="s">
        <v>17</v>
      </c>
      <c r="U44" s="773">
        <f t="shared" si="13"/>
        <v>100</v>
      </c>
      <c r="V44" s="772" t="s">
        <v>17</v>
      </c>
      <c r="W44" s="773">
        <f t="shared" si="14"/>
        <v>100</v>
      </c>
      <c r="X44" s="1813"/>
      <c r="Y44" s="3253"/>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51"/>
      <c r="Q45" s="1795">
        <f t="shared" si="11"/>
        <v>111</v>
      </c>
      <c r="R45" s="768" t="s">
        <v>17</v>
      </c>
      <c r="S45" s="769">
        <f t="shared" si="12"/>
        <v>100</v>
      </c>
      <c r="T45" s="768" t="s">
        <v>17</v>
      </c>
      <c r="U45" s="769">
        <f t="shared" si="13"/>
        <v>100</v>
      </c>
      <c r="V45" s="768" t="s">
        <v>17</v>
      </c>
      <c r="W45" s="769">
        <f t="shared" si="14"/>
        <v>100</v>
      </c>
      <c r="X45" s="770"/>
      <c r="Y45" s="3253"/>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51"/>
      <c r="Q46" s="1810">
        <f t="shared" si="11"/>
        <v>111</v>
      </c>
      <c r="R46" s="772" t="s">
        <v>17</v>
      </c>
      <c r="S46" s="773">
        <f t="shared" si="12"/>
        <v>100</v>
      </c>
      <c r="T46" s="772" t="s">
        <v>17</v>
      </c>
      <c r="U46" s="773">
        <f t="shared" si="13"/>
        <v>100</v>
      </c>
      <c r="V46" s="772" t="s">
        <v>17</v>
      </c>
      <c r="W46" s="773">
        <f t="shared" si="14"/>
        <v>100</v>
      </c>
      <c r="X46" s="1813"/>
      <c r="Y46" s="3253"/>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52"/>
      <c r="Q47" s="1810">
        <f t="shared" si="11"/>
        <v>111</v>
      </c>
      <c r="R47" s="772" t="s">
        <v>17</v>
      </c>
      <c r="S47" s="773">
        <f t="shared" si="12"/>
        <v>100</v>
      </c>
      <c r="T47" s="772" t="s">
        <v>17</v>
      </c>
      <c r="U47" s="773">
        <f t="shared" si="13"/>
        <v>100</v>
      </c>
      <c r="V47" s="772" t="s">
        <v>17</v>
      </c>
      <c r="W47" s="773">
        <f t="shared" si="14"/>
        <v>100</v>
      </c>
      <c r="X47" s="1813"/>
      <c r="Y47" s="3254"/>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228" t="str">
        <f>A48</f>
        <v>成交单价（元/平方米）</v>
      </c>
      <c r="Q48" s="3246"/>
      <c r="R48" s="3247">
        <f>E48</f>
        <v>0</v>
      </c>
      <c r="S48" s="3247"/>
      <c r="T48" s="3247">
        <f>G48</f>
        <v>0</v>
      </c>
      <c r="U48" s="3247"/>
      <c r="V48" s="3247">
        <f>I48</f>
        <v>0</v>
      </c>
      <c r="W48" s="3247"/>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228" t="str">
        <f>A49</f>
        <v>比较价值（元/平方米）</v>
      </c>
      <c r="Q49" s="3246"/>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12" t="s">
        <v>2648</v>
      </c>
      <c r="AC4" s="3211" t="s">
        <v>2649</v>
      </c>
    </row>
    <row r="5" spans="1:29"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12"/>
      <c r="AC5" s="3212"/>
    </row>
    <row r="6" spans="1:29" ht="15.75" thickBot="1">
      <c r="A6" s="404"/>
      <c r="B6" s="405"/>
      <c r="C6" s="3224" t="s">
        <v>2546</v>
      </c>
      <c r="D6" s="3225"/>
      <c r="E6" s="3226" t="s">
        <v>2546</v>
      </c>
      <c r="F6" s="3227"/>
      <c r="G6" s="3224" t="s">
        <v>2546</v>
      </c>
      <c r="H6" s="3225"/>
      <c r="I6" s="3224" t="s">
        <v>2546</v>
      </c>
      <c r="J6" s="3225"/>
      <c r="K6" s="608" t="s">
        <v>2547</v>
      </c>
      <c r="L6" s="1130"/>
      <c r="M6" s="1131"/>
      <c r="N6" s="1131"/>
      <c r="O6" s="1131"/>
      <c r="P6" s="3237"/>
      <c r="Q6" s="3238"/>
      <c r="R6" s="3218"/>
      <c r="S6" s="3219"/>
      <c r="T6" s="3239"/>
      <c r="U6" s="3240"/>
      <c r="V6" s="3241"/>
      <c r="W6" s="3241"/>
      <c r="X6" s="1813"/>
      <c r="Y6" s="3239"/>
      <c r="Z6" s="3240"/>
      <c r="AA6" s="3213"/>
      <c r="AB6" s="3213"/>
      <c r="AC6" s="3213"/>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4" t="s">
        <v>2549</v>
      </c>
      <c r="Q7" s="3242"/>
      <c r="R7" s="768" t="s">
        <v>17</v>
      </c>
      <c r="S7" s="769">
        <f t="shared" ref="S7:S15" si="0">F7</f>
        <v>0</v>
      </c>
      <c r="T7" s="768" t="s">
        <v>17</v>
      </c>
      <c r="U7" s="769">
        <f t="shared" ref="U7:U15" si="1">H7</f>
        <v>0</v>
      </c>
      <c r="V7" s="768" t="s">
        <v>17</v>
      </c>
      <c r="W7" s="769">
        <f t="shared" ref="W7:W15" si="2">J7</f>
        <v>0</v>
      </c>
      <c r="X7" s="770"/>
      <c r="Y7" s="3214" t="s">
        <v>2549</v>
      </c>
      <c r="Z7" s="3215"/>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246"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246"/>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246"/>
      <c r="Q11" s="1795" t="str">
        <f t="shared" si="6"/>
        <v>容积率</v>
      </c>
      <c r="R11" s="768" t="s">
        <v>17</v>
      </c>
      <c r="S11" s="769" t="e">
        <f t="shared" si="0"/>
        <v>#N/A</v>
      </c>
      <c r="T11" s="768" t="s">
        <v>17</v>
      </c>
      <c r="U11" s="769" t="e">
        <f t="shared" si="1"/>
        <v>#N/A</v>
      </c>
      <c r="V11" s="768" t="s">
        <v>17</v>
      </c>
      <c r="W11" s="769" t="e">
        <f t="shared" si="2"/>
        <v>#N/A</v>
      </c>
      <c r="X11" s="770"/>
      <c r="Y11" s="3036"/>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246"/>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246"/>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246"/>
      <c r="Q14" s="1795">
        <f t="shared" si="6"/>
        <v>111</v>
      </c>
      <c r="R14" s="768" t="s">
        <v>17</v>
      </c>
      <c r="S14" s="769">
        <f t="shared" si="0"/>
        <v>100</v>
      </c>
      <c r="T14" s="768" t="s">
        <v>17</v>
      </c>
      <c r="U14" s="769">
        <f t="shared" si="1"/>
        <v>100</v>
      </c>
      <c r="V14" s="768" t="s">
        <v>17</v>
      </c>
      <c r="W14" s="769">
        <f t="shared" si="2"/>
        <v>100</v>
      </c>
      <c r="X14" s="770"/>
      <c r="Y14" s="3036"/>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48" t="s">
        <v>2560</v>
      </c>
      <c r="Q15" s="1810" t="str">
        <f t="shared" si="6"/>
        <v>产业集聚程度</v>
      </c>
      <c r="R15" s="772" t="s">
        <v>17</v>
      </c>
      <c r="S15" s="773">
        <f t="shared" si="0"/>
        <v>100</v>
      </c>
      <c r="T15" s="772" t="s">
        <v>17</v>
      </c>
      <c r="U15" s="773">
        <f t="shared" si="1"/>
        <v>100</v>
      </c>
      <c r="V15" s="772" t="s">
        <v>17</v>
      </c>
      <c r="W15" s="773">
        <f t="shared" si="2"/>
        <v>100</v>
      </c>
      <c r="X15" s="1813"/>
      <c r="Y15" s="3248"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249"/>
      <c r="Q16" s="1810"/>
      <c r="R16" s="772"/>
      <c r="S16" s="773"/>
      <c r="T16" s="772"/>
      <c r="U16" s="773"/>
      <c r="V16" s="772"/>
      <c r="W16" s="773"/>
      <c r="X16" s="1813"/>
      <c r="Y16" s="3249"/>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49"/>
      <c r="Q17" s="1810" t="str">
        <f>B17</f>
        <v>交通便捷度</v>
      </c>
      <c r="R17" s="772" t="s">
        <v>17</v>
      </c>
      <c r="S17" s="773">
        <f>F17</f>
        <v>100</v>
      </c>
      <c r="T17" s="772" t="s">
        <v>17</v>
      </c>
      <c r="U17" s="773">
        <f>H17</f>
        <v>100</v>
      </c>
      <c r="V17" s="772" t="s">
        <v>17</v>
      </c>
      <c r="W17" s="773">
        <f>J17</f>
        <v>100</v>
      </c>
      <c r="X17" s="1813"/>
      <c r="Y17" s="3249"/>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249"/>
      <c r="Q18" s="1810"/>
      <c r="R18" s="772"/>
      <c r="S18" s="773"/>
      <c r="T18" s="772"/>
      <c r="U18" s="773"/>
      <c r="V18" s="772"/>
      <c r="W18" s="773"/>
      <c r="X18" s="1813"/>
      <c r="Y18" s="3249"/>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49"/>
      <c r="Q19" s="1810" t="str">
        <f>B19</f>
        <v>公共配套设施</v>
      </c>
      <c r="R19" s="772" t="s">
        <v>17</v>
      </c>
      <c r="S19" s="773">
        <f>F19</f>
        <v>100</v>
      </c>
      <c r="T19" s="772" t="s">
        <v>17</v>
      </c>
      <c r="U19" s="773">
        <f>H19</f>
        <v>100</v>
      </c>
      <c r="V19" s="772" t="s">
        <v>17</v>
      </c>
      <c r="W19" s="773">
        <f>J19</f>
        <v>100</v>
      </c>
      <c r="X19" s="1813"/>
      <c r="Y19" s="3249"/>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249"/>
      <c r="Q20" s="1810"/>
      <c r="R20" s="772"/>
      <c r="S20" s="773"/>
      <c r="T20" s="772"/>
      <c r="U20" s="773"/>
      <c r="V20" s="772"/>
      <c r="W20" s="773"/>
      <c r="X20" s="1813"/>
      <c r="Y20" s="3249"/>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49"/>
      <c r="Q21" s="1810" t="str">
        <f>B21</f>
        <v>基础设施水平</v>
      </c>
      <c r="R21" s="772" t="s">
        <v>17</v>
      </c>
      <c r="S21" s="773">
        <f>F21</f>
        <v>100</v>
      </c>
      <c r="T21" s="772" t="s">
        <v>17</v>
      </c>
      <c r="U21" s="773">
        <f>H21</f>
        <v>100</v>
      </c>
      <c r="V21" s="772" t="s">
        <v>17</v>
      </c>
      <c r="W21" s="773">
        <f>J21</f>
        <v>100</v>
      </c>
      <c r="X21" s="1813"/>
      <c r="Y21" s="3249"/>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249"/>
      <c r="Q22" s="1810"/>
      <c r="R22" s="772"/>
      <c r="S22" s="773"/>
      <c r="T22" s="772"/>
      <c r="U22" s="773"/>
      <c r="V22" s="772"/>
      <c r="W22" s="773"/>
      <c r="X22" s="1813"/>
      <c r="Y22" s="3249"/>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49"/>
      <c r="Q23" s="1810" t="str">
        <f>B23</f>
        <v>环境质量</v>
      </c>
      <c r="R23" s="772" t="s">
        <v>17</v>
      </c>
      <c r="S23" s="773">
        <f>F23</f>
        <v>100</v>
      </c>
      <c r="T23" s="772" t="s">
        <v>17</v>
      </c>
      <c r="U23" s="773">
        <f>H23</f>
        <v>100</v>
      </c>
      <c r="V23" s="772" t="s">
        <v>17</v>
      </c>
      <c r="W23" s="773">
        <f>J23</f>
        <v>100</v>
      </c>
      <c r="X23" s="1813"/>
      <c r="Y23" s="3249"/>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249"/>
      <c r="Q24" s="1810"/>
      <c r="R24" s="772"/>
      <c r="S24" s="773"/>
      <c r="T24" s="772"/>
      <c r="U24" s="773"/>
      <c r="V24" s="772"/>
      <c r="W24" s="773"/>
      <c r="X24" s="1813"/>
      <c r="Y24" s="3249"/>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49"/>
      <c r="Q25" s="1810">
        <f>B25</f>
        <v>111</v>
      </c>
      <c r="R25" s="772" t="s">
        <v>17</v>
      </c>
      <c r="S25" s="773">
        <f>F25</f>
        <v>100</v>
      </c>
      <c r="T25" s="772" t="s">
        <v>17</v>
      </c>
      <c r="U25" s="773">
        <f>H25</f>
        <v>100</v>
      </c>
      <c r="V25" s="772" t="s">
        <v>17</v>
      </c>
      <c r="W25" s="773">
        <f>J25</f>
        <v>100</v>
      </c>
      <c r="X25" s="1813"/>
      <c r="Y25" s="3249"/>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49"/>
      <c r="Q26" s="1810">
        <f t="shared" ref="Q26:Q40" si="11">B26</f>
        <v>111</v>
      </c>
      <c r="R26" s="772" t="s">
        <v>17</v>
      </c>
      <c r="S26" s="773">
        <f>F26</f>
        <v>100</v>
      </c>
      <c r="T26" s="772" t="s">
        <v>17</v>
      </c>
      <c r="U26" s="773">
        <f>H26</f>
        <v>100</v>
      </c>
      <c r="V26" s="772" t="s">
        <v>17</v>
      </c>
      <c r="W26" s="773">
        <f>J26</f>
        <v>100</v>
      </c>
      <c r="X26" s="1813"/>
      <c r="Y26" s="3249"/>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49"/>
      <c r="Q27" s="1795">
        <f t="shared" si="11"/>
        <v>111</v>
      </c>
      <c r="R27" s="768" t="s">
        <v>17</v>
      </c>
      <c r="S27" s="769">
        <f>F27</f>
        <v>100</v>
      </c>
      <c r="T27" s="768" t="s">
        <v>17</v>
      </c>
      <c r="U27" s="769">
        <f>H27</f>
        <v>100</v>
      </c>
      <c r="V27" s="768" t="s">
        <v>17</v>
      </c>
      <c r="W27" s="769">
        <f>J27</f>
        <v>100</v>
      </c>
      <c r="X27" s="770"/>
      <c r="Y27" s="3249"/>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49"/>
      <c r="Q28" s="1810">
        <f t="shared" si="11"/>
        <v>111</v>
      </c>
      <c r="R28" s="772" t="s">
        <v>17</v>
      </c>
      <c r="S28" s="773">
        <f t="shared" ref="S28:S40" si="12">F28</f>
        <v>100</v>
      </c>
      <c r="T28" s="772" t="s">
        <v>17</v>
      </c>
      <c r="U28" s="773">
        <f t="shared" ref="U28:U40" si="13">H28</f>
        <v>100</v>
      </c>
      <c r="V28" s="772" t="s">
        <v>17</v>
      </c>
      <c r="W28" s="773">
        <f t="shared" ref="W28:W40" si="14">J28</f>
        <v>100</v>
      </c>
      <c r="X28" s="1813"/>
      <c r="Y28" s="3249"/>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272" t="s">
        <v>2565</v>
      </c>
      <c r="Q29" s="1810" t="str">
        <f t="shared" si="11"/>
        <v>建筑类型</v>
      </c>
      <c r="R29" s="772" t="s">
        <v>17</v>
      </c>
      <c r="S29" s="773">
        <f t="shared" si="12"/>
        <v>100</v>
      </c>
      <c r="T29" s="772" t="s">
        <v>17</v>
      </c>
      <c r="U29" s="773">
        <f t="shared" si="13"/>
        <v>100</v>
      </c>
      <c r="V29" s="772" t="s">
        <v>17</v>
      </c>
      <c r="W29" s="773">
        <f t="shared" si="14"/>
        <v>100</v>
      </c>
      <c r="X29" s="1813"/>
      <c r="Y29" s="3253"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53"/>
      <c r="Q30" s="774" t="str">
        <f t="shared" si="11"/>
        <v>项目建筑规模</v>
      </c>
      <c r="R30" s="775" t="s">
        <v>17</v>
      </c>
      <c r="S30" s="776" t="e">
        <f t="shared" si="12"/>
        <v>#N/A</v>
      </c>
      <c r="T30" s="775" t="s">
        <v>17</v>
      </c>
      <c r="U30" s="776" t="e">
        <f t="shared" si="13"/>
        <v>#N/A</v>
      </c>
      <c r="V30" s="775" t="s">
        <v>17</v>
      </c>
      <c r="W30" s="776" t="e">
        <f t="shared" si="14"/>
        <v>#N/A</v>
      </c>
      <c r="X30" s="777"/>
      <c r="Y30" s="3253"/>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53"/>
      <c r="Q31" s="1810" t="str">
        <f t="shared" si="11"/>
        <v>建筑结构</v>
      </c>
      <c r="R31" s="772" t="s">
        <v>17</v>
      </c>
      <c r="S31" s="773">
        <f t="shared" si="12"/>
        <v>100</v>
      </c>
      <c r="T31" s="772" t="s">
        <v>17</v>
      </c>
      <c r="U31" s="773">
        <f t="shared" si="13"/>
        <v>100</v>
      </c>
      <c r="V31" s="772" t="s">
        <v>17</v>
      </c>
      <c r="W31" s="773">
        <f t="shared" si="14"/>
        <v>100</v>
      </c>
      <c r="X31" s="1813"/>
      <c r="Y31" s="3253"/>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53"/>
      <c r="Q32" s="1810" t="str">
        <f t="shared" si="11"/>
        <v>公共部分装修</v>
      </c>
      <c r="R32" s="772" t="s">
        <v>17</v>
      </c>
      <c r="S32" s="773">
        <f t="shared" si="12"/>
        <v>100</v>
      </c>
      <c r="T32" s="772" t="s">
        <v>17</v>
      </c>
      <c r="U32" s="773">
        <f t="shared" si="13"/>
        <v>100</v>
      </c>
      <c r="V32" s="772" t="s">
        <v>17</v>
      </c>
      <c r="W32" s="773">
        <f t="shared" si="14"/>
        <v>100</v>
      </c>
      <c r="X32" s="1813"/>
      <c r="Y32" s="3253"/>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53"/>
      <c r="Q33" s="1810" t="str">
        <f t="shared" si="11"/>
        <v>成新度</v>
      </c>
      <c r="R33" s="772" t="s">
        <v>17</v>
      </c>
      <c r="S33" s="773" t="e">
        <f t="shared" si="12"/>
        <v>#N/A</v>
      </c>
      <c r="T33" s="772" t="s">
        <v>17</v>
      </c>
      <c r="U33" s="773" t="e">
        <f t="shared" si="13"/>
        <v>#N/A</v>
      </c>
      <c r="V33" s="772" t="s">
        <v>17</v>
      </c>
      <c r="W33" s="773" t="e">
        <f t="shared" si="14"/>
        <v>#N/A</v>
      </c>
      <c r="X33" s="1813"/>
      <c r="Y33" s="3253"/>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53"/>
      <c r="Q34" s="1795" t="str">
        <f t="shared" si="11"/>
        <v>物业管理</v>
      </c>
      <c r="R34" s="768" t="s">
        <v>17</v>
      </c>
      <c r="S34" s="769">
        <f t="shared" si="12"/>
        <v>100</v>
      </c>
      <c r="T34" s="768" t="s">
        <v>17</v>
      </c>
      <c r="U34" s="769">
        <f t="shared" si="13"/>
        <v>100</v>
      </c>
      <c r="V34" s="768" t="s">
        <v>17</v>
      </c>
      <c r="W34" s="769">
        <f t="shared" si="14"/>
        <v>100</v>
      </c>
      <c r="X34" s="770"/>
      <c r="Y34" s="3253"/>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53" t="s">
        <v>2565</v>
      </c>
      <c r="Q35" s="1810" t="str">
        <f t="shared" si="11"/>
        <v>市政基础设施</v>
      </c>
      <c r="R35" s="772" t="s">
        <v>17</v>
      </c>
      <c r="S35" s="773">
        <f t="shared" si="12"/>
        <v>100</v>
      </c>
      <c r="T35" s="772" t="s">
        <v>17</v>
      </c>
      <c r="U35" s="773">
        <f t="shared" si="13"/>
        <v>100</v>
      </c>
      <c r="V35" s="772" t="s">
        <v>17</v>
      </c>
      <c r="W35" s="773">
        <f t="shared" si="14"/>
        <v>100</v>
      </c>
      <c r="X35" s="1813"/>
      <c r="Y35" s="3253"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53"/>
      <c r="Q36" s="1810" t="str">
        <f t="shared" si="11"/>
        <v>内部装修</v>
      </c>
      <c r="R36" s="772" t="s">
        <v>17</v>
      </c>
      <c r="S36" s="773">
        <f t="shared" si="12"/>
        <v>100</v>
      </c>
      <c r="T36" s="772" t="s">
        <v>17</v>
      </c>
      <c r="U36" s="773">
        <f t="shared" si="13"/>
        <v>100</v>
      </c>
      <c r="V36" s="772" t="s">
        <v>17</v>
      </c>
      <c r="W36" s="773">
        <f t="shared" si="14"/>
        <v>100</v>
      </c>
      <c r="X36" s="1813"/>
      <c r="Y36" s="3253"/>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53"/>
      <c r="Q37" s="1810" t="str">
        <f t="shared" si="11"/>
        <v>内部装修状况</v>
      </c>
      <c r="R37" s="772" t="s">
        <v>17</v>
      </c>
      <c r="S37" s="773">
        <f t="shared" si="12"/>
        <v>100</v>
      </c>
      <c r="T37" s="772" t="s">
        <v>17</v>
      </c>
      <c r="U37" s="773">
        <f t="shared" si="13"/>
        <v>100</v>
      </c>
      <c r="V37" s="772" t="s">
        <v>17</v>
      </c>
      <c r="W37" s="773">
        <f t="shared" si="14"/>
        <v>100</v>
      </c>
      <c r="X37" s="1813"/>
      <c r="Y37" s="3253"/>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53"/>
      <c r="Q38" s="774">
        <f t="shared" si="11"/>
        <v>111</v>
      </c>
      <c r="R38" s="775" t="s">
        <v>17</v>
      </c>
      <c r="S38" s="776">
        <f t="shared" si="12"/>
        <v>100</v>
      </c>
      <c r="T38" s="775" t="s">
        <v>17</v>
      </c>
      <c r="U38" s="776">
        <f t="shared" si="13"/>
        <v>100</v>
      </c>
      <c r="V38" s="775" t="s">
        <v>17</v>
      </c>
      <c r="W38" s="776">
        <f t="shared" si="14"/>
        <v>100</v>
      </c>
      <c r="X38" s="777"/>
      <c r="Y38" s="3253"/>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53"/>
      <c r="Q39" s="1810">
        <f t="shared" si="11"/>
        <v>111</v>
      </c>
      <c r="R39" s="772" t="s">
        <v>17</v>
      </c>
      <c r="S39" s="773">
        <f t="shared" si="12"/>
        <v>100</v>
      </c>
      <c r="T39" s="772" t="s">
        <v>17</v>
      </c>
      <c r="U39" s="773">
        <f t="shared" si="13"/>
        <v>100</v>
      </c>
      <c r="V39" s="772" t="s">
        <v>17</v>
      </c>
      <c r="W39" s="773">
        <f t="shared" si="14"/>
        <v>100</v>
      </c>
      <c r="X39" s="1813"/>
      <c r="Y39" s="3253"/>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54"/>
      <c r="Q40" s="1810">
        <f t="shared" si="11"/>
        <v>111</v>
      </c>
      <c r="R40" s="772" t="s">
        <v>17</v>
      </c>
      <c r="S40" s="773">
        <f t="shared" si="12"/>
        <v>100</v>
      </c>
      <c r="T40" s="772" t="s">
        <v>17</v>
      </c>
      <c r="U40" s="773">
        <f t="shared" si="13"/>
        <v>100</v>
      </c>
      <c r="V40" s="772" t="s">
        <v>17</v>
      </c>
      <c r="W40" s="773">
        <f t="shared" si="14"/>
        <v>100</v>
      </c>
      <c r="X40" s="1813"/>
      <c r="Y40" s="3254"/>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246" t="str">
        <f>A41</f>
        <v>成交单价（元/平方米）</v>
      </c>
      <c r="Q41" s="3246"/>
      <c r="R41" s="3247">
        <f>E41</f>
        <v>0</v>
      </c>
      <c r="S41" s="3247"/>
      <c r="T41" s="3247">
        <f>G41</f>
        <v>0</v>
      </c>
      <c r="U41" s="3247"/>
      <c r="V41" s="3247">
        <f>I41</f>
        <v>0</v>
      </c>
      <c r="W41" s="3247"/>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243" t="str">
        <f>A43</f>
        <v>估价对象XX用房的比较价值（楼面单价，元/平方米）</v>
      </c>
      <c r="Q43" s="3244"/>
      <c r="R43" s="3245" t="e">
        <f>IF(F1="售价",ROUND(AVERAGE(R42:V42),0),ROUND(AVERAGE(R42:V42),1))</f>
        <v>#DIV/0!</v>
      </c>
      <c r="S43" s="3245"/>
      <c r="T43" s="3245"/>
      <c r="U43" s="3245"/>
      <c r="V43" s="3245"/>
      <c r="W43" s="324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12" t="s">
        <v>2648</v>
      </c>
      <c r="AC4" s="3211" t="s">
        <v>2649</v>
      </c>
    </row>
    <row r="5" spans="1:29"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12"/>
      <c r="AC5" s="3212"/>
    </row>
    <row r="6" spans="1:29" ht="15.75" thickBot="1">
      <c r="A6" s="404"/>
      <c r="B6" s="405"/>
      <c r="C6" s="3224" t="s">
        <v>2546</v>
      </c>
      <c r="D6" s="3225"/>
      <c r="E6" s="3226" t="s">
        <v>2546</v>
      </c>
      <c r="F6" s="3227"/>
      <c r="G6" s="3224" t="s">
        <v>2546</v>
      </c>
      <c r="H6" s="3225"/>
      <c r="I6" s="3224" t="s">
        <v>2546</v>
      </c>
      <c r="J6" s="3225"/>
      <c r="K6" s="608" t="s">
        <v>2547</v>
      </c>
      <c r="L6" s="1130"/>
      <c r="M6" s="1131"/>
      <c r="N6" s="1131"/>
      <c r="O6" s="1131"/>
      <c r="P6" s="3237"/>
      <c r="Q6" s="3238"/>
      <c r="R6" s="3218"/>
      <c r="S6" s="3219"/>
      <c r="T6" s="3239"/>
      <c r="U6" s="3240"/>
      <c r="V6" s="3241"/>
      <c r="W6" s="3241"/>
      <c r="X6" s="1813"/>
      <c r="Y6" s="3239"/>
      <c r="Z6" s="3240"/>
      <c r="AA6" s="3213"/>
      <c r="AB6" s="3213"/>
      <c r="AC6" s="3213"/>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4" t="s">
        <v>2549</v>
      </c>
      <c r="Q7" s="3242"/>
      <c r="R7" s="768" t="s">
        <v>17</v>
      </c>
      <c r="S7" s="769">
        <f t="shared" ref="S7:S14" si="0">F7</f>
        <v>0</v>
      </c>
      <c r="T7" s="768" t="s">
        <v>17</v>
      </c>
      <c r="U7" s="769">
        <f t="shared" ref="U7:U14" si="1">H7</f>
        <v>0</v>
      </c>
      <c r="V7" s="768" t="s">
        <v>17</v>
      </c>
      <c r="W7" s="769">
        <f t="shared" ref="W7:W14" si="2">J7</f>
        <v>0</v>
      </c>
      <c r="X7" s="770"/>
      <c r="Y7" s="3214" t="s">
        <v>2549</v>
      </c>
      <c r="Z7" s="3215"/>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246" t="s">
        <v>2555</v>
      </c>
      <c r="Q9" s="1795" t="str">
        <f t="shared" ref="Q9:Q14" si="6">B9</f>
        <v>用途</v>
      </c>
      <c r="R9" s="768" t="s">
        <v>17</v>
      </c>
      <c r="S9" s="769">
        <f t="shared" si="0"/>
        <v>100</v>
      </c>
      <c r="T9" s="768" t="s">
        <v>17</v>
      </c>
      <c r="U9" s="769">
        <f t="shared" si="1"/>
        <v>100</v>
      </c>
      <c r="V9" s="768" t="s">
        <v>17</v>
      </c>
      <c r="W9" s="769">
        <f t="shared" si="2"/>
        <v>100</v>
      </c>
      <c r="X9" s="770"/>
      <c r="Y9" s="3036"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246"/>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246"/>
      <c r="Q11" s="1795">
        <f t="shared" si="6"/>
        <v>111</v>
      </c>
      <c r="R11" s="768" t="s">
        <v>17</v>
      </c>
      <c r="S11" s="769">
        <f t="shared" si="0"/>
        <v>100</v>
      </c>
      <c r="T11" s="768" t="s">
        <v>17</v>
      </c>
      <c r="U11" s="769">
        <f t="shared" si="1"/>
        <v>100</v>
      </c>
      <c r="V11" s="768" t="s">
        <v>17</v>
      </c>
      <c r="W11" s="769">
        <f t="shared" si="2"/>
        <v>100</v>
      </c>
      <c r="X11" s="770"/>
      <c r="Y11" s="3036"/>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246"/>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246"/>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48" t="s">
        <v>2560</v>
      </c>
      <c r="Q14" s="1810" t="str">
        <f t="shared" si="6"/>
        <v>交通便捷度</v>
      </c>
      <c r="R14" s="772" t="s">
        <v>17</v>
      </c>
      <c r="S14" s="773">
        <f t="shared" si="0"/>
        <v>100</v>
      </c>
      <c r="T14" s="772" t="s">
        <v>17</v>
      </c>
      <c r="U14" s="773">
        <f t="shared" si="1"/>
        <v>100</v>
      </c>
      <c r="V14" s="772" t="s">
        <v>17</v>
      </c>
      <c r="W14" s="773">
        <f t="shared" si="2"/>
        <v>100</v>
      </c>
      <c r="X14" s="1813"/>
      <c r="Y14" s="3248"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249"/>
      <c r="Q15" s="1810"/>
      <c r="R15" s="772"/>
      <c r="S15" s="773"/>
      <c r="T15" s="772"/>
      <c r="U15" s="773"/>
      <c r="V15" s="772"/>
      <c r="W15" s="773"/>
      <c r="X15" s="1813"/>
      <c r="Y15" s="3249"/>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49"/>
      <c r="Q16" s="1810" t="str">
        <f>B16</f>
        <v>公共配套设施</v>
      </c>
      <c r="R16" s="772" t="s">
        <v>17</v>
      </c>
      <c r="S16" s="773">
        <f>F16</f>
        <v>100</v>
      </c>
      <c r="T16" s="772" t="s">
        <v>17</v>
      </c>
      <c r="U16" s="773">
        <f>H16</f>
        <v>100</v>
      </c>
      <c r="V16" s="772" t="s">
        <v>17</v>
      </c>
      <c r="W16" s="773">
        <f>J16</f>
        <v>100</v>
      </c>
      <c r="X16" s="1813"/>
      <c r="Y16" s="3249"/>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249"/>
      <c r="Q17" s="1810"/>
      <c r="R17" s="772"/>
      <c r="S17" s="773"/>
      <c r="T17" s="772"/>
      <c r="U17" s="773"/>
      <c r="V17" s="772"/>
      <c r="W17" s="773"/>
      <c r="X17" s="1813"/>
      <c r="Y17" s="3249"/>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49"/>
      <c r="Q18" s="1810" t="str">
        <f>B18</f>
        <v>基础设施水平</v>
      </c>
      <c r="R18" s="772" t="s">
        <v>17</v>
      </c>
      <c r="S18" s="773">
        <f>F18</f>
        <v>100</v>
      </c>
      <c r="T18" s="772" t="s">
        <v>17</v>
      </c>
      <c r="U18" s="773">
        <f>H18</f>
        <v>100</v>
      </c>
      <c r="V18" s="772" t="s">
        <v>17</v>
      </c>
      <c r="W18" s="773">
        <f>J18</f>
        <v>100</v>
      </c>
      <c r="X18" s="1813"/>
      <c r="Y18" s="3249"/>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249"/>
      <c r="Q19" s="1810"/>
      <c r="R19" s="772"/>
      <c r="S19" s="773"/>
      <c r="T19" s="772"/>
      <c r="U19" s="773"/>
      <c r="V19" s="772"/>
      <c r="W19" s="773"/>
      <c r="X19" s="1813"/>
      <c r="Y19" s="3249"/>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49"/>
      <c r="Q20" s="1810" t="str">
        <f>B20</f>
        <v>自然及人文环境</v>
      </c>
      <c r="R20" s="772" t="s">
        <v>17</v>
      </c>
      <c r="S20" s="773">
        <f>F20</f>
        <v>100</v>
      </c>
      <c r="T20" s="772" t="s">
        <v>17</v>
      </c>
      <c r="U20" s="773">
        <f>H20</f>
        <v>100</v>
      </c>
      <c r="V20" s="772" t="s">
        <v>17</v>
      </c>
      <c r="W20" s="773">
        <f>J20</f>
        <v>100</v>
      </c>
      <c r="X20" s="1813"/>
      <c r="Y20" s="3249"/>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249"/>
      <c r="Q21" s="1810"/>
      <c r="R21" s="772"/>
      <c r="S21" s="773"/>
      <c r="T21" s="772"/>
      <c r="U21" s="773"/>
      <c r="V21" s="772"/>
      <c r="W21" s="773"/>
      <c r="X21" s="1813"/>
      <c r="Y21" s="3249"/>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49"/>
      <c r="Q22" s="1810" t="str">
        <f>B22</f>
        <v>楼层</v>
      </c>
      <c r="R22" s="772" t="s">
        <v>17</v>
      </c>
      <c r="S22" s="773">
        <f>F22</f>
        <v>100</v>
      </c>
      <c r="T22" s="772" t="s">
        <v>17</v>
      </c>
      <c r="U22" s="773">
        <f>H22</f>
        <v>100</v>
      </c>
      <c r="V22" s="772" t="s">
        <v>17</v>
      </c>
      <c r="W22" s="773">
        <f>J22</f>
        <v>100</v>
      </c>
      <c r="X22" s="1813"/>
      <c r="Y22" s="3249"/>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49"/>
      <c r="Q23" s="1810">
        <f>B23</f>
        <v>111</v>
      </c>
      <c r="R23" s="772" t="s">
        <v>17</v>
      </c>
      <c r="S23" s="773">
        <f>F23</f>
        <v>100</v>
      </c>
      <c r="T23" s="772" t="s">
        <v>17</v>
      </c>
      <c r="U23" s="773">
        <f>H23</f>
        <v>100</v>
      </c>
      <c r="V23" s="772" t="s">
        <v>17</v>
      </c>
      <c r="W23" s="773">
        <f>J23</f>
        <v>100</v>
      </c>
      <c r="X23" s="1813"/>
      <c r="Y23" s="3249"/>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49"/>
      <c r="Q24" s="1810">
        <f t="shared" ref="Q24:Q36" si="11">B24</f>
        <v>111</v>
      </c>
      <c r="R24" s="772" t="s">
        <v>17</v>
      </c>
      <c r="S24" s="773">
        <f>F24</f>
        <v>100</v>
      </c>
      <c r="T24" s="772" t="s">
        <v>17</v>
      </c>
      <c r="U24" s="773">
        <f>H24</f>
        <v>100</v>
      </c>
      <c r="V24" s="772" t="s">
        <v>17</v>
      </c>
      <c r="W24" s="773">
        <f>J24</f>
        <v>100</v>
      </c>
      <c r="X24" s="1813"/>
      <c r="Y24" s="3249"/>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49"/>
      <c r="Q25" s="1795">
        <f t="shared" si="11"/>
        <v>111</v>
      </c>
      <c r="R25" s="768" t="s">
        <v>17</v>
      </c>
      <c r="S25" s="769">
        <f>F25</f>
        <v>100</v>
      </c>
      <c r="T25" s="768" t="s">
        <v>17</v>
      </c>
      <c r="U25" s="769">
        <f>H25</f>
        <v>100</v>
      </c>
      <c r="V25" s="768" t="s">
        <v>17</v>
      </c>
      <c r="W25" s="769">
        <f>J25</f>
        <v>100</v>
      </c>
      <c r="X25" s="770"/>
      <c r="Y25" s="3249"/>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72"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53"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53"/>
      <c r="Q27" s="774" t="str">
        <f t="shared" si="11"/>
        <v>项目停车位配比</v>
      </c>
      <c r="R27" s="775" t="s">
        <v>17</v>
      </c>
      <c r="S27" s="776">
        <f t="shared" si="12"/>
        <v>100</v>
      </c>
      <c r="T27" s="775" t="s">
        <v>17</v>
      </c>
      <c r="U27" s="776">
        <f t="shared" si="13"/>
        <v>100</v>
      </c>
      <c r="V27" s="775" t="s">
        <v>17</v>
      </c>
      <c r="W27" s="776">
        <f t="shared" si="14"/>
        <v>100</v>
      </c>
      <c r="X27" s="777"/>
      <c r="Y27" s="3253"/>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53"/>
      <c r="Q28" s="1810" t="str">
        <f t="shared" si="11"/>
        <v>公共部分装修</v>
      </c>
      <c r="R28" s="772" t="s">
        <v>17</v>
      </c>
      <c r="S28" s="773">
        <f t="shared" si="12"/>
        <v>100</v>
      </c>
      <c r="T28" s="772" t="s">
        <v>17</v>
      </c>
      <c r="U28" s="773">
        <f t="shared" si="13"/>
        <v>100</v>
      </c>
      <c r="V28" s="772" t="s">
        <v>17</v>
      </c>
      <c r="W28" s="773">
        <f t="shared" si="14"/>
        <v>100</v>
      </c>
      <c r="X28" s="1813"/>
      <c r="Y28" s="3253"/>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53"/>
      <c r="Q29" s="1810" t="str">
        <f t="shared" si="11"/>
        <v>成新率</v>
      </c>
      <c r="R29" s="772" t="s">
        <v>17</v>
      </c>
      <c r="S29" s="773" t="e">
        <f t="shared" si="12"/>
        <v>#N/A</v>
      </c>
      <c r="T29" s="772" t="s">
        <v>17</v>
      </c>
      <c r="U29" s="773" t="e">
        <f t="shared" si="13"/>
        <v>#N/A</v>
      </c>
      <c r="V29" s="772" t="s">
        <v>17</v>
      </c>
      <c r="W29" s="773" t="e">
        <f t="shared" si="14"/>
        <v>#N/A</v>
      </c>
      <c r="X29" s="1813"/>
      <c r="Y29" s="3253"/>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53"/>
      <c r="Q30" s="1810" t="str">
        <f t="shared" si="11"/>
        <v>物业等级</v>
      </c>
      <c r="R30" s="772" t="s">
        <v>17</v>
      </c>
      <c r="S30" s="773">
        <f t="shared" si="12"/>
        <v>100</v>
      </c>
      <c r="T30" s="772" t="s">
        <v>17</v>
      </c>
      <c r="U30" s="773">
        <f t="shared" si="13"/>
        <v>100</v>
      </c>
      <c r="V30" s="772" t="s">
        <v>17</v>
      </c>
      <c r="W30" s="773">
        <f t="shared" si="14"/>
        <v>100</v>
      </c>
      <c r="X30" s="1813"/>
      <c r="Y30" s="3253"/>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53"/>
      <c r="Q31" s="1795" t="str">
        <f t="shared" si="11"/>
        <v>停车位面积</v>
      </c>
      <c r="R31" s="768" t="s">
        <v>17</v>
      </c>
      <c r="S31" s="769" t="e">
        <f t="shared" si="12"/>
        <v>#N/A</v>
      </c>
      <c r="T31" s="768" t="s">
        <v>17</v>
      </c>
      <c r="U31" s="769" t="e">
        <f t="shared" si="13"/>
        <v>#N/A</v>
      </c>
      <c r="V31" s="768" t="s">
        <v>17</v>
      </c>
      <c r="W31" s="769" t="e">
        <f t="shared" si="14"/>
        <v>#N/A</v>
      </c>
      <c r="X31" s="770"/>
      <c r="Y31" s="3253"/>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53" t="s">
        <v>2565</v>
      </c>
      <c r="Q32" s="1810" t="str">
        <f t="shared" si="11"/>
        <v>车位类型</v>
      </c>
      <c r="R32" s="772" t="s">
        <v>17</v>
      </c>
      <c r="S32" s="773">
        <f t="shared" si="12"/>
        <v>100</v>
      </c>
      <c r="T32" s="772" t="s">
        <v>17</v>
      </c>
      <c r="U32" s="773">
        <f t="shared" si="13"/>
        <v>100</v>
      </c>
      <c r="V32" s="772" t="s">
        <v>17</v>
      </c>
      <c r="W32" s="773">
        <f t="shared" si="14"/>
        <v>100</v>
      </c>
      <c r="X32" s="1813"/>
      <c r="Y32" s="3253"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53"/>
      <c r="Q33" s="1810" t="str">
        <f t="shared" si="11"/>
        <v>是否直接入户</v>
      </c>
      <c r="R33" s="772" t="s">
        <v>17</v>
      </c>
      <c r="S33" s="773">
        <f t="shared" si="12"/>
        <v>100</v>
      </c>
      <c r="T33" s="772" t="s">
        <v>17</v>
      </c>
      <c r="U33" s="773">
        <f t="shared" si="13"/>
        <v>100</v>
      </c>
      <c r="V33" s="772" t="s">
        <v>17</v>
      </c>
      <c r="W33" s="773">
        <f t="shared" si="14"/>
        <v>100</v>
      </c>
      <c r="X33" s="1813"/>
      <c r="Y33" s="3253"/>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53"/>
      <c r="Q34" s="1810">
        <f t="shared" si="11"/>
        <v>111</v>
      </c>
      <c r="R34" s="772" t="s">
        <v>17</v>
      </c>
      <c r="S34" s="773">
        <f t="shared" si="12"/>
        <v>100</v>
      </c>
      <c r="T34" s="772" t="s">
        <v>17</v>
      </c>
      <c r="U34" s="773">
        <f t="shared" si="13"/>
        <v>100</v>
      </c>
      <c r="V34" s="772" t="s">
        <v>17</v>
      </c>
      <c r="W34" s="773">
        <f t="shared" si="14"/>
        <v>100</v>
      </c>
      <c r="X34" s="1813"/>
      <c r="Y34" s="3253"/>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53"/>
      <c r="Q35" s="774">
        <f t="shared" si="11"/>
        <v>111</v>
      </c>
      <c r="R35" s="775" t="s">
        <v>17</v>
      </c>
      <c r="S35" s="776">
        <f t="shared" si="12"/>
        <v>100</v>
      </c>
      <c r="T35" s="775" t="s">
        <v>17</v>
      </c>
      <c r="U35" s="776">
        <f t="shared" si="13"/>
        <v>100</v>
      </c>
      <c r="V35" s="775" t="s">
        <v>17</v>
      </c>
      <c r="W35" s="776">
        <f t="shared" si="14"/>
        <v>100</v>
      </c>
      <c r="X35" s="777"/>
      <c r="Y35" s="3253"/>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53"/>
      <c r="Q36" s="1810">
        <f t="shared" si="11"/>
        <v>111</v>
      </c>
      <c r="R36" s="772" t="s">
        <v>17</v>
      </c>
      <c r="S36" s="773">
        <f t="shared" si="12"/>
        <v>100</v>
      </c>
      <c r="T36" s="772" t="s">
        <v>17</v>
      </c>
      <c r="U36" s="773">
        <f t="shared" si="13"/>
        <v>100</v>
      </c>
      <c r="V36" s="772" t="s">
        <v>17</v>
      </c>
      <c r="W36" s="773">
        <f t="shared" si="14"/>
        <v>100</v>
      </c>
      <c r="X36" s="1813"/>
      <c r="Y36" s="3253"/>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246" t="str">
        <f>A37</f>
        <v>成交单价</v>
      </c>
      <c r="Q37" s="3246"/>
      <c r="R37" s="3247">
        <f>E37</f>
        <v>0</v>
      </c>
      <c r="S37" s="3247"/>
      <c r="T37" s="3247">
        <f>G37</f>
        <v>0</v>
      </c>
      <c r="U37" s="3247"/>
      <c r="V37" s="3247">
        <f>I37</f>
        <v>0</v>
      </c>
      <c r="W37" s="3247"/>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243" t="str">
        <f>A39</f>
        <v>估价对象XX用房的比较价值（楼面单价，元/平方米）</v>
      </c>
      <c r="Q39" s="3244"/>
      <c r="R39" s="3245" t="e">
        <f>IF(F1="售价",ROUND(AVERAGE(R38:V38),0),ROUND(AVERAGE(R38:V38),1))</f>
        <v>#DIV/0!</v>
      </c>
      <c r="S39" s="3245"/>
      <c r="T39" s="3245"/>
      <c r="U39" s="3245"/>
      <c r="V39" s="3245"/>
      <c r="W39" s="324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12" t="s">
        <v>2648</v>
      </c>
      <c r="AC4" s="3211" t="s">
        <v>2649</v>
      </c>
    </row>
    <row r="5" spans="1:29"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12"/>
      <c r="AC5" s="3212"/>
    </row>
    <row r="6" spans="1:29" ht="15.75" thickBot="1">
      <c r="A6" s="404"/>
      <c r="B6" s="405"/>
      <c r="C6" s="3224" t="s">
        <v>2546</v>
      </c>
      <c r="D6" s="3225"/>
      <c r="E6" s="3226" t="s">
        <v>2546</v>
      </c>
      <c r="F6" s="3227"/>
      <c r="G6" s="3224" t="s">
        <v>2546</v>
      </c>
      <c r="H6" s="3225"/>
      <c r="I6" s="3224" t="s">
        <v>2546</v>
      </c>
      <c r="J6" s="3225"/>
      <c r="K6" s="608" t="s">
        <v>2547</v>
      </c>
      <c r="L6" s="1130"/>
      <c r="M6" s="1131"/>
      <c r="N6" s="1131"/>
      <c r="O6" s="1131"/>
      <c r="P6" s="3237"/>
      <c r="Q6" s="3238"/>
      <c r="R6" s="3218"/>
      <c r="S6" s="3219"/>
      <c r="T6" s="3239"/>
      <c r="U6" s="3240"/>
      <c r="V6" s="3241"/>
      <c r="W6" s="3241"/>
      <c r="X6" s="1813"/>
      <c r="Y6" s="3239"/>
      <c r="Z6" s="3240"/>
      <c r="AA6" s="3213"/>
      <c r="AB6" s="3213"/>
      <c r="AC6" s="3213"/>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214" t="s">
        <v>2549</v>
      </c>
      <c r="Q7" s="3242"/>
      <c r="R7" s="768" t="s">
        <v>17</v>
      </c>
      <c r="S7" s="769">
        <f t="shared" ref="S7:S14" si="0">F7</f>
        <v>0</v>
      </c>
      <c r="T7" s="768" t="s">
        <v>17</v>
      </c>
      <c r="U7" s="769">
        <f t="shared" ref="U7:U14" si="1">H7</f>
        <v>0</v>
      </c>
      <c r="V7" s="768" t="s">
        <v>17</v>
      </c>
      <c r="W7" s="769">
        <f t="shared" ref="W7:W14" si="2">J7</f>
        <v>0</v>
      </c>
      <c r="X7" s="770"/>
      <c r="Y7" s="3214" t="s">
        <v>2549</v>
      </c>
      <c r="Z7" s="3215"/>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246" t="s">
        <v>2555</v>
      </c>
      <c r="Q9" s="1795" t="str">
        <f t="shared" ref="Q9:Q14" si="6">B9</f>
        <v>用途</v>
      </c>
      <c r="R9" s="768" t="s">
        <v>17</v>
      </c>
      <c r="S9" s="769">
        <f t="shared" si="0"/>
        <v>100</v>
      </c>
      <c r="T9" s="768" t="s">
        <v>17</v>
      </c>
      <c r="U9" s="769">
        <f t="shared" si="1"/>
        <v>100</v>
      </c>
      <c r="V9" s="768" t="s">
        <v>17</v>
      </c>
      <c r="W9" s="769">
        <f t="shared" si="2"/>
        <v>100</v>
      </c>
      <c r="X9" s="770"/>
      <c r="Y9" s="3036"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246"/>
      <c r="Q10" s="1795" t="str">
        <f t="shared" si="6"/>
        <v>土地使用年限（年）</v>
      </c>
      <c r="R10" s="768" t="s">
        <v>17</v>
      </c>
      <c r="S10" s="769">
        <f t="shared" si="0"/>
        <v>100</v>
      </c>
      <c r="T10" s="768" t="s">
        <v>17</v>
      </c>
      <c r="U10" s="769">
        <f t="shared" si="1"/>
        <v>100</v>
      </c>
      <c r="V10" s="768" t="s">
        <v>17</v>
      </c>
      <c r="W10" s="769">
        <f t="shared" si="2"/>
        <v>100</v>
      </c>
      <c r="X10" s="770"/>
      <c r="Y10" s="3036"/>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246"/>
      <c r="Q11" s="1795">
        <f t="shared" si="6"/>
        <v>111</v>
      </c>
      <c r="R11" s="768" t="s">
        <v>17</v>
      </c>
      <c r="S11" s="769">
        <f t="shared" si="0"/>
        <v>100</v>
      </c>
      <c r="T11" s="768" t="s">
        <v>17</v>
      </c>
      <c r="U11" s="769">
        <f t="shared" si="1"/>
        <v>100</v>
      </c>
      <c r="V11" s="768" t="s">
        <v>17</v>
      </c>
      <c r="W11" s="769">
        <f t="shared" si="2"/>
        <v>100</v>
      </c>
      <c r="X11" s="770"/>
      <c r="Y11" s="3036"/>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246"/>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246"/>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48" t="s">
        <v>2560</v>
      </c>
      <c r="Q14" s="1810" t="str">
        <f t="shared" si="6"/>
        <v>交通便捷度</v>
      </c>
      <c r="R14" s="772" t="s">
        <v>17</v>
      </c>
      <c r="S14" s="773">
        <f t="shared" si="0"/>
        <v>100</v>
      </c>
      <c r="T14" s="772" t="s">
        <v>17</v>
      </c>
      <c r="U14" s="773">
        <f t="shared" si="1"/>
        <v>100</v>
      </c>
      <c r="V14" s="772" t="s">
        <v>17</v>
      </c>
      <c r="W14" s="773">
        <f t="shared" si="2"/>
        <v>100</v>
      </c>
      <c r="X14" s="1813"/>
      <c r="Y14" s="3248"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249"/>
      <c r="Q15" s="1810"/>
      <c r="R15" s="772"/>
      <c r="S15" s="773"/>
      <c r="T15" s="772"/>
      <c r="U15" s="773"/>
      <c r="V15" s="772"/>
      <c r="W15" s="773"/>
      <c r="X15" s="1813"/>
      <c r="Y15" s="3249"/>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49"/>
      <c r="Q16" s="1810" t="str">
        <f>B16</f>
        <v>公共配套设施</v>
      </c>
      <c r="R16" s="772" t="s">
        <v>17</v>
      </c>
      <c r="S16" s="773">
        <f>F16</f>
        <v>100</v>
      </c>
      <c r="T16" s="772" t="s">
        <v>17</v>
      </c>
      <c r="U16" s="773">
        <f>H16</f>
        <v>100</v>
      </c>
      <c r="V16" s="772" t="s">
        <v>17</v>
      </c>
      <c r="W16" s="773">
        <f>J16</f>
        <v>100</v>
      </c>
      <c r="X16" s="1813"/>
      <c r="Y16" s="3249"/>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249"/>
      <c r="Q17" s="1810"/>
      <c r="R17" s="772"/>
      <c r="S17" s="773"/>
      <c r="T17" s="772"/>
      <c r="U17" s="773"/>
      <c r="V17" s="772"/>
      <c r="W17" s="773"/>
      <c r="X17" s="1813"/>
      <c r="Y17" s="3249"/>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49"/>
      <c r="Q18" s="1810" t="str">
        <f>B18</f>
        <v>基础设施水平</v>
      </c>
      <c r="R18" s="772" t="s">
        <v>17</v>
      </c>
      <c r="S18" s="773">
        <f>F18</f>
        <v>100</v>
      </c>
      <c r="T18" s="772" t="s">
        <v>17</v>
      </c>
      <c r="U18" s="773">
        <f>H18</f>
        <v>100</v>
      </c>
      <c r="V18" s="772" t="s">
        <v>17</v>
      </c>
      <c r="W18" s="773">
        <f>J18</f>
        <v>100</v>
      </c>
      <c r="X18" s="1813"/>
      <c r="Y18" s="3249"/>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249"/>
      <c r="Q19" s="1810"/>
      <c r="R19" s="772"/>
      <c r="S19" s="773"/>
      <c r="T19" s="772"/>
      <c r="U19" s="773"/>
      <c r="V19" s="772"/>
      <c r="W19" s="773"/>
      <c r="X19" s="1813"/>
      <c r="Y19" s="3249"/>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49"/>
      <c r="Q20" s="1810" t="str">
        <f>B20</f>
        <v>自然及人文环境</v>
      </c>
      <c r="R20" s="772" t="s">
        <v>17</v>
      </c>
      <c r="S20" s="773">
        <f>F20</f>
        <v>100</v>
      </c>
      <c r="T20" s="772" t="s">
        <v>17</v>
      </c>
      <c r="U20" s="773">
        <f>H20</f>
        <v>100</v>
      </c>
      <c r="V20" s="772" t="s">
        <v>17</v>
      </c>
      <c r="W20" s="773">
        <f>J20</f>
        <v>100</v>
      </c>
      <c r="X20" s="1813"/>
      <c r="Y20" s="3249"/>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249"/>
      <c r="Q21" s="1810"/>
      <c r="R21" s="772"/>
      <c r="S21" s="773"/>
      <c r="T21" s="772"/>
      <c r="U21" s="773"/>
      <c r="V21" s="772"/>
      <c r="W21" s="773"/>
      <c r="X21" s="1813"/>
      <c r="Y21" s="3249"/>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49"/>
      <c r="Q22" s="1810" t="str">
        <f>B22</f>
        <v>楼层</v>
      </c>
      <c r="R22" s="772" t="s">
        <v>17</v>
      </c>
      <c r="S22" s="773">
        <f>F22</f>
        <v>100</v>
      </c>
      <c r="T22" s="772" t="s">
        <v>17</v>
      </c>
      <c r="U22" s="773">
        <f>H22</f>
        <v>100</v>
      </c>
      <c r="V22" s="772" t="s">
        <v>17</v>
      </c>
      <c r="W22" s="773">
        <f>J22</f>
        <v>100</v>
      </c>
      <c r="X22" s="1813"/>
      <c r="Y22" s="3249"/>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49"/>
      <c r="Q23" s="1810">
        <f>B23</f>
        <v>111</v>
      </c>
      <c r="R23" s="772" t="s">
        <v>17</v>
      </c>
      <c r="S23" s="773">
        <f>F23</f>
        <v>100</v>
      </c>
      <c r="T23" s="772" t="s">
        <v>17</v>
      </c>
      <c r="U23" s="773">
        <f>H23</f>
        <v>100</v>
      </c>
      <c r="V23" s="772" t="s">
        <v>17</v>
      </c>
      <c r="W23" s="773">
        <f>J23</f>
        <v>100</v>
      </c>
      <c r="X23" s="1813"/>
      <c r="Y23" s="3249"/>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49"/>
      <c r="Q24" s="1810">
        <f t="shared" ref="Q24:Q34" si="11">B24</f>
        <v>111</v>
      </c>
      <c r="R24" s="772" t="s">
        <v>17</v>
      </c>
      <c r="S24" s="773">
        <f>F24</f>
        <v>100</v>
      </c>
      <c r="T24" s="772" t="s">
        <v>17</v>
      </c>
      <c r="U24" s="773">
        <f>H24</f>
        <v>100</v>
      </c>
      <c r="V24" s="772" t="s">
        <v>17</v>
      </c>
      <c r="W24" s="773">
        <f>J24</f>
        <v>100</v>
      </c>
      <c r="X24" s="1813"/>
      <c r="Y24" s="3249"/>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249"/>
      <c r="Q25" s="1795">
        <f t="shared" si="11"/>
        <v>111</v>
      </c>
      <c r="R25" s="768" t="s">
        <v>17</v>
      </c>
      <c r="S25" s="769">
        <f>F25</f>
        <v>100</v>
      </c>
      <c r="T25" s="768" t="s">
        <v>17</v>
      </c>
      <c r="U25" s="769">
        <f>H25</f>
        <v>100</v>
      </c>
      <c r="V25" s="768" t="s">
        <v>17</v>
      </c>
      <c r="W25" s="769">
        <f>J25</f>
        <v>100</v>
      </c>
      <c r="X25" s="770"/>
      <c r="Y25" s="3249"/>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272"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53"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53"/>
      <c r="Q27" s="774" t="str">
        <f t="shared" si="11"/>
        <v>成新率</v>
      </c>
      <c r="R27" s="775" t="s">
        <v>17</v>
      </c>
      <c r="S27" s="776" t="e">
        <f t="shared" si="12"/>
        <v>#N/A</v>
      </c>
      <c r="T27" s="775" t="s">
        <v>17</v>
      </c>
      <c r="U27" s="776" t="e">
        <f t="shared" si="13"/>
        <v>#N/A</v>
      </c>
      <c r="V27" s="775" t="s">
        <v>17</v>
      </c>
      <c r="W27" s="776" t="e">
        <f t="shared" si="14"/>
        <v>#N/A</v>
      </c>
      <c r="X27" s="777"/>
      <c r="Y27" s="3253"/>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53"/>
      <c r="Q28" s="1810" t="str">
        <f t="shared" si="11"/>
        <v>物业等级</v>
      </c>
      <c r="R28" s="772" t="s">
        <v>17</v>
      </c>
      <c r="S28" s="773">
        <f t="shared" si="12"/>
        <v>100</v>
      </c>
      <c r="T28" s="772" t="s">
        <v>17</v>
      </c>
      <c r="U28" s="773">
        <f t="shared" si="13"/>
        <v>100</v>
      </c>
      <c r="V28" s="772" t="s">
        <v>17</v>
      </c>
      <c r="W28" s="773">
        <f t="shared" si="14"/>
        <v>100</v>
      </c>
      <c r="X28" s="1813"/>
      <c r="Y28" s="3253"/>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53"/>
      <c r="Q29" s="1810" t="str">
        <f t="shared" si="11"/>
        <v>有无电梯</v>
      </c>
      <c r="R29" s="772" t="s">
        <v>17</v>
      </c>
      <c r="S29" s="773">
        <f t="shared" si="12"/>
        <v>100</v>
      </c>
      <c r="T29" s="772" t="s">
        <v>17</v>
      </c>
      <c r="U29" s="773">
        <f t="shared" si="13"/>
        <v>100</v>
      </c>
      <c r="V29" s="772" t="s">
        <v>17</v>
      </c>
      <c r="W29" s="773">
        <f t="shared" si="14"/>
        <v>100</v>
      </c>
      <c r="X29" s="1813"/>
      <c r="Y29" s="3253"/>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53"/>
      <c r="Q30" s="1810" t="str">
        <f t="shared" si="11"/>
        <v>建筑面积</v>
      </c>
      <c r="R30" s="772" t="s">
        <v>17</v>
      </c>
      <c r="S30" s="773" t="e">
        <f t="shared" si="12"/>
        <v>#N/A</v>
      </c>
      <c r="T30" s="772" t="s">
        <v>17</v>
      </c>
      <c r="U30" s="773" t="e">
        <f t="shared" si="13"/>
        <v>#N/A</v>
      </c>
      <c r="V30" s="772" t="s">
        <v>17</v>
      </c>
      <c r="W30" s="773" t="e">
        <f t="shared" si="14"/>
        <v>#N/A</v>
      </c>
      <c r="X30" s="1813"/>
      <c r="Y30" s="3253"/>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53"/>
      <c r="Q31" s="1795" t="str">
        <f t="shared" si="11"/>
        <v>是否封闭</v>
      </c>
      <c r="R31" s="768" t="s">
        <v>17</v>
      </c>
      <c r="S31" s="769">
        <f t="shared" si="12"/>
        <v>100</v>
      </c>
      <c r="T31" s="768" t="s">
        <v>17</v>
      </c>
      <c r="U31" s="769">
        <f t="shared" si="13"/>
        <v>100</v>
      </c>
      <c r="V31" s="768" t="s">
        <v>17</v>
      </c>
      <c r="W31" s="769">
        <f t="shared" si="14"/>
        <v>100</v>
      </c>
      <c r="X31" s="770"/>
      <c r="Y31" s="3253"/>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53" t="s">
        <v>2565</v>
      </c>
      <c r="Q32" s="1810">
        <f t="shared" si="11"/>
        <v>111</v>
      </c>
      <c r="R32" s="772" t="s">
        <v>17</v>
      </c>
      <c r="S32" s="773">
        <f t="shared" si="12"/>
        <v>100</v>
      </c>
      <c r="T32" s="772" t="s">
        <v>17</v>
      </c>
      <c r="U32" s="773">
        <f t="shared" si="13"/>
        <v>100</v>
      </c>
      <c r="V32" s="772" t="s">
        <v>17</v>
      </c>
      <c r="W32" s="773">
        <f t="shared" si="14"/>
        <v>100</v>
      </c>
      <c r="X32" s="1813"/>
      <c r="Y32" s="3253"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53"/>
      <c r="Q33" s="1810">
        <f t="shared" si="11"/>
        <v>111</v>
      </c>
      <c r="R33" s="772" t="s">
        <v>17</v>
      </c>
      <c r="S33" s="773">
        <f t="shared" si="12"/>
        <v>100</v>
      </c>
      <c r="T33" s="772" t="s">
        <v>17</v>
      </c>
      <c r="U33" s="773">
        <f t="shared" si="13"/>
        <v>100</v>
      </c>
      <c r="V33" s="772" t="s">
        <v>17</v>
      </c>
      <c r="W33" s="773">
        <f t="shared" si="14"/>
        <v>100</v>
      </c>
      <c r="X33" s="1813"/>
      <c r="Y33" s="3253"/>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253"/>
      <c r="Q34" s="1810">
        <f t="shared" si="11"/>
        <v>111</v>
      </c>
      <c r="R34" s="772" t="s">
        <v>17</v>
      </c>
      <c r="S34" s="773">
        <f t="shared" si="12"/>
        <v>100</v>
      </c>
      <c r="T34" s="772" t="s">
        <v>17</v>
      </c>
      <c r="U34" s="773">
        <f t="shared" si="13"/>
        <v>100</v>
      </c>
      <c r="V34" s="772" t="s">
        <v>17</v>
      </c>
      <c r="W34" s="773">
        <f t="shared" si="14"/>
        <v>100</v>
      </c>
      <c r="X34" s="1813"/>
      <c r="Y34" s="3253"/>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246" t="str">
        <f>A35</f>
        <v>成交单价（元/平方米）</v>
      </c>
      <c r="Q35" s="3246"/>
      <c r="R35" s="3247">
        <f>E35</f>
        <v>0</v>
      </c>
      <c r="S35" s="3247"/>
      <c r="T35" s="3247">
        <f>G35</f>
        <v>0</v>
      </c>
      <c r="U35" s="3247"/>
      <c r="V35" s="3247">
        <f>I35</f>
        <v>0</v>
      </c>
      <c r="W35" s="3247"/>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243" t="str">
        <f>A37</f>
        <v>估价对象XX用房的比较价值（楼面单价，元/平方米）</v>
      </c>
      <c r="Q37" s="3244"/>
      <c r="R37" s="3245" t="e">
        <f>IF(F1="售价",ROUND(AVERAGE(R36:V36),0),ROUND(AVERAGE(R36:V36),1))</f>
        <v>#DIV/0!</v>
      </c>
      <c r="S37" s="3245"/>
      <c r="T37" s="3245"/>
      <c r="U37" s="3245"/>
      <c r="V37" s="3245"/>
      <c r="W37" s="324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12" t="s">
        <v>2648</v>
      </c>
      <c r="AC4" s="3211" t="s">
        <v>2649</v>
      </c>
    </row>
    <row r="5" spans="1:30"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12"/>
      <c r="AC5" s="3212"/>
    </row>
    <row r="6" spans="1:30" ht="15.75" thickBot="1">
      <c r="A6" s="404"/>
      <c r="B6" s="405"/>
      <c r="C6" s="3224" t="s">
        <v>2546</v>
      </c>
      <c r="D6" s="3225"/>
      <c r="E6" s="3226" t="s">
        <v>2546</v>
      </c>
      <c r="F6" s="3227"/>
      <c r="G6" s="3224" t="s">
        <v>2546</v>
      </c>
      <c r="H6" s="3225"/>
      <c r="I6" s="3224" t="s">
        <v>2546</v>
      </c>
      <c r="J6" s="3225"/>
      <c r="K6" s="608" t="s">
        <v>2547</v>
      </c>
      <c r="L6" s="1130"/>
      <c r="M6" s="1131"/>
      <c r="N6" s="1131"/>
      <c r="O6" s="1131"/>
      <c r="P6" s="3237"/>
      <c r="Q6" s="3238"/>
      <c r="R6" s="3218"/>
      <c r="S6" s="3219"/>
      <c r="T6" s="3239"/>
      <c r="U6" s="3240"/>
      <c r="V6" s="3241"/>
      <c r="W6" s="3241"/>
      <c r="X6" s="1813"/>
      <c r="Y6" s="3239"/>
      <c r="Z6" s="3240"/>
      <c r="AA6" s="3213"/>
      <c r="AB6" s="3213"/>
      <c r="AC6" s="3213"/>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214" t="s">
        <v>2549</v>
      </c>
      <c r="Q7" s="3242"/>
      <c r="R7" s="768" t="s">
        <v>17</v>
      </c>
      <c r="S7" s="769">
        <f t="shared" ref="S7:S15" si="0">F7</f>
        <v>0</v>
      </c>
      <c r="T7" s="768" t="s">
        <v>17</v>
      </c>
      <c r="U7" s="769">
        <f t="shared" ref="U7:U15" si="1">H7</f>
        <v>0</v>
      </c>
      <c r="V7" s="768" t="s">
        <v>17</v>
      </c>
      <c r="W7" s="769">
        <f t="shared" ref="W7:W15" si="2">J7</f>
        <v>0</v>
      </c>
      <c r="X7" s="770"/>
      <c r="Y7" s="3214" t="s">
        <v>2549</v>
      </c>
      <c r="Z7" s="3215"/>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246"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246"/>
      <c r="Q10" s="1795" t="str">
        <f t="shared" si="6"/>
        <v>土地使用年限（年）</v>
      </c>
      <c r="R10" s="768" t="s">
        <v>17</v>
      </c>
      <c r="S10" s="769">
        <f t="shared" si="0"/>
        <v>103</v>
      </c>
      <c r="T10" s="768" t="s">
        <v>17</v>
      </c>
      <c r="U10" s="769">
        <f t="shared" si="1"/>
        <v>103</v>
      </c>
      <c r="V10" s="768" t="s">
        <v>17</v>
      </c>
      <c r="W10" s="769">
        <f t="shared" si="2"/>
        <v>103</v>
      </c>
      <c r="X10" s="770"/>
      <c r="Y10" s="3036"/>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246"/>
      <c r="Q11" s="1795" t="str">
        <f t="shared" si="6"/>
        <v>容积率</v>
      </c>
      <c r="R11" s="768" t="s">
        <v>17</v>
      </c>
      <c r="S11" s="769" t="e">
        <f t="shared" si="0"/>
        <v>#N/A</v>
      </c>
      <c r="T11" s="768" t="s">
        <v>17</v>
      </c>
      <c r="U11" s="769" t="e">
        <f t="shared" si="1"/>
        <v>#N/A</v>
      </c>
      <c r="V11" s="768" t="s">
        <v>17</v>
      </c>
      <c r="W11" s="769" t="e">
        <f t="shared" si="2"/>
        <v>#N/A</v>
      </c>
      <c r="X11" s="770"/>
      <c r="Y11" s="3036"/>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246"/>
      <c r="Q12" s="1795" t="str">
        <f t="shared" si="6"/>
        <v>配建</v>
      </c>
      <c r="R12" s="768" t="s">
        <v>17</v>
      </c>
      <c r="S12" s="769">
        <f t="shared" si="0"/>
        <v>100</v>
      </c>
      <c r="T12" s="768" t="s">
        <v>17</v>
      </c>
      <c r="U12" s="769">
        <f t="shared" si="1"/>
        <v>100</v>
      </c>
      <c r="V12" s="768" t="s">
        <v>17</v>
      </c>
      <c r="W12" s="769">
        <f t="shared" si="2"/>
        <v>100</v>
      </c>
      <c r="X12" s="770"/>
      <c r="Y12" s="3036"/>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246"/>
      <c r="Q13" s="1795">
        <f t="shared" si="6"/>
        <v>111</v>
      </c>
      <c r="R13" s="768" t="s">
        <v>17</v>
      </c>
      <c r="S13" s="769">
        <f t="shared" si="0"/>
        <v>100</v>
      </c>
      <c r="T13" s="768" t="s">
        <v>17</v>
      </c>
      <c r="U13" s="769">
        <f t="shared" si="1"/>
        <v>100</v>
      </c>
      <c r="V13" s="768" t="s">
        <v>17</v>
      </c>
      <c r="W13" s="769">
        <f t="shared" si="2"/>
        <v>100</v>
      </c>
      <c r="X13" s="770"/>
      <c r="Y13" s="3036"/>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246"/>
      <c r="Q14" s="1795">
        <f t="shared" si="6"/>
        <v>111</v>
      </c>
      <c r="R14" s="768" t="s">
        <v>17</v>
      </c>
      <c r="S14" s="769">
        <f t="shared" si="0"/>
        <v>100</v>
      </c>
      <c r="T14" s="768" t="s">
        <v>17</v>
      </c>
      <c r="U14" s="769">
        <f t="shared" si="1"/>
        <v>100</v>
      </c>
      <c r="V14" s="768" t="s">
        <v>17</v>
      </c>
      <c r="W14" s="769">
        <f t="shared" si="2"/>
        <v>100</v>
      </c>
      <c r="X14" s="770"/>
      <c r="Y14" s="3036"/>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48" t="s">
        <v>2560</v>
      </c>
      <c r="Q15" s="1810" t="str">
        <f t="shared" si="6"/>
        <v>居住社区成熟度</v>
      </c>
      <c r="R15" s="772" t="s">
        <v>17</v>
      </c>
      <c r="S15" s="773">
        <f t="shared" si="0"/>
        <v>100</v>
      </c>
      <c r="T15" s="772" t="s">
        <v>17</v>
      </c>
      <c r="U15" s="773">
        <f t="shared" si="1"/>
        <v>100</v>
      </c>
      <c r="V15" s="772" t="s">
        <v>17</v>
      </c>
      <c r="W15" s="773">
        <f t="shared" si="2"/>
        <v>100</v>
      </c>
      <c r="X15" s="1813"/>
      <c r="Y15" s="3248"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249"/>
      <c r="Q16" s="1810"/>
      <c r="R16" s="772"/>
      <c r="S16" s="773"/>
      <c r="T16" s="772"/>
      <c r="U16" s="773"/>
      <c r="V16" s="772"/>
      <c r="W16" s="773"/>
      <c r="X16" s="1813"/>
      <c r="Y16" s="3249"/>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49"/>
      <c r="Q17" s="1810" t="str">
        <f>B17</f>
        <v>商业繁华度</v>
      </c>
      <c r="R17" s="772" t="s">
        <v>17</v>
      </c>
      <c r="S17" s="773">
        <f>F17</f>
        <v>100</v>
      </c>
      <c r="T17" s="772" t="s">
        <v>17</v>
      </c>
      <c r="U17" s="773">
        <f>H17</f>
        <v>100</v>
      </c>
      <c r="V17" s="772" t="s">
        <v>17</v>
      </c>
      <c r="W17" s="773">
        <f>J17</f>
        <v>100</v>
      </c>
      <c r="X17" s="1813"/>
      <c r="Y17" s="3249"/>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249"/>
      <c r="Q18" s="1810"/>
      <c r="R18" s="772"/>
      <c r="S18" s="773"/>
      <c r="T18" s="772"/>
      <c r="U18" s="773"/>
      <c r="V18" s="772"/>
      <c r="W18" s="773"/>
      <c r="X18" s="1813"/>
      <c r="Y18" s="3249"/>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49"/>
      <c r="Q19" s="1810" t="str">
        <f>B19</f>
        <v>办公集聚程度</v>
      </c>
      <c r="R19" s="772" t="s">
        <v>17</v>
      </c>
      <c r="S19" s="773">
        <f>F19</f>
        <v>100</v>
      </c>
      <c r="T19" s="772" t="s">
        <v>17</v>
      </c>
      <c r="U19" s="773">
        <f>H19</f>
        <v>100</v>
      </c>
      <c r="V19" s="772" t="s">
        <v>17</v>
      </c>
      <c r="W19" s="773">
        <f>J19</f>
        <v>100</v>
      </c>
      <c r="X19" s="1813"/>
      <c r="Y19" s="3249"/>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249"/>
      <c r="Q20" s="1810"/>
      <c r="R20" s="772"/>
      <c r="S20" s="773"/>
      <c r="T20" s="772"/>
      <c r="U20" s="773"/>
      <c r="V20" s="772"/>
      <c r="W20" s="773"/>
      <c r="X20" s="1813"/>
      <c r="Y20" s="3249"/>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249"/>
      <c r="Q21" s="1810" t="str">
        <f>B21</f>
        <v>交通便捷度</v>
      </c>
      <c r="R21" s="772" t="s">
        <v>17</v>
      </c>
      <c r="S21" s="773">
        <f>F21</f>
        <v>100</v>
      </c>
      <c r="T21" s="772" t="s">
        <v>17</v>
      </c>
      <c r="U21" s="773">
        <f>H21</f>
        <v>100</v>
      </c>
      <c r="V21" s="772" t="s">
        <v>17</v>
      </c>
      <c r="W21" s="773">
        <f>J21</f>
        <v>100</v>
      </c>
      <c r="X21" s="1813"/>
      <c r="Y21" s="3249"/>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249"/>
      <c r="Q22" s="1810"/>
      <c r="R22" s="772"/>
      <c r="S22" s="773"/>
      <c r="T22" s="772"/>
      <c r="U22" s="773"/>
      <c r="V22" s="772"/>
      <c r="W22" s="773"/>
      <c r="X22" s="1813"/>
      <c r="Y22" s="3249"/>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49"/>
      <c r="Q23" s="1810" t="str">
        <f t="shared" ref="Q23:Q37" si="8">B23</f>
        <v>区域土地利用方向</v>
      </c>
      <c r="R23" s="772" t="s">
        <v>17</v>
      </c>
      <c r="S23" s="773">
        <f>F23</f>
        <v>100</v>
      </c>
      <c r="T23" s="772" t="s">
        <v>17</v>
      </c>
      <c r="U23" s="773">
        <f>H23</f>
        <v>100</v>
      </c>
      <c r="V23" s="772" t="s">
        <v>17</v>
      </c>
      <c r="W23" s="773">
        <f>J23</f>
        <v>100</v>
      </c>
      <c r="X23" s="1813"/>
      <c r="Y23" s="3249"/>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249"/>
      <c r="Q24" s="1810"/>
      <c r="R24" s="772"/>
      <c r="S24" s="773"/>
      <c r="T24" s="772"/>
      <c r="U24" s="773"/>
      <c r="V24" s="772"/>
      <c r="W24" s="773"/>
      <c r="X24" s="1813"/>
      <c r="Y24" s="3249"/>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249"/>
      <c r="Q25" s="1810" t="str">
        <f t="shared" si="8"/>
        <v>自然及人文环境状况</v>
      </c>
      <c r="R25" s="772" t="s">
        <v>17</v>
      </c>
      <c r="S25" s="773">
        <f>F25</f>
        <v>100</v>
      </c>
      <c r="T25" s="772" t="s">
        <v>17</v>
      </c>
      <c r="U25" s="773">
        <f>H25</f>
        <v>100</v>
      </c>
      <c r="V25" s="772" t="s">
        <v>17</v>
      </c>
      <c r="W25" s="773">
        <f>J25</f>
        <v>100</v>
      </c>
      <c r="X25" s="1813"/>
      <c r="Y25" s="3249"/>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249"/>
      <c r="Q26" s="1810"/>
      <c r="R26" s="772"/>
      <c r="S26" s="773"/>
      <c r="T26" s="772"/>
      <c r="U26" s="773"/>
      <c r="V26" s="772"/>
      <c r="W26" s="773"/>
      <c r="X26" s="1813"/>
      <c r="Y26" s="3249"/>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249"/>
      <c r="Q27" s="1795" t="str">
        <f t="shared" si="8"/>
        <v>公共配套设施</v>
      </c>
      <c r="R27" s="768" t="s">
        <v>17</v>
      </c>
      <c r="S27" s="769">
        <f>F27</f>
        <v>100</v>
      </c>
      <c r="T27" s="768" t="s">
        <v>17</v>
      </c>
      <c r="U27" s="769">
        <f>H27</f>
        <v>100</v>
      </c>
      <c r="V27" s="768" t="s">
        <v>17</v>
      </c>
      <c r="W27" s="769">
        <f>J27</f>
        <v>100</v>
      </c>
      <c r="X27" s="770"/>
      <c r="Y27" s="3249"/>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249"/>
      <c r="Q28" s="1795"/>
      <c r="R28" s="768"/>
      <c r="S28" s="769"/>
      <c r="T28" s="768"/>
      <c r="U28" s="769"/>
      <c r="V28" s="768"/>
      <c r="W28" s="769"/>
      <c r="X28" s="770"/>
      <c r="Y28" s="3249"/>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249"/>
      <c r="Q29" s="1795" t="str">
        <f t="shared" ref="Q29" si="9">B29</f>
        <v>基础设施水平</v>
      </c>
      <c r="R29" s="768" t="s">
        <v>17</v>
      </c>
      <c r="S29" s="769">
        <f>F29</f>
        <v>100</v>
      </c>
      <c r="T29" s="768" t="s">
        <v>17</v>
      </c>
      <c r="U29" s="769">
        <f>H29</f>
        <v>100</v>
      </c>
      <c r="V29" s="768" t="s">
        <v>17</v>
      </c>
      <c r="W29" s="769">
        <f>J29</f>
        <v>100</v>
      </c>
      <c r="X29" s="770"/>
      <c r="Y29" s="3249"/>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249"/>
      <c r="Q30" s="1795"/>
      <c r="R30" s="768"/>
      <c r="S30" s="769"/>
      <c r="T30" s="768"/>
      <c r="U30" s="769"/>
      <c r="V30" s="768"/>
      <c r="W30" s="769"/>
      <c r="X30" s="770"/>
      <c r="Y30" s="3249"/>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49"/>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49"/>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49"/>
      <c r="Q32" s="1810" t="str">
        <f t="shared" si="8"/>
        <v>毗邻道路的类型与等级</v>
      </c>
      <c r="R32" s="772" t="s">
        <v>17</v>
      </c>
      <c r="S32" s="773">
        <f t="shared" si="10"/>
        <v>100</v>
      </c>
      <c r="T32" s="772" t="s">
        <v>17</v>
      </c>
      <c r="U32" s="773">
        <f t="shared" si="11"/>
        <v>100</v>
      </c>
      <c r="V32" s="772" t="s">
        <v>17</v>
      </c>
      <c r="W32" s="773">
        <f t="shared" si="12"/>
        <v>100</v>
      </c>
      <c r="X32" s="1813"/>
      <c r="Y32" s="3249"/>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249"/>
      <c r="Q33" s="1810"/>
      <c r="R33" s="772"/>
      <c r="S33" s="773"/>
      <c r="T33" s="772"/>
      <c r="U33" s="773"/>
      <c r="V33" s="772"/>
      <c r="W33" s="773"/>
      <c r="X33" s="1813"/>
      <c r="Y33" s="3249"/>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49"/>
      <c r="Q34" s="1810" t="str">
        <f t="shared" si="8"/>
        <v>土地级别</v>
      </c>
      <c r="R34" s="772" t="s">
        <v>17</v>
      </c>
      <c r="S34" s="773">
        <f t="shared" si="10"/>
        <v>100</v>
      </c>
      <c r="T34" s="772" t="s">
        <v>17</v>
      </c>
      <c r="U34" s="773">
        <f t="shared" si="11"/>
        <v>100</v>
      </c>
      <c r="V34" s="772" t="s">
        <v>17</v>
      </c>
      <c r="W34" s="773">
        <f t="shared" si="12"/>
        <v>100</v>
      </c>
      <c r="X34" s="1813"/>
      <c r="Y34" s="3249"/>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49"/>
      <c r="Q35" s="1810">
        <f t="shared" si="8"/>
        <v>111</v>
      </c>
      <c r="R35" s="772" t="s">
        <v>17</v>
      </c>
      <c r="S35" s="773">
        <f t="shared" si="10"/>
        <v>100</v>
      </c>
      <c r="T35" s="772" t="s">
        <v>17</v>
      </c>
      <c r="U35" s="773">
        <f t="shared" si="11"/>
        <v>100</v>
      </c>
      <c r="V35" s="772" t="s">
        <v>17</v>
      </c>
      <c r="W35" s="773">
        <f t="shared" si="12"/>
        <v>100</v>
      </c>
      <c r="X35" s="1813"/>
      <c r="Y35" s="3249"/>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72" t="s">
        <v>2565</v>
      </c>
      <c r="Q36" s="1810">
        <f t="shared" si="8"/>
        <v>111</v>
      </c>
      <c r="R36" s="772" t="s">
        <v>17</v>
      </c>
      <c r="S36" s="773">
        <f t="shared" si="10"/>
        <v>100</v>
      </c>
      <c r="T36" s="772" t="s">
        <v>17</v>
      </c>
      <c r="U36" s="773">
        <f t="shared" si="11"/>
        <v>100</v>
      </c>
      <c r="V36" s="772" t="s">
        <v>17</v>
      </c>
      <c r="W36" s="773">
        <f t="shared" si="12"/>
        <v>100</v>
      </c>
      <c r="X36" s="1813"/>
      <c r="Y36" s="3253"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53"/>
      <c r="Q37" s="1810">
        <f t="shared" si="8"/>
        <v>111</v>
      </c>
      <c r="R37" s="775" t="s">
        <v>17</v>
      </c>
      <c r="S37" s="776">
        <f t="shared" si="10"/>
        <v>100</v>
      </c>
      <c r="T37" s="775" t="s">
        <v>17</v>
      </c>
      <c r="U37" s="776">
        <f t="shared" si="11"/>
        <v>100</v>
      </c>
      <c r="V37" s="775" t="s">
        <v>17</v>
      </c>
      <c r="W37" s="776">
        <f t="shared" si="12"/>
        <v>100</v>
      </c>
      <c r="X37" s="777"/>
      <c r="Y37" s="3253"/>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253"/>
      <c r="Q38" s="1810" t="str">
        <f>B38</f>
        <v>宗地面积</v>
      </c>
      <c r="R38" s="772" t="s">
        <v>17</v>
      </c>
      <c r="S38" s="773" t="e">
        <f t="shared" si="10"/>
        <v>#N/A</v>
      </c>
      <c r="T38" s="772" t="s">
        <v>17</v>
      </c>
      <c r="U38" s="773" t="e">
        <f t="shared" si="11"/>
        <v>#N/A</v>
      </c>
      <c r="V38" s="772" t="s">
        <v>17</v>
      </c>
      <c r="W38" s="773" t="e">
        <f t="shared" si="12"/>
        <v>#N/A</v>
      </c>
      <c r="X38" s="1813"/>
      <c r="Y38" s="3253"/>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253"/>
      <c r="Q39" s="1810" t="str">
        <f t="shared" ref="Q39:Q45" si="14">B39</f>
        <v>宗地形状</v>
      </c>
      <c r="R39" s="772" t="s">
        <v>17</v>
      </c>
      <c r="S39" s="773">
        <f t="shared" si="10"/>
        <v>100</v>
      </c>
      <c r="T39" s="772" t="s">
        <v>17</v>
      </c>
      <c r="U39" s="773">
        <f t="shared" si="11"/>
        <v>100</v>
      </c>
      <c r="V39" s="772" t="s">
        <v>17</v>
      </c>
      <c r="W39" s="773">
        <f t="shared" si="12"/>
        <v>100</v>
      </c>
      <c r="X39" s="1813"/>
      <c r="Y39" s="3253"/>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253"/>
      <c r="Q40" s="1810" t="str">
        <f t="shared" si="14"/>
        <v>临街宽度及深度</v>
      </c>
      <c r="R40" s="772" t="s">
        <v>17</v>
      </c>
      <c r="S40" s="773">
        <f t="shared" si="10"/>
        <v>100</v>
      </c>
      <c r="T40" s="772" t="s">
        <v>17</v>
      </c>
      <c r="U40" s="773">
        <f t="shared" si="11"/>
        <v>100</v>
      </c>
      <c r="V40" s="772" t="s">
        <v>17</v>
      </c>
      <c r="W40" s="773">
        <f t="shared" si="12"/>
        <v>100</v>
      </c>
      <c r="X40" s="1813"/>
      <c r="Y40" s="3253"/>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253"/>
      <c r="Q41" s="1810" t="str">
        <f t="shared" si="14"/>
        <v>宗地开发程度</v>
      </c>
      <c r="R41" s="768" t="s">
        <v>17</v>
      </c>
      <c r="S41" s="769">
        <f t="shared" si="10"/>
        <v>100</v>
      </c>
      <c r="T41" s="768" t="s">
        <v>17</v>
      </c>
      <c r="U41" s="769">
        <f t="shared" si="11"/>
        <v>100</v>
      </c>
      <c r="V41" s="768" t="s">
        <v>17</v>
      </c>
      <c r="W41" s="769">
        <f t="shared" si="12"/>
        <v>100</v>
      </c>
      <c r="X41" s="770"/>
      <c r="Y41" s="3253"/>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253" t="s">
        <v>2565</v>
      </c>
      <c r="Q42" s="1810" t="str">
        <f t="shared" si="14"/>
        <v>工程地质条件</v>
      </c>
      <c r="R42" s="772" t="s">
        <v>17</v>
      </c>
      <c r="S42" s="773">
        <f t="shared" si="10"/>
        <v>100</v>
      </c>
      <c r="T42" s="772" t="s">
        <v>17</v>
      </c>
      <c r="U42" s="773">
        <f t="shared" si="11"/>
        <v>100</v>
      </c>
      <c r="V42" s="772" t="s">
        <v>17</v>
      </c>
      <c r="W42" s="773">
        <f t="shared" si="12"/>
        <v>100</v>
      </c>
      <c r="X42" s="1813"/>
      <c r="Y42" s="3253"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53"/>
      <c r="Q43" s="1810">
        <f t="shared" si="14"/>
        <v>111</v>
      </c>
      <c r="R43" s="772" t="s">
        <v>17</v>
      </c>
      <c r="S43" s="773">
        <f t="shared" si="10"/>
        <v>100</v>
      </c>
      <c r="T43" s="772" t="s">
        <v>17</v>
      </c>
      <c r="U43" s="773">
        <f t="shared" si="11"/>
        <v>100</v>
      </c>
      <c r="V43" s="772" t="s">
        <v>17</v>
      </c>
      <c r="W43" s="773">
        <f t="shared" si="12"/>
        <v>100</v>
      </c>
      <c r="X43" s="1813"/>
      <c r="Y43" s="3253"/>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53"/>
      <c r="Q44" s="1810">
        <f t="shared" si="14"/>
        <v>111</v>
      </c>
      <c r="R44" s="772" t="s">
        <v>17</v>
      </c>
      <c r="S44" s="773">
        <f t="shared" si="10"/>
        <v>100</v>
      </c>
      <c r="T44" s="772" t="s">
        <v>17</v>
      </c>
      <c r="U44" s="773">
        <f t="shared" si="11"/>
        <v>100</v>
      </c>
      <c r="V44" s="772" t="s">
        <v>17</v>
      </c>
      <c r="W44" s="773">
        <f t="shared" si="12"/>
        <v>100</v>
      </c>
      <c r="X44" s="1813"/>
      <c r="Y44" s="3253"/>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53"/>
      <c r="Q45" s="1810">
        <f t="shared" si="14"/>
        <v>111</v>
      </c>
      <c r="R45" s="775" t="s">
        <v>17</v>
      </c>
      <c r="S45" s="776">
        <f t="shared" si="10"/>
        <v>100</v>
      </c>
      <c r="T45" s="775" t="s">
        <v>17</v>
      </c>
      <c r="U45" s="776">
        <f t="shared" si="11"/>
        <v>100</v>
      </c>
      <c r="V45" s="775" t="s">
        <v>17</v>
      </c>
      <c r="W45" s="776">
        <f t="shared" si="12"/>
        <v>100</v>
      </c>
      <c r="X45" s="777"/>
      <c r="Y45" s="3253"/>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246" t="str">
        <f>A46</f>
        <v>成交单价</v>
      </c>
      <c r="Q46" s="3246"/>
      <c r="R46" s="3241">
        <f>E46</f>
        <v>0</v>
      </c>
      <c r="S46" s="3241"/>
      <c r="T46" s="3241">
        <f>G46</f>
        <v>0</v>
      </c>
      <c r="U46" s="3241"/>
      <c r="V46" s="3241">
        <f>I46</f>
        <v>0</v>
      </c>
      <c r="W46" s="3241"/>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246" t="str">
        <f>A47</f>
        <v>比较价值（元/平方米）</v>
      </c>
      <c r="Q47" s="3246"/>
      <c r="R47" s="3273" t="e">
        <f>ROUND(PRODUCT(R46,AA7:AA45),0)</f>
        <v>#DIV/0!</v>
      </c>
      <c r="S47" s="3273"/>
      <c r="T47" s="3273" t="e">
        <f>ROUND(PRODUCT(T46,AB7:AB45),0)</f>
        <v>#DIV/0!</v>
      </c>
      <c r="U47" s="3273"/>
      <c r="V47" s="3273" t="e">
        <f>ROUND(PRODUCT(V46,AC7:AC45),0)</f>
        <v>#DIV/0!</v>
      </c>
      <c r="W47" s="3273"/>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243" t="str">
        <f>A48</f>
        <v>估价对象XX用房的比较价值（楼面单价，元/平方米）</v>
      </c>
      <c r="Q48" s="3244"/>
      <c r="R48" s="3274" t="e">
        <f>ROUND(AVERAGE(R47:V47),0)</f>
        <v>#DIV/0!</v>
      </c>
      <c r="S48" s="3274"/>
      <c r="T48" s="3274"/>
      <c r="U48" s="3274"/>
      <c r="V48" s="3274"/>
      <c r="W48" s="327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229" t="s">
        <v>2764</v>
      </c>
      <c r="H55" s="3275"/>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228"/>
      <c r="H56" s="3246"/>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276"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276"/>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276"/>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276"/>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37556.699999999997</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229" t="s">
        <v>2646</v>
      </c>
      <c r="D4" s="3230"/>
      <c r="E4" s="3231" t="s">
        <v>2647</v>
      </c>
      <c r="F4" s="3232"/>
      <c r="G4" s="3229" t="s">
        <v>2648</v>
      </c>
      <c r="H4" s="3230"/>
      <c r="I4" s="3229" t="s">
        <v>2649</v>
      </c>
      <c r="J4" s="3230"/>
      <c r="K4" s="608" t="s">
        <v>2650</v>
      </c>
      <c r="L4" s="1130"/>
      <c r="M4" s="1131"/>
      <c r="N4" s="1131"/>
      <c r="O4" s="1131"/>
      <c r="P4" s="3233" t="s">
        <v>2651</v>
      </c>
      <c r="Q4" s="3234"/>
      <c r="R4" s="3216" t="s">
        <v>2647</v>
      </c>
      <c r="S4" s="3217"/>
      <c r="T4" s="3216" t="s">
        <v>2648</v>
      </c>
      <c r="U4" s="3217"/>
      <c r="V4" s="3241" t="s">
        <v>2649</v>
      </c>
      <c r="W4" s="3241"/>
      <c r="X4" s="1813"/>
      <c r="Y4" s="3216" t="s">
        <v>2651</v>
      </c>
      <c r="Z4" s="3217"/>
      <c r="AA4" s="3211" t="s">
        <v>2647</v>
      </c>
      <c r="AB4" s="3212" t="s">
        <v>2648</v>
      </c>
      <c r="AC4" s="3211" t="s">
        <v>2649</v>
      </c>
    </row>
    <row r="5" spans="1:29" ht="15">
      <c r="A5" s="402"/>
      <c r="B5" s="403"/>
      <c r="C5" s="3222" t="s">
        <v>2542</v>
      </c>
      <c r="D5" s="3223"/>
      <c r="E5" s="3220" t="s">
        <v>2543</v>
      </c>
      <c r="F5" s="3221"/>
      <c r="G5" s="3222" t="s">
        <v>2544</v>
      </c>
      <c r="H5" s="3223"/>
      <c r="I5" s="3222" t="s">
        <v>2545</v>
      </c>
      <c r="J5" s="3223"/>
      <c r="K5" s="608"/>
      <c r="L5" s="1130"/>
      <c r="M5" s="1131"/>
      <c r="N5" s="1131"/>
      <c r="O5" s="1131"/>
      <c r="P5" s="3235"/>
      <c r="Q5" s="3236"/>
      <c r="R5" s="3218"/>
      <c r="S5" s="3219"/>
      <c r="T5" s="3218"/>
      <c r="U5" s="3219"/>
      <c r="V5" s="3241"/>
      <c r="W5" s="3241"/>
      <c r="X5" s="1813"/>
      <c r="Y5" s="3218"/>
      <c r="Z5" s="3219"/>
      <c r="AA5" s="3212"/>
      <c r="AB5" s="3212"/>
      <c r="AC5" s="3212"/>
    </row>
    <row r="6" spans="1:29" ht="15.75" thickBot="1">
      <c r="A6" s="404"/>
      <c r="B6" s="405"/>
      <c r="C6" s="3277" t="s">
        <v>2797</v>
      </c>
      <c r="D6" s="3278"/>
      <c r="E6" s="3279" t="s">
        <v>2797</v>
      </c>
      <c r="F6" s="3280"/>
      <c r="G6" s="3277" t="s">
        <v>2797</v>
      </c>
      <c r="H6" s="3278"/>
      <c r="I6" s="3277" t="s">
        <v>2797</v>
      </c>
      <c r="J6" s="3278"/>
      <c r="K6" s="608" t="s">
        <v>2547</v>
      </c>
      <c r="L6" s="1130"/>
      <c r="M6" s="1131"/>
      <c r="N6" s="1131"/>
      <c r="O6" s="1131"/>
      <c r="P6" s="3237"/>
      <c r="Q6" s="3238"/>
      <c r="R6" s="3218"/>
      <c r="S6" s="3219"/>
      <c r="T6" s="3239"/>
      <c r="U6" s="3240"/>
      <c r="V6" s="3241"/>
      <c r="W6" s="3241"/>
      <c r="X6" s="1813"/>
      <c r="Y6" s="3239"/>
      <c r="Z6" s="3240"/>
      <c r="AA6" s="3213"/>
      <c r="AB6" s="3213"/>
      <c r="AC6" s="3213"/>
    </row>
    <row r="7" spans="1:29" s="115" customFormat="1" ht="15.75" thickBot="1">
      <c r="A7" s="406" t="s">
        <v>2548</v>
      </c>
      <c r="B7" s="407"/>
      <c r="C7" s="408">
        <f>'数据-取费表'!B2</f>
        <v>43251</v>
      </c>
      <c r="D7" s="409">
        <v>100</v>
      </c>
      <c r="E7" s="410"/>
      <c r="F7" s="411">
        <f>SUMIF(65:65,YEAR(E7)&amp;"-"&amp;INT((MONTH(E7)+2)/3),66:66)</f>
        <v>0</v>
      </c>
      <c r="G7" s="2695"/>
      <c r="H7" s="409">
        <f>SUMIF(65:65,YEAR(G7)&amp;"-"&amp;INT((MONTH(G7)+2)/3),66:66)</f>
        <v>0</v>
      </c>
      <c r="I7" s="2695"/>
      <c r="J7" s="409">
        <f>SUMIF(65:65,YEAR(I7)&amp;"-"&amp;INT((MONTH(I7)+2)/3),66:66)</f>
        <v>0</v>
      </c>
      <c r="K7" s="609"/>
      <c r="L7" s="1132"/>
      <c r="M7" s="1133"/>
      <c r="N7" s="1133"/>
      <c r="O7" s="1133"/>
      <c r="P7" s="3214" t="s">
        <v>2549</v>
      </c>
      <c r="Q7" s="3242"/>
      <c r="R7" s="768" t="s">
        <v>17</v>
      </c>
      <c r="S7" s="769">
        <f t="shared" ref="S7:S15" si="0">F7</f>
        <v>0</v>
      </c>
      <c r="T7" s="768" t="s">
        <v>17</v>
      </c>
      <c r="U7" s="769">
        <f t="shared" ref="U7:U15" si="1">H7</f>
        <v>0</v>
      </c>
      <c r="V7" s="768" t="s">
        <v>17</v>
      </c>
      <c r="W7" s="769">
        <f t="shared" ref="W7:W15" si="2">J7</f>
        <v>0</v>
      </c>
      <c r="X7" s="770"/>
      <c r="Y7" s="3214" t="s">
        <v>2549</v>
      </c>
      <c r="Z7" s="3215"/>
      <c r="AA7" s="771" t="e">
        <f>D7/F7</f>
        <v>#DIV/0!</v>
      </c>
      <c r="AB7" s="771" t="e">
        <f>D7/H7</f>
        <v>#DIV/0!</v>
      </c>
      <c r="AC7" s="771" t="e">
        <f>D7/J7</f>
        <v>#DIV/0!</v>
      </c>
    </row>
    <row r="8" spans="1:29" s="115" customFormat="1" ht="15.75" thickBot="1">
      <c r="A8" s="406" t="s">
        <v>2550</v>
      </c>
      <c r="B8" s="407"/>
      <c r="C8" s="412" t="s">
        <v>2551</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14" t="s">
        <v>2552</v>
      </c>
      <c r="Q8" s="3215"/>
      <c r="R8" s="768" t="s">
        <v>17</v>
      </c>
      <c r="S8" s="769">
        <f t="shared" si="0"/>
        <v>0</v>
      </c>
      <c r="T8" s="768" t="s">
        <v>17</v>
      </c>
      <c r="U8" s="769">
        <f t="shared" si="1"/>
        <v>0</v>
      </c>
      <c r="V8" s="768" t="s">
        <v>17</v>
      </c>
      <c r="W8" s="769">
        <f t="shared" si="2"/>
        <v>0</v>
      </c>
      <c r="X8" s="770"/>
      <c r="Y8" s="3214" t="s">
        <v>2552</v>
      </c>
      <c r="Z8" s="3215"/>
      <c r="AA8" s="771" t="e">
        <f t="shared" ref="AA8:AA40" si="3">D8/F8</f>
        <v>#DIV/0!</v>
      </c>
      <c r="AB8" s="771" t="e">
        <f t="shared" ref="AB8:AB40" si="4">D8/H8</f>
        <v>#DIV/0!</v>
      </c>
      <c r="AC8" s="771" t="e">
        <f t="shared" ref="AC8:AC40" si="5">D8/J8</f>
        <v>#DIV/0!</v>
      </c>
    </row>
    <row r="9" spans="1:29" s="115" customFormat="1">
      <c r="A9" s="413" t="s">
        <v>2553</v>
      </c>
      <c r="B9" s="70" t="s">
        <v>2554</v>
      </c>
      <c r="C9" s="2698"/>
      <c r="D9" s="133">
        <v>100</v>
      </c>
      <c r="E9" s="2698"/>
      <c r="F9" s="133">
        <f>SUMIF(70:70,E9,71:71)-SUMIF(70:70,C9,71:71)+100</f>
        <v>100</v>
      </c>
      <c r="G9" s="2698"/>
      <c r="H9" s="133">
        <f>SUMIF(70:70,G9,71:71)-SUMIF(70:70,C9,71:71)+100</f>
        <v>100</v>
      </c>
      <c r="I9" s="2698"/>
      <c r="J9" s="133">
        <f>SUMIF(70:70,I9,71:71)-SUMIF(70:70,C9,71:71)+100</f>
        <v>100</v>
      </c>
      <c r="K9" s="609"/>
      <c r="L9" s="1132"/>
      <c r="M9" s="1133"/>
      <c r="N9" s="1133"/>
      <c r="O9" s="1134"/>
      <c r="P9" s="3246" t="s">
        <v>2555</v>
      </c>
      <c r="Q9" s="1795" t="str">
        <f t="shared" ref="Q9:Q15" si="6">B9</f>
        <v>用途</v>
      </c>
      <c r="R9" s="768" t="s">
        <v>17</v>
      </c>
      <c r="S9" s="769">
        <f t="shared" si="0"/>
        <v>100</v>
      </c>
      <c r="T9" s="768" t="s">
        <v>17</v>
      </c>
      <c r="U9" s="769">
        <f t="shared" si="1"/>
        <v>100</v>
      </c>
      <c r="V9" s="768" t="s">
        <v>17</v>
      </c>
      <c r="W9" s="769">
        <f t="shared" si="2"/>
        <v>100</v>
      </c>
      <c r="X9" s="770"/>
      <c r="Y9" s="3036" t="s">
        <v>2556</v>
      </c>
      <c r="Z9" s="54" t="str">
        <f t="shared" ref="Z9:Z15" si="7">Q9</f>
        <v>用途</v>
      </c>
      <c r="AA9" s="771">
        <f t="shared" si="3"/>
        <v>1</v>
      </c>
      <c r="AB9" s="771">
        <f t="shared" si="4"/>
        <v>1</v>
      </c>
      <c r="AC9" s="771">
        <f t="shared" si="5"/>
        <v>1</v>
      </c>
    </row>
    <row r="10" spans="1:29" s="425" customFormat="1" ht="27">
      <c r="A10" s="419"/>
      <c r="B10" s="420" t="s">
        <v>2557</v>
      </c>
      <c r="C10" s="430"/>
      <c r="D10" s="134">
        <v>100</v>
      </c>
      <c r="E10" s="430"/>
      <c r="F10" s="134">
        <f>ROUND(100/'数据-取费表'!G16,0)</f>
        <v>103</v>
      </c>
      <c r="G10" s="430"/>
      <c r="H10" s="134">
        <f>ROUND(100/'数据-取费表'!G16,0)</f>
        <v>103</v>
      </c>
      <c r="I10" s="430"/>
      <c r="J10" s="134">
        <f>ROUND(100/'数据-取费表'!G16,0)</f>
        <v>103</v>
      </c>
      <c r="K10" s="670"/>
      <c r="L10" s="1135"/>
      <c r="M10" s="1136"/>
      <c r="N10" s="1136"/>
      <c r="O10" s="1137"/>
      <c r="P10" s="3246"/>
      <c r="Q10" s="1795" t="str">
        <f t="shared" si="6"/>
        <v>土地使用年限（年）</v>
      </c>
      <c r="R10" s="768" t="s">
        <v>17</v>
      </c>
      <c r="S10" s="769">
        <f t="shared" si="0"/>
        <v>103</v>
      </c>
      <c r="T10" s="768" t="s">
        <v>17</v>
      </c>
      <c r="U10" s="769">
        <f t="shared" si="1"/>
        <v>103</v>
      </c>
      <c r="V10" s="768" t="s">
        <v>17</v>
      </c>
      <c r="W10" s="769">
        <f t="shared" si="2"/>
        <v>103</v>
      </c>
      <c r="X10" s="770"/>
      <c r="Y10" s="3036"/>
      <c r="Z10" s="54" t="str">
        <f t="shared" si="7"/>
        <v>土地使用年限（年）</v>
      </c>
      <c r="AA10" s="771">
        <f t="shared" si="3"/>
        <v>0.970873786407767</v>
      </c>
      <c r="AB10" s="771">
        <f t="shared" si="4"/>
        <v>0.970873786407767</v>
      </c>
      <c r="AC10" s="771">
        <f t="shared" si="5"/>
        <v>0.970873786407767</v>
      </c>
    </row>
    <row r="11" spans="1:29" ht="15">
      <c r="A11" s="426"/>
      <c r="B11" s="420" t="s">
        <v>2558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246"/>
      <c r="Q11" s="1795" t="str">
        <f t="shared" si="6"/>
        <v>容积率</v>
      </c>
      <c r="R11" s="768" t="s">
        <v>17</v>
      </c>
      <c r="S11" s="769" t="e">
        <f t="shared" si="0"/>
        <v>#N/A</v>
      </c>
      <c r="T11" s="768" t="s">
        <v>17</v>
      </c>
      <c r="U11" s="769" t="e">
        <f t="shared" si="1"/>
        <v>#N/A</v>
      </c>
      <c r="V11" s="768" t="s">
        <v>17</v>
      </c>
      <c r="W11" s="769" t="e">
        <f t="shared" si="2"/>
        <v>#N/A</v>
      </c>
      <c r="X11" s="770"/>
      <c r="Y11" s="3036"/>
      <c r="Z11" s="54" t="str">
        <f t="shared" si="7"/>
        <v>容积率</v>
      </c>
      <c r="AA11" s="771" t="e">
        <f t="shared" si="3"/>
        <v>#N/A</v>
      </c>
      <c r="AB11" s="771" t="e">
        <f t="shared" si="4"/>
        <v>#N/A</v>
      </c>
      <c r="AC11" s="771" t="e">
        <f t="shared" si="5"/>
        <v>#N/A</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246"/>
      <c r="Q12" s="1795">
        <f t="shared" si="6"/>
        <v>111</v>
      </c>
      <c r="R12" s="768" t="s">
        <v>17</v>
      </c>
      <c r="S12" s="769">
        <f t="shared" si="0"/>
        <v>100</v>
      </c>
      <c r="T12" s="768" t="s">
        <v>17</v>
      </c>
      <c r="U12" s="769">
        <f t="shared" si="1"/>
        <v>100</v>
      </c>
      <c r="V12" s="768" t="s">
        <v>17</v>
      </c>
      <c r="W12" s="769">
        <f t="shared" si="2"/>
        <v>100</v>
      </c>
      <c r="X12" s="770"/>
      <c r="Y12" s="3036"/>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246"/>
      <c r="Q13" s="1795">
        <f t="shared" si="6"/>
        <v>111</v>
      </c>
      <c r="R13" s="768" t="s">
        <v>17</v>
      </c>
      <c r="S13" s="769">
        <f t="shared" si="0"/>
        <v>100</v>
      </c>
      <c r="T13" s="768" t="s">
        <v>17</v>
      </c>
      <c r="U13" s="769">
        <f t="shared" si="1"/>
        <v>100</v>
      </c>
      <c r="V13" s="768" t="s">
        <v>17</v>
      </c>
      <c r="W13" s="769">
        <f t="shared" si="2"/>
        <v>100</v>
      </c>
      <c r="X13" s="770"/>
      <c r="Y13" s="3036"/>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246"/>
      <c r="Q14" s="1795">
        <f t="shared" si="6"/>
        <v>111</v>
      </c>
      <c r="R14" s="768" t="s">
        <v>17</v>
      </c>
      <c r="S14" s="769">
        <f t="shared" si="0"/>
        <v>100</v>
      </c>
      <c r="T14" s="768" t="s">
        <v>17</v>
      </c>
      <c r="U14" s="769">
        <f t="shared" si="1"/>
        <v>100</v>
      </c>
      <c r="V14" s="768" t="s">
        <v>17</v>
      </c>
      <c r="W14" s="769">
        <f t="shared" si="2"/>
        <v>100</v>
      </c>
      <c r="X14" s="770"/>
      <c r="Y14" s="3036"/>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48" t="s">
        <v>2560</v>
      </c>
      <c r="Q15" s="1810" t="str">
        <f t="shared" si="6"/>
        <v>产业集聚程度</v>
      </c>
      <c r="R15" s="772" t="s">
        <v>17</v>
      </c>
      <c r="S15" s="773">
        <f t="shared" si="0"/>
        <v>100</v>
      </c>
      <c r="T15" s="772" t="s">
        <v>17</v>
      </c>
      <c r="U15" s="773">
        <f t="shared" si="1"/>
        <v>100</v>
      </c>
      <c r="V15" s="772" t="s">
        <v>17</v>
      </c>
      <c r="W15" s="773">
        <f t="shared" si="2"/>
        <v>100</v>
      </c>
      <c r="X15" s="1813"/>
      <c r="Y15" s="3248" t="s">
        <v>2560</v>
      </c>
      <c r="Z15" s="1814" t="str">
        <f t="shared" si="7"/>
        <v>产业集聚程度</v>
      </c>
      <c r="AA15" s="1811">
        <f t="shared" si="3"/>
        <v>1</v>
      </c>
      <c r="AB15" s="1811">
        <f t="shared" si="4"/>
        <v>1</v>
      </c>
      <c r="AC15" s="1811">
        <f t="shared" si="5"/>
        <v>1</v>
      </c>
    </row>
    <row r="16" spans="1:29" ht="15">
      <c r="A16" s="426"/>
      <c r="B16" s="628"/>
      <c r="C16" s="445"/>
      <c r="D16" s="446"/>
      <c r="E16" s="2610"/>
      <c r="F16" s="446"/>
      <c r="G16" s="2610"/>
      <c r="H16" s="448"/>
      <c r="I16" s="2610"/>
      <c r="J16" s="446"/>
      <c r="K16" s="670"/>
      <c r="L16" s="1140"/>
      <c r="M16" s="1131"/>
      <c r="N16" s="1131"/>
      <c r="O16" s="1139"/>
      <c r="P16" s="3249"/>
      <c r="Q16" s="1810"/>
      <c r="R16" s="772"/>
      <c r="S16" s="773"/>
      <c r="T16" s="772"/>
      <c r="U16" s="773"/>
      <c r="V16" s="772"/>
      <c r="W16" s="773"/>
      <c r="X16" s="1813"/>
      <c r="Y16" s="3249"/>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49"/>
      <c r="Q17" s="1810" t="str">
        <f>B17</f>
        <v>交通便捷度</v>
      </c>
      <c r="R17" s="772" t="s">
        <v>17</v>
      </c>
      <c r="S17" s="773">
        <f>F17</f>
        <v>100</v>
      </c>
      <c r="T17" s="772" t="s">
        <v>17</v>
      </c>
      <c r="U17" s="773">
        <f>H17</f>
        <v>100</v>
      </c>
      <c r="V17" s="772" t="s">
        <v>17</v>
      </c>
      <c r="W17" s="773">
        <f>J17</f>
        <v>100</v>
      </c>
      <c r="X17" s="1813"/>
      <c r="Y17" s="3249"/>
      <c r="Z17" s="1814" t="str">
        <f>Q17</f>
        <v>交通便捷度</v>
      </c>
      <c r="AA17" s="1811">
        <f t="shared" si="3"/>
        <v>1</v>
      </c>
      <c r="AB17" s="1811">
        <f t="shared" si="4"/>
        <v>1</v>
      </c>
      <c r="AC17" s="1811">
        <f t="shared" si="5"/>
        <v>1</v>
      </c>
    </row>
    <row r="18" spans="1:29" ht="15">
      <c r="A18" s="426"/>
      <c r="B18" s="630"/>
      <c r="C18" s="445"/>
      <c r="D18" s="446"/>
      <c r="E18" s="2604"/>
      <c r="F18" s="446"/>
      <c r="G18" s="2604"/>
      <c r="H18" s="446"/>
      <c r="I18" s="2603"/>
      <c r="J18" s="446"/>
      <c r="K18" s="670"/>
      <c r="L18" s="1140"/>
      <c r="M18" s="1131"/>
      <c r="N18" s="1131"/>
      <c r="O18" s="1139"/>
      <c r="P18" s="3249"/>
      <c r="Q18" s="1810"/>
      <c r="R18" s="772"/>
      <c r="S18" s="773"/>
      <c r="T18" s="772"/>
      <c r="U18" s="773"/>
      <c r="V18" s="772"/>
      <c r="W18" s="773"/>
      <c r="X18" s="1813"/>
      <c r="Y18" s="3249"/>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49"/>
      <c r="Q19" s="1810" t="str">
        <f t="shared" ref="Q19:Q33" si="8">B19</f>
        <v>区域土地利用方向</v>
      </c>
      <c r="R19" s="772" t="s">
        <v>17</v>
      </c>
      <c r="S19" s="773">
        <f>F19</f>
        <v>100</v>
      </c>
      <c r="T19" s="772" t="s">
        <v>17</v>
      </c>
      <c r="U19" s="773">
        <f>H19</f>
        <v>100</v>
      </c>
      <c r="V19" s="772" t="s">
        <v>17</v>
      </c>
      <c r="W19" s="773">
        <f>J19</f>
        <v>100</v>
      </c>
      <c r="X19" s="1813"/>
      <c r="Y19" s="3249"/>
      <c r="Z19" s="1814" t="str">
        <f>Q19</f>
        <v>区域土地利用方向</v>
      </c>
      <c r="AA19" s="1811">
        <f t="shared" si="3"/>
        <v>1</v>
      </c>
      <c r="AB19" s="1811">
        <f t="shared" si="4"/>
        <v>1</v>
      </c>
      <c r="AC19" s="1811">
        <f t="shared" si="5"/>
        <v>1</v>
      </c>
    </row>
    <row r="20" spans="1:29" ht="15">
      <c r="A20" s="402"/>
      <c r="B20" s="630"/>
      <c r="C20" s="445"/>
      <c r="D20" s="446"/>
      <c r="E20" s="2604"/>
      <c r="F20" s="446"/>
      <c r="G20" s="2604"/>
      <c r="H20" s="446"/>
      <c r="I20" s="2604"/>
      <c r="J20" s="446"/>
      <c r="K20" s="809"/>
      <c r="L20" s="1140"/>
      <c r="M20" s="1131"/>
      <c r="N20" s="1131"/>
      <c r="O20" s="1139"/>
      <c r="P20" s="3249"/>
      <c r="Q20" s="1810"/>
      <c r="R20" s="772"/>
      <c r="S20" s="773"/>
      <c r="T20" s="772"/>
      <c r="U20" s="773"/>
      <c r="V20" s="772"/>
      <c r="W20" s="773"/>
      <c r="X20" s="1813"/>
      <c r="Y20" s="3249"/>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49"/>
      <c r="Q21" s="1810" t="str">
        <f t="shared" si="8"/>
        <v>环境状况</v>
      </c>
      <c r="R21" s="772" t="s">
        <v>17</v>
      </c>
      <c r="S21" s="773">
        <f>F21</f>
        <v>100</v>
      </c>
      <c r="T21" s="772" t="s">
        <v>17</v>
      </c>
      <c r="U21" s="773">
        <f>H21</f>
        <v>100</v>
      </c>
      <c r="V21" s="772" t="s">
        <v>17</v>
      </c>
      <c r="W21" s="773">
        <f>J21</f>
        <v>100</v>
      </c>
      <c r="X21" s="1813"/>
      <c r="Y21" s="3249"/>
      <c r="Z21" s="1814" t="str">
        <f>Q21</f>
        <v>环境状况</v>
      </c>
      <c r="AA21" s="1811">
        <f t="shared" si="3"/>
        <v>1</v>
      </c>
      <c r="AB21" s="1811">
        <f t="shared" si="4"/>
        <v>1</v>
      </c>
      <c r="AC21" s="1811">
        <f t="shared" si="5"/>
        <v>1</v>
      </c>
    </row>
    <row r="22" spans="1:29" ht="15">
      <c r="A22" s="402"/>
      <c r="B22" s="630"/>
      <c r="C22" s="445"/>
      <c r="D22" s="446"/>
      <c r="E22" s="2610"/>
      <c r="F22" s="446"/>
      <c r="G22" s="2610"/>
      <c r="H22" s="446"/>
      <c r="I22" s="445"/>
      <c r="J22" s="446"/>
      <c r="K22" s="670"/>
      <c r="L22" s="1140"/>
      <c r="M22" s="1131"/>
      <c r="N22" s="1131"/>
      <c r="O22" s="1139"/>
      <c r="P22" s="3249"/>
      <c r="Q22" s="1810"/>
      <c r="R22" s="772"/>
      <c r="S22" s="773"/>
      <c r="T22" s="772"/>
      <c r="U22" s="773"/>
      <c r="V22" s="772"/>
      <c r="W22" s="773"/>
      <c r="X22" s="1813"/>
      <c r="Y22" s="3249"/>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49"/>
      <c r="Q23" s="1795" t="str">
        <f t="shared" si="8"/>
        <v>公共配套设施</v>
      </c>
      <c r="R23" s="768" t="s">
        <v>17</v>
      </c>
      <c r="S23" s="769">
        <f>F23</f>
        <v>100</v>
      </c>
      <c r="T23" s="768" t="s">
        <v>17</v>
      </c>
      <c r="U23" s="769">
        <f>H23</f>
        <v>100</v>
      </c>
      <c r="V23" s="768" t="s">
        <v>17</v>
      </c>
      <c r="W23" s="769">
        <f>J23</f>
        <v>100</v>
      </c>
      <c r="X23" s="770"/>
      <c r="Y23" s="3249"/>
      <c r="Z23" s="54" t="str">
        <f>Q23</f>
        <v>公共配套设施</v>
      </c>
      <c r="AA23" s="1811">
        <f>D23/F23</f>
        <v>1</v>
      </c>
      <c r="AB23" s="1811">
        <f>D23/H23</f>
        <v>1</v>
      </c>
      <c r="AC23" s="1811">
        <f>D23/J23</f>
        <v>1</v>
      </c>
    </row>
    <row r="24" spans="1:29" s="115" customFormat="1" ht="15">
      <c r="A24" s="647"/>
      <c r="B24" s="630"/>
      <c r="C24" s="2699"/>
      <c r="D24" s="446"/>
      <c r="E24" s="2610"/>
      <c r="F24" s="446"/>
      <c r="G24" s="2610"/>
      <c r="H24" s="446"/>
      <c r="I24" s="445"/>
      <c r="J24" s="446"/>
      <c r="K24" s="670"/>
      <c r="L24" s="1132"/>
      <c r="M24" s="1133"/>
      <c r="N24" s="1133"/>
      <c r="O24" s="1134"/>
      <c r="P24" s="3249"/>
      <c r="Q24" s="1795"/>
      <c r="R24" s="768"/>
      <c r="S24" s="769"/>
      <c r="T24" s="768"/>
      <c r="U24" s="769"/>
      <c r="V24" s="768"/>
      <c r="W24" s="769"/>
      <c r="X24" s="770"/>
      <c r="Y24" s="3249"/>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49"/>
      <c r="Q25" s="1795" t="str">
        <f t="shared" ref="Q25" si="9">B25</f>
        <v>基础设施水平</v>
      </c>
      <c r="R25" s="768" t="s">
        <v>17</v>
      </c>
      <c r="S25" s="769">
        <f>F25</f>
        <v>100</v>
      </c>
      <c r="T25" s="768" t="s">
        <v>17</v>
      </c>
      <c r="U25" s="769">
        <f>H25</f>
        <v>100</v>
      </c>
      <c r="V25" s="768" t="s">
        <v>17</v>
      </c>
      <c r="W25" s="769">
        <f>J25</f>
        <v>100</v>
      </c>
      <c r="X25" s="770"/>
      <c r="Y25" s="3249"/>
      <c r="Z25" s="54" t="str">
        <f>Q25</f>
        <v>基础设施水平</v>
      </c>
      <c r="AA25" s="1811">
        <f>D25/F25</f>
        <v>1</v>
      </c>
      <c r="AB25" s="1811">
        <f>D25/H25</f>
        <v>1</v>
      </c>
      <c r="AC25" s="1811">
        <f>D25/J25</f>
        <v>1</v>
      </c>
    </row>
    <row r="26" spans="1:29" s="115" customFormat="1" ht="15">
      <c r="A26" s="647"/>
      <c r="B26" s="630"/>
      <c r="C26" s="2699"/>
      <c r="D26" s="446"/>
      <c r="E26" s="2700"/>
      <c r="F26" s="446"/>
      <c r="G26" s="2700"/>
      <c r="H26" s="446"/>
      <c r="I26" s="2700"/>
      <c r="J26" s="446"/>
      <c r="K26" s="670"/>
      <c r="L26" s="1132"/>
      <c r="M26" s="1133"/>
      <c r="N26" s="1133"/>
      <c r="O26" s="1134"/>
      <c r="P26" s="3249"/>
      <c r="Q26" s="1795"/>
      <c r="R26" s="768"/>
      <c r="S26" s="769"/>
      <c r="T26" s="768"/>
      <c r="U26" s="769"/>
      <c r="V26" s="768"/>
      <c r="W26" s="769"/>
      <c r="X26" s="770"/>
      <c r="Y26" s="3249"/>
      <c r="Z26" s="54"/>
      <c r="AA26" s="771">
        <v>1</v>
      </c>
      <c r="AB26" s="771">
        <v>1</v>
      </c>
      <c r="AC26" s="771">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49"/>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49"/>
      <c r="Z27" s="1814" t="str">
        <f t="shared" ref="Z27:Z40" si="13">Q27</f>
        <v>临街状况</v>
      </c>
      <c r="AA27" s="1811">
        <f t="shared" si="3"/>
        <v>1</v>
      </c>
      <c r="AB27" s="1811">
        <f t="shared" si="4"/>
        <v>1</v>
      </c>
      <c r="AC27" s="1811">
        <f t="shared" si="5"/>
        <v>1</v>
      </c>
    </row>
    <row r="28" spans="1:29" ht="27">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49"/>
      <c r="Q28" s="1810" t="str">
        <f t="shared" si="8"/>
        <v>毗邻道路的类型与等级</v>
      </c>
      <c r="R28" s="772" t="s">
        <v>17</v>
      </c>
      <c r="S28" s="773">
        <f t="shared" si="10"/>
        <v>100</v>
      </c>
      <c r="T28" s="772" t="s">
        <v>17</v>
      </c>
      <c r="U28" s="773">
        <f t="shared" si="11"/>
        <v>100</v>
      </c>
      <c r="V28" s="772" t="s">
        <v>17</v>
      </c>
      <c r="W28" s="773">
        <f t="shared" si="12"/>
        <v>100</v>
      </c>
      <c r="X28" s="1813"/>
      <c r="Y28" s="3249"/>
      <c r="Z28" s="1814" t="str">
        <f t="shared" si="13"/>
        <v>毗邻道路的类型与等级</v>
      </c>
      <c r="AA28" s="1811">
        <f t="shared" si="3"/>
        <v>1</v>
      </c>
      <c r="AB28" s="1811">
        <f t="shared" si="4"/>
        <v>1</v>
      </c>
      <c r="AC28" s="1811">
        <f t="shared" si="5"/>
        <v>1</v>
      </c>
    </row>
    <row r="29" spans="1:29" ht="15">
      <c r="A29" s="426"/>
      <c r="B29" s="630"/>
      <c r="C29" s="445"/>
      <c r="D29" s="446"/>
      <c r="E29" s="2610"/>
      <c r="F29" s="446"/>
      <c r="G29" s="2610"/>
      <c r="H29" s="446"/>
      <c r="I29" s="2610"/>
      <c r="J29" s="446"/>
      <c r="K29" s="611"/>
      <c r="L29" s="1140"/>
      <c r="M29" s="1131"/>
      <c r="N29" s="1131"/>
      <c r="O29" s="1139"/>
      <c r="P29" s="3249"/>
      <c r="Q29" s="1810"/>
      <c r="R29" s="772"/>
      <c r="S29" s="773"/>
      <c r="T29" s="772"/>
      <c r="U29" s="773"/>
      <c r="V29" s="772"/>
      <c r="W29" s="773"/>
      <c r="X29" s="1813"/>
      <c r="Y29" s="3249"/>
      <c r="Z29" s="1814"/>
      <c r="AA29" s="1811">
        <v>1</v>
      </c>
      <c r="AB29" s="1811">
        <v>1</v>
      </c>
      <c r="AC29" s="1811">
        <v>1</v>
      </c>
    </row>
    <row r="30" spans="1:29" ht="15">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49"/>
      <c r="Q30" s="1810" t="str">
        <f t="shared" si="8"/>
        <v>土地级别</v>
      </c>
      <c r="R30" s="772" t="s">
        <v>17</v>
      </c>
      <c r="S30" s="773">
        <f t="shared" si="10"/>
        <v>100</v>
      </c>
      <c r="T30" s="772" t="s">
        <v>17</v>
      </c>
      <c r="U30" s="773">
        <f t="shared" si="11"/>
        <v>100</v>
      </c>
      <c r="V30" s="772" t="s">
        <v>17</v>
      </c>
      <c r="W30" s="773">
        <f t="shared" si="12"/>
        <v>100</v>
      </c>
      <c r="X30" s="1813"/>
      <c r="Y30" s="3249"/>
      <c r="Z30" s="1814" t="str">
        <f t="shared" si="13"/>
        <v>土地级别</v>
      </c>
      <c r="AA30" s="1811">
        <f t="shared" si="3"/>
        <v>1</v>
      </c>
      <c r="AB30" s="1811">
        <f t="shared" si="4"/>
        <v>1</v>
      </c>
      <c r="AC30" s="1811">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49"/>
      <c r="Q31" s="1810">
        <f t="shared" si="8"/>
        <v>111</v>
      </c>
      <c r="R31" s="772" t="s">
        <v>17</v>
      </c>
      <c r="S31" s="773">
        <f t="shared" si="10"/>
        <v>100</v>
      </c>
      <c r="T31" s="772" t="s">
        <v>17</v>
      </c>
      <c r="U31" s="773">
        <f t="shared" si="11"/>
        <v>100</v>
      </c>
      <c r="V31" s="772" t="s">
        <v>17</v>
      </c>
      <c r="W31" s="773">
        <f t="shared" si="12"/>
        <v>100</v>
      </c>
      <c r="X31" s="1813"/>
      <c r="Y31" s="3249"/>
      <c r="Z31" s="1814">
        <f t="shared" si="13"/>
        <v>111</v>
      </c>
      <c r="AA31" s="1811">
        <f t="shared" si="3"/>
        <v>1</v>
      </c>
      <c r="AB31" s="1811">
        <f t="shared" si="4"/>
        <v>1</v>
      </c>
      <c r="AC31" s="1811">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72" t="s">
        <v>2565</v>
      </c>
      <c r="Q32" s="1810">
        <f t="shared" si="8"/>
        <v>111</v>
      </c>
      <c r="R32" s="772" t="s">
        <v>17</v>
      </c>
      <c r="S32" s="773">
        <f t="shared" si="10"/>
        <v>100</v>
      </c>
      <c r="T32" s="772" t="s">
        <v>17</v>
      </c>
      <c r="U32" s="773">
        <f t="shared" si="11"/>
        <v>100</v>
      </c>
      <c r="V32" s="772" t="s">
        <v>17</v>
      </c>
      <c r="W32" s="773">
        <f t="shared" si="12"/>
        <v>100</v>
      </c>
      <c r="X32" s="1813"/>
      <c r="Y32" s="3253" t="s">
        <v>2565</v>
      </c>
      <c r="Z32" s="1814">
        <f t="shared" si="13"/>
        <v>111</v>
      </c>
      <c r="AA32" s="1811">
        <f t="shared" si="3"/>
        <v>1</v>
      </c>
      <c r="AB32" s="1811">
        <f t="shared" si="4"/>
        <v>1</v>
      </c>
      <c r="AC32" s="1811">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53"/>
      <c r="Q33" s="1810">
        <f t="shared" si="8"/>
        <v>111</v>
      </c>
      <c r="R33" s="775" t="s">
        <v>17</v>
      </c>
      <c r="S33" s="776">
        <f t="shared" si="10"/>
        <v>100</v>
      </c>
      <c r="T33" s="775" t="s">
        <v>17</v>
      </c>
      <c r="U33" s="776">
        <f t="shared" si="11"/>
        <v>100</v>
      </c>
      <c r="V33" s="775" t="s">
        <v>17</v>
      </c>
      <c r="W33" s="776">
        <f t="shared" si="12"/>
        <v>100</v>
      </c>
      <c r="X33" s="777"/>
      <c r="Y33" s="3253"/>
      <c r="Z33" s="778">
        <f t="shared" si="13"/>
        <v>111</v>
      </c>
      <c r="AA33" s="1811">
        <f t="shared" si="3"/>
        <v>1</v>
      </c>
      <c r="AB33" s="1811">
        <f t="shared" si="4"/>
        <v>1</v>
      </c>
      <c r="AC33" s="1811">
        <f t="shared" si="5"/>
        <v>1</v>
      </c>
    </row>
    <row r="34" spans="1:29" ht="15">
      <c r="A34" s="438" t="s">
        <v>2563</v>
      </c>
      <c r="B34" s="454" t="s">
        <v>2751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53"/>
      <c r="Q34" s="1810" t="str">
        <f>B34</f>
        <v>宗地面积</v>
      </c>
      <c r="R34" s="772" t="s">
        <v>17</v>
      </c>
      <c r="S34" s="773" t="e">
        <f t="shared" si="10"/>
        <v>#N/A</v>
      </c>
      <c r="T34" s="772" t="s">
        <v>17</v>
      </c>
      <c r="U34" s="773" t="e">
        <f t="shared" si="11"/>
        <v>#N/A</v>
      </c>
      <c r="V34" s="772" t="s">
        <v>17</v>
      </c>
      <c r="W34" s="773" t="e">
        <f t="shared" si="12"/>
        <v>#N/A</v>
      </c>
      <c r="X34" s="1813"/>
      <c r="Y34" s="3253"/>
      <c r="Z34" s="1814" t="str">
        <f t="shared" si="13"/>
        <v>宗地面积</v>
      </c>
      <c r="AA34" s="1811" t="e">
        <f t="shared" si="3"/>
        <v>#N/A</v>
      </c>
      <c r="AB34" s="1811" t="e">
        <f t="shared" si="4"/>
        <v>#N/A</v>
      </c>
      <c r="AC34" s="1811" t="e">
        <f t="shared" si="5"/>
        <v>#N/A</v>
      </c>
    </row>
    <row r="35" spans="1:29" ht="15">
      <c r="A35" s="470"/>
      <c r="B35" s="420" t="s">
        <v>2752</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40"/>
      <c r="M35" s="1131"/>
      <c r="N35" s="1131"/>
      <c r="O35" s="1139"/>
      <c r="P35" s="3253"/>
      <c r="Q35" s="1810" t="str">
        <f t="shared" ref="Q35:Q40" si="14">B35</f>
        <v>宗地形状</v>
      </c>
      <c r="R35" s="772" t="s">
        <v>17</v>
      </c>
      <c r="S35" s="773">
        <f t="shared" si="10"/>
        <v>100</v>
      </c>
      <c r="T35" s="772" t="s">
        <v>17</v>
      </c>
      <c r="U35" s="773">
        <f t="shared" si="11"/>
        <v>100</v>
      </c>
      <c r="V35" s="772" t="s">
        <v>17</v>
      </c>
      <c r="W35" s="773">
        <f t="shared" si="12"/>
        <v>100</v>
      </c>
      <c r="X35" s="1813"/>
      <c r="Y35" s="3253"/>
      <c r="Z35" s="1814" t="str">
        <f t="shared" si="13"/>
        <v>宗地形状</v>
      </c>
      <c r="AA35" s="1811">
        <f t="shared" si="3"/>
        <v>1</v>
      </c>
      <c r="AB35" s="1811">
        <f t="shared" si="4"/>
        <v>1</v>
      </c>
      <c r="AC35" s="1811">
        <f t="shared" si="5"/>
        <v>1</v>
      </c>
    </row>
    <row r="36" spans="1:29" s="115" customFormat="1" ht="15">
      <c r="A36" s="471"/>
      <c r="B36" s="420" t="s">
        <v>2754</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32"/>
      <c r="M36" s="1133"/>
      <c r="N36" s="1133"/>
      <c r="O36" s="1134"/>
      <c r="P36" s="3253"/>
      <c r="Q36" s="1810" t="str">
        <f t="shared" si="14"/>
        <v>宗地开发程度</v>
      </c>
      <c r="R36" s="768" t="s">
        <v>17</v>
      </c>
      <c r="S36" s="769">
        <f t="shared" si="10"/>
        <v>100</v>
      </c>
      <c r="T36" s="768" t="s">
        <v>17</v>
      </c>
      <c r="U36" s="769">
        <f t="shared" si="11"/>
        <v>100</v>
      </c>
      <c r="V36" s="768" t="s">
        <v>17</v>
      </c>
      <c r="W36" s="769">
        <f t="shared" si="12"/>
        <v>100</v>
      </c>
      <c r="X36" s="770"/>
      <c r="Y36" s="3253"/>
      <c r="Z36" s="54" t="str">
        <f t="shared" si="13"/>
        <v>宗地开发程度</v>
      </c>
      <c r="AA36" s="771">
        <f t="shared" si="3"/>
        <v>1</v>
      </c>
      <c r="AB36" s="771">
        <f t="shared" si="4"/>
        <v>1</v>
      </c>
      <c r="AC36" s="771">
        <f t="shared" si="5"/>
        <v>1</v>
      </c>
    </row>
    <row r="37" spans="1:29" ht="15">
      <c r="A37" s="470"/>
      <c r="B37" s="420" t="s">
        <v>2755</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40"/>
      <c r="M37" s="1131"/>
      <c r="N37" s="1131"/>
      <c r="O37" s="1139"/>
      <c r="P37" s="3253" t="s">
        <v>2565</v>
      </c>
      <c r="Q37" s="1810" t="str">
        <f t="shared" si="14"/>
        <v>工程地质条件</v>
      </c>
      <c r="R37" s="772" t="s">
        <v>17</v>
      </c>
      <c r="S37" s="773">
        <f t="shared" si="10"/>
        <v>100</v>
      </c>
      <c r="T37" s="772" t="s">
        <v>17</v>
      </c>
      <c r="U37" s="773">
        <f t="shared" si="11"/>
        <v>100</v>
      </c>
      <c r="V37" s="772" t="s">
        <v>17</v>
      </c>
      <c r="W37" s="773">
        <f t="shared" si="12"/>
        <v>100</v>
      </c>
      <c r="X37" s="1813"/>
      <c r="Y37" s="3253"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53"/>
      <c r="Q38" s="1810">
        <f t="shared" si="14"/>
        <v>111</v>
      </c>
      <c r="R38" s="772" t="s">
        <v>17</v>
      </c>
      <c r="S38" s="773">
        <f t="shared" si="10"/>
        <v>100</v>
      </c>
      <c r="T38" s="772" t="s">
        <v>17</v>
      </c>
      <c r="U38" s="773">
        <f t="shared" si="11"/>
        <v>100</v>
      </c>
      <c r="V38" s="772" t="s">
        <v>17</v>
      </c>
      <c r="W38" s="773">
        <f t="shared" si="12"/>
        <v>100</v>
      </c>
      <c r="X38" s="1813"/>
      <c r="Y38" s="3253"/>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53"/>
      <c r="Q39" s="1810">
        <f t="shared" si="14"/>
        <v>111</v>
      </c>
      <c r="R39" s="772" t="s">
        <v>17</v>
      </c>
      <c r="S39" s="773">
        <f t="shared" si="10"/>
        <v>100</v>
      </c>
      <c r="T39" s="772" t="s">
        <v>17</v>
      </c>
      <c r="U39" s="773">
        <f t="shared" si="11"/>
        <v>100</v>
      </c>
      <c r="V39" s="772" t="s">
        <v>17</v>
      </c>
      <c r="W39" s="773">
        <f t="shared" si="12"/>
        <v>100</v>
      </c>
      <c r="X39" s="1813"/>
      <c r="Y39" s="3253"/>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53"/>
      <c r="Q40" s="1810">
        <f t="shared" si="14"/>
        <v>111</v>
      </c>
      <c r="R40" s="775" t="s">
        <v>17</v>
      </c>
      <c r="S40" s="776">
        <f t="shared" si="10"/>
        <v>100</v>
      </c>
      <c r="T40" s="775" t="s">
        <v>17</v>
      </c>
      <c r="U40" s="776">
        <f t="shared" si="11"/>
        <v>100</v>
      </c>
      <c r="V40" s="775" t="s">
        <v>17</v>
      </c>
      <c r="W40" s="776">
        <f t="shared" si="12"/>
        <v>100</v>
      </c>
      <c r="X40" s="777"/>
      <c r="Y40" s="3253"/>
      <c r="Z40" s="778">
        <f t="shared" si="13"/>
        <v>111</v>
      </c>
      <c r="AA40" s="1811">
        <f t="shared" si="3"/>
        <v>1</v>
      </c>
      <c r="AB40" s="1811">
        <f t="shared" si="4"/>
        <v>1</v>
      </c>
      <c r="AC40" s="1811">
        <f t="shared" si="5"/>
        <v>1</v>
      </c>
    </row>
    <row r="41" spans="1:29" ht="15">
      <c r="A41" s="477" t="s">
        <v>2720</v>
      </c>
      <c r="B41" s="2703" t="s">
        <v>2800</v>
      </c>
      <c r="C41" s="680" t="s">
        <v>1</v>
      </c>
      <c r="D41" s="479"/>
      <c r="E41" s="480"/>
      <c r="F41" s="481"/>
      <c r="G41" s="482"/>
      <c r="H41" s="483"/>
      <c r="I41" s="480"/>
      <c r="J41" s="483"/>
      <c r="K41" s="781"/>
      <c r="L41" s="1143"/>
      <c r="M41" s="1131"/>
      <c r="N41" s="1131"/>
      <c r="O41" s="1144"/>
      <c r="P41" s="3246" t="str">
        <f>A41</f>
        <v>成交单价</v>
      </c>
      <c r="Q41" s="3246"/>
      <c r="R41" s="3241">
        <f>E41</f>
        <v>0</v>
      </c>
      <c r="S41" s="3241"/>
      <c r="T41" s="3241">
        <f>G41</f>
        <v>0</v>
      </c>
      <c r="U41" s="3241"/>
      <c r="V41" s="3241">
        <f>I41</f>
        <v>0</v>
      </c>
      <c r="W41" s="3241"/>
      <c r="X41" s="757"/>
      <c r="Y41" s="779"/>
      <c r="Z41" s="757"/>
      <c r="AA41" s="757"/>
      <c r="AB41" s="757"/>
      <c r="AC41" s="757"/>
    </row>
    <row r="42" spans="1:29" ht="15.75" thickBot="1">
      <c r="A42" s="484" t="s">
        <v>2669</v>
      </c>
      <c r="B42" s="681"/>
      <c r="C42" s="488" t="e">
        <f>R43</f>
        <v>#DIV/0!</v>
      </c>
      <c r="D42" s="487"/>
      <c r="E42" s="488" t="e">
        <f>R42</f>
        <v>#DIV/0!</v>
      </c>
      <c r="F42" s="489"/>
      <c r="G42" s="486" t="e">
        <f>T42</f>
        <v>#DIV/0!</v>
      </c>
      <c r="H42" s="487"/>
      <c r="I42" s="488" t="e">
        <f>V42</f>
        <v>#DIV/0!</v>
      </c>
      <c r="J42" s="487"/>
      <c r="K42" s="782"/>
      <c r="L42" s="1143"/>
      <c r="M42" s="1131"/>
      <c r="N42" s="1131"/>
      <c r="O42" s="1144"/>
      <c r="P42" s="3246" t="str">
        <f>A42</f>
        <v>比较价值（元/平方米）</v>
      </c>
      <c r="Q42" s="3246"/>
      <c r="R42" s="3273" t="e">
        <f>ROUND(PRODUCT(R41,AA7:AA40),0)</f>
        <v>#DIV/0!</v>
      </c>
      <c r="S42" s="3273"/>
      <c r="T42" s="3273" t="e">
        <f>ROUND(PRODUCT(T41,AB7:AB40),0)</f>
        <v>#DIV/0!</v>
      </c>
      <c r="U42" s="3273"/>
      <c r="V42" s="3273" t="e">
        <f>ROUND(PRODUCT(V41,AC7:AC40),0)</f>
        <v>#DIV/0!</v>
      </c>
      <c r="W42" s="3273"/>
      <c r="X42" s="757"/>
      <c r="Y42" s="757"/>
      <c r="Z42" s="757"/>
      <c r="AA42" s="757"/>
      <c r="AB42" s="757"/>
      <c r="AC42" s="757"/>
    </row>
    <row r="43" spans="1:29" ht="15.75" thickBot="1">
      <c r="A43" s="490" t="s">
        <v>2670</v>
      </c>
      <c r="B43" s="491"/>
      <c r="C43" s="492" t="e">
        <f>R43</f>
        <v>#DIV/0!</v>
      </c>
      <c r="D43" s="492"/>
      <c r="E43" s="492"/>
      <c r="F43" s="492"/>
      <c r="G43" s="492"/>
      <c r="H43" s="492"/>
      <c r="I43" s="492"/>
      <c r="J43" s="492"/>
      <c r="K43" s="783"/>
      <c r="L43" s="1143"/>
      <c r="M43" s="1131"/>
      <c r="N43" s="1131"/>
      <c r="O43" s="1144"/>
      <c r="P43" s="3243" t="str">
        <f>A43</f>
        <v>估价对象XX用房的比较价值（楼面单价，元/平方米）</v>
      </c>
      <c r="Q43" s="3244"/>
      <c r="R43" s="3274" t="e">
        <f>ROUND(AVERAGE(R42:V42),0)</f>
        <v>#DIV/0!</v>
      </c>
      <c r="S43" s="3274"/>
      <c r="T43" s="3274"/>
      <c r="U43" s="3274"/>
      <c r="V43" s="3274"/>
      <c r="W43" s="327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229" t="s">
        <v>2764</v>
      </c>
      <c r="H50" s="3275"/>
      <c r="I50" s="1814" t="s">
        <v>2801</v>
      </c>
      <c r="J50" s="1814">
        <f>项目基本情况!F35</f>
        <v>0</v>
      </c>
      <c r="K50" s="2707" t="s">
        <v>2766</v>
      </c>
      <c r="L50" s="1106"/>
      <c r="M50" s="1144"/>
      <c r="N50" s="1144"/>
      <c r="O50" s="1144"/>
    </row>
    <row r="51" spans="1:17" s="690" customFormat="1">
      <c r="A51" s="686" t="s">
        <v>2767</v>
      </c>
      <c r="B51" s="687" t="e">
        <f>C43</f>
        <v>#DIV/0!</v>
      </c>
      <c r="C51" s="688">
        <v>1</v>
      </c>
      <c r="D51" s="1163">
        <v>1</v>
      </c>
      <c r="E51" s="688">
        <f>'数据-汇总表'!E8+'数据-汇总表'!E9</f>
        <v>37556.699999999997</v>
      </c>
      <c r="F51" s="689" t="e">
        <f t="shared" ref="F51:F60" si="15">ROUND(B51*E51/10000,0)</f>
        <v>#DIV/0!</v>
      </c>
      <c r="G51" s="3228"/>
      <c r="H51" s="3246"/>
      <c r="I51" s="942">
        <v>1</v>
      </c>
      <c r="J51" s="942">
        <v>1</v>
      </c>
      <c r="K51" s="1145"/>
      <c r="L51" s="941"/>
      <c r="M51" s="941"/>
      <c r="N51" s="941"/>
      <c r="O51" s="941"/>
    </row>
    <row r="52" spans="1:17" s="690" customFormat="1">
      <c r="A52" s="691" t="s">
        <v>2768</v>
      </c>
      <c r="B52" s="260" t="e">
        <f>ROUND($C$43*C52*D52,0)</f>
        <v>#DIV/0!</v>
      </c>
      <c r="C52" s="198">
        <f t="shared" ref="C52:C60" si="16">IF($C$50="北京市系数",I52,J52)</f>
        <v>0</v>
      </c>
      <c r="D52" s="1164">
        <v>0.25</v>
      </c>
      <c r="E52" s="692"/>
      <c r="F52" s="689" t="e">
        <f t="shared" si="15"/>
        <v>#DIV/0!</v>
      </c>
      <c r="G52" s="3276" t="s">
        <v>2769</v>
      </c>
      <c r="H52" s="1104">
        <f>项目基本情况!B37</f>
        <v>0</v>
      </c>
      <c r="I52" s="942">
        <f>SUMIF(修正!A45:A56,H52,修正!B45:B56)</f>
        <v>0</v>
      </c>
      <c r="J52" s="943"/>
      <c r="K52" s="1144"/>
      <c r="L52" s="941"/>
      <c r="M52" s="941"/>
      <c r="N52" s="941"/>
      <c r="O52" s="941"/>
    </row>
    <row r="53" spans="1:17" s="690" customFormat="1">
      <c r="A53" s="691" t="s">
        <v>2770</v>
      </c>
      <c r="B53" s="260" t="e">
        <f t="shared" ref="B53:B60" si="17">ROUND($C$43*C53*D53,0)</f>
        <v>#DIV/0!</v>
      </c>
      <c r="C53" s="198">
        <f t="shared" si="16"/>
        <v>0</v>
      </c>
      <c r="D53" s="1164">
        <v>0.25</v>
      </c>
      <c r="E53" s="692"/>
      <c r="F53" s="689" t="e">
        <f t="shared" si="15"/>
        <v>#DIV/0!</v>
      </c>
      <c r="G53" s="3276"/>
      <c r="H53" s="1104">
        <f>项目基本情况!B37</f>
        <v>0</v>
      </c>
      <c r="I53" s="942">
        <f>SUMIF(修正!A45:A56,H53,修正!C45:C56)</f>
        <v>0</v>
      </c>
      <c r="J53" s="943"/>
      <c r="K53" s="1145"/>
      <c r="L53" s="941"/>
      <c r="M53" s="941"/>
      <c r="N53" s="941"/>
      <c r="O53" s="941"/>
    </row>
    <row r="54" spans="1:17" s="690" customFormat="1">
      <c r="A54" s="691" t="s">
        <v>2771</v>
      </c>
      <c r="B54" s="260" t="e">
        <f t="shared" si="17"/>
        <v>#DIV/0!</v>
      </c>
      <c r="C54" s="198">
        <f t="shared" si="16"/>
        <v>0</v>
      </c>
      <c r="D54" s="1164">
        <v>0.25</v>
      </c>
      <c r="E54" s="692"/>
      <c r="F54" s="689" t="e">
        <f t="shared" si="15"/>
        <v>#DIV/0!</v>
      </c>
      <c r="G54" s="3276"/>
      <c r="H54" s="1104">
        <f>项目基本情况!B37</f>
        <v>0</v>
      </c>
      <c r="I54" s="942">
        <f>SUMIF(修正!A45:A56,H54,修正!D45:D56)</f>
        <v>0</v>
      </c>
      <c r="J54" s="943"/>
      <c r="K54" s="1144"/>
      <c r="L54" s="941"/>
      <c r="M54" s="941"/>
      <c r="N54" s="941"/>
      <c r="O54" s="941"/>
    </row>
    <row r="55" spans="1:17" s="690" customFormat="1">
      <c r="A55" s="691" t="s">
        <v>2772</v>
      </c>
      <c r="B55" s="260" t="e">
        <f t="shared" si="17"/>
        <v>#DIV/0!</v>
      </c>
      <c r="C55" s="198">
        <f t="shared" si="16"/>
        <v>0</v>
      </c>
      <c r="D55" s="1164">
        <v>0.25</v>
      </c>
      <c r="E55" s="692"/>
      <c r="F55" s="689" t="e">
        <f t="shared" si="15"/>
        <v>#DIV/0!</v>
      </c>
      <c r="G55" s="3276"/>
      <c r="H55" s="1104">
        <f>项目基本情况!B37</f>
        <v>0</v>
      </c>
      <c r="I55" s="942">
        <f>SUMIF(修正!A45:A56,H55,修正!E45:E56)</f>
        <v>0</v>
      </c>
      <c r="J55" s="943"/>
      <c r="K55" s="1145"/>
      <c r="L55" s="941"/>
      <c r="M55" s="941"/>
      <c r="N55" s="941"/>
      <c r="O55" s="941"/>
    </row>
    <row r="56" spans="1:17" s="690" customFormat="1">
      <c r="A56" s="691" t="s">
        <v>2773</v>
      </c>
      <c r="B56" s="260" t="e">
        <f t="shared" si="17"/>
        <v>#DIV/0!</v>
      </c>
      <c r="C56" s="198">
        <f t="shared" si="16"/>
        <v>0</v>
      </c>
      <c r="D56" s="1164">
        <v>0.25</v>
      </c>
      <c r="E56" s="259">
        <f>'数据-汇总表'!E11</f>
        <v>0</v>
      </c>
      <c r="F56" s="689" t="e">
        <f t="shared" si="15"/>
        <v>#DIV/0!</v>
      </c>
      <c r="G56" s="2708" t="s">
        <v>2774</v>
      </c>
      <c r="H56" s="1104">
        <f>项目基本情况!C37</f>
        <v>0</v>
      </c>
      <c r="I56" s="942">
        <f>SUMIF(修正!A45:A56,H56,修正!F45:F56)</f>
        <v>0</v>
      </c>
      <c r="J56" s="943"/>
      <c r="K56" s="1144"/>
      <c r="L56" s="941"/>
      <c r="M56" s="941"/>
      <c r="N56" s="941"/>
      <c r="O56" s="941"/>
    </row>
    <row r="57" spans="1:17" s="690" customFormat="1">
      <c r="A57" s="691" t="s">
        <v>2775</v>
      </c>
      <c r="B57" s="260" t="e">
        <f t="shared" si="17"/>
        <v>#DIV/0!</v>
      </c>
      <c r="C57" s="198">
        <f t="shared" si="16"/>
        <v>0</v>
      </c>
      <c r="D57" s="1164">
        <v>0.25</v>
      </c>
      <c r="E57" s="259">
        <f>'数据-汇总表'!E12</f>
        <v>0</v>
      </c>
      <c r="F57" s="689"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2777</v>
      </c>
      <c r="B58" s="260" t="e">
        <f t="shared" si="17"/>
        <v>#DIV/0!</v>
      </c>
      <c r="C58" s="198">
        <f t="shared" si="16"/>
        <v>0</v>
      </c>
      <c r="D58" s="1164">
        <v>0.25</v>
      </c>
      <c r="E58" s="259">
        <f>'数据-汇总表'!E13</f>
        <v>0</v>
      </c>
      <c r="F58" s="689"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2779</v>
      </c>
      <c r="B59" s="260" t="e">
        <f t="shared" si="17"/>
        <v>#DIV/0!</v>
      </c>
      <c r="C59" s="198">
        <f t="shared" si="16"/>
        <v>0</v>
      </c>
      <c r="D59" s="1164">
        <v>0.25</v>
      </c>
      <c r="E59" s="259">
        <f>'数据-汇总表'!E14</f>
        <v>0</v>
      </c>
      <c r="F59" s="689" t="e">
        <f t="shared" si="15"/>
        <v>#DIV/0!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t="e">
        <f t="shared" si="17"/>
        <v>#DIV/0!</v>
      </c>
      <c r="C60" s="198">
        <f t="shared" si="16"/>
        <v>0</v>
      </c>
      <c r="D60" s="1164">
        <v>0.25</v>
      </c>
      <c r="E60" s="259">
        <f>'数据-汇总表'!E15</f>
        <v>0</v>
      </c>
      <c r="F60" s="689" t="e">
        <f t="shared" si="15"/>
        <v>#DIV/0!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43610.93</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2802</v>
      </c>
      <c r="B66" s="330" t="str">
        <f>"北京市平均增长率"&amp;TEXT(基准地价修正!P24,"0.00%")</f>
        <v>北京市平均增长率1.35%</v>
      </c>
      <c r="C66" s="601">
        <v>100</v>
      </c>
      <c r="D66" s="593"/>
      <c r="E66" s="593"/>
      <c r="F66" s="593"/>
      <c r="G66" s="593"/>
      <c r="H66" s="593"/>
      <c r="I66" s="593"/>
      <c r="J66" s="593"/>
      <c r="K66" s="593"/>
      <c r="L66" s="593"/>
      <c r="M66" s="1567"/>
      <c r="N66" s="1567"/>
      <c r="O66" s="1569"/>
      <c r="P66" s="502"/>
    </row>
    <row r="67" spans="1:17" s="115" customFormat="1" ht="15.75" thickBot="1">
      <c r="A67" s="513" t="s">
        <v>2585</v>
      </c>
      <c r="B67" s="514"/>
      <c r="C67" s="515"/>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2803</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2563</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1"/>
      <c r="B4" s="2974" t="s">
        <v>1630</v>
      </c>
      <c r="C4" s="2974"/>
      <c r="D4" s="2974"/>
      <c r="E4" s="1961"/>
    </row>
    <row r="5" spans="1:5" ht="16.5" thickTop="1">
      <c r="A5" s="1959"/>
      <c r="B5" s="2972" t="s">
        <v>1622</v>
      </c>
      <c r="C5" s="1962" t="s">
        <v>1623</v>
      </c>
      <c r="D5" s="1040">
        <f ca="1">结果表!H101</f>
        <v>21772</v>
      </c>
      <c r="E5" s="1959"/>
    </row>
    <row r="6" spans="1:5" ht="15.75">
      <c r="A6" s="1959"/>
      <c r="B6" s="2972"/>
      <c r="C6" s="1962" t="s">
        <v>1624</v>
      </c>
      <c r="D6" s="1040" t="str">
        <f ca="1">NUMBERSTRING(INT(D5*10000),2)&amp;"元整"</f>
        <v>贰亿壹仟柒佰柒拾贰万元整</v>
      </c>
      <c r="E6" s="1959"/>
    </row>
    <row r="7" spans="1:5" ht="15.75">
      <c r="A7" s="1959"/>
      <c r="B7" s="2977"/>
      <c r="C7" s="1963" t="s">
        <v>1625</v>
      </c>
      <c r="D7" s="1041">
        <f ca="1">结果表!H102</f>
        <v>3002</v>
      </c>
      <c r="E7" s="1959"/>
    </row>
    <row r="8" spans="1:5" ht="15.75">
      <c r="A8" s="1959"/>
      <c r="B8" s="2978" t="str">
        <f>结果表!E103</f>
        <v>2.估价师知悉的法定优先受偿款</v>
      </c>
      <c r="C8" s="1964" t="s">
        <v>1626</v>
      </c>
      <c r="D8" s="1041">
        <f>结果表!H103</f>
        <v>247</v>
      </c>
      <c r="E8" s="1959"/>
    </row>
    <row r="9" spans="1:5" ht="15.75">
      <c r="A9" s="1959"/>
      <c r="B9" s="2980"/>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2971" t="str">
        <f>结果表!E107</f>
        <v>3.房地产抵押价值</v>
      </c>
      <c r="C13" s="1967" t="s">
        <v>1623</v>
      </c>
      <c r="D13" s="1043">
        <f ca="1">结果表!H107</f>
        <v>21525</v>
      </c>
      <c r="E13" s="1959"/>
    </row>
    <row r="14" spans="1:5" ht="15.75">
      <c r="A14" s="1959"/>
      <c r="B14" s="2972"/>
      <c r="C14" s="1962" t="s">
        <v>1624</v>
      </c>
      <c r="D14" s="1040" t="str">
        <f ca="1">NUMBERSTRING(INT(D13*10000),2)&amp;"元整"</f>
        <v>贰亿壹仟伍佰贰拾伍万元整</v>
      </c>
      <c r="E14" s="1959"/>
    </row>
    <row r="15" spans="1:5" ht="15">
      <c r="A15" s="1959"/>
      <c r="B15" s="2977"/>
      <c r="C15" s="1963" t="s">
        <v>1634</v>
      </c>
      <c r="D15" s="1052">
        <f ca="1">结果表!H108</f>
        <v>2968</v>
      </c>
      <c r="E15" s="1959"/>
    </row>
    <row r="16" spans="1:5" ht="15">
      <c r="A16" s="1959"/>
      <c r="B16" s="2978" t="str">
        <f>结果表!E109</f>
        <v>——</v>
      </c>
      <c r="C16" s="1967" t="s">
        <v>1635</v>
      </c>
      <c r="D16" s="1968" t="str">
        <f>结果表!H109</f>
        <v>——</v>
      </c>
      <c r="E16" s="1959"/>
    </row>
    <row r="17" spans="1:5" ht="15.75">
      <c r="A17" s="1959"/>
      <c r="B17" s="2979"/>
      <c r="C17" s="1962" t="s">
        <v>1636</v>
      </c>
      <c r="D17" s="1040" t="e">
        <f>NUMBERSTRING(INT(D16*10000),2)&amp;"元整"</f>
        <v>#VALUE!</v>
      </c>
      <c r="E17" s="1959"/>
    </row>
    <row r="18" spans="1:5" ht="15">
      <c r="A18" s="1959"/>
      <c r="B18" s="2980"/>
      <c r="C18" s="1963" t="s">
        <v>1625</v>
      </c>
      <c r="D18" s="1052" t="str">
        <f>结果表!H110</f>
        <v>——</v>
      </c>
      <c r="E18" s="1959"/>
    </row>
    <row r="19" spans="1:5" ht="15.75">
      <c r="A19" s="1959"/>
      <c r="B19" s="2971" t="str">
        <f>结果表!E111</f>
        <v>——</v>
      </c>
      <c r="C19" s="1967" t="s">
        <v>1623</v>
      </c>
      <c r="D19" s="1041" t="str">
        <f>结果表!H111</f>
        <v>——</v>
      </c>
      <c r="E19" s="1959"/>
    </row>
    <row r="20" spans="1:5" ht="15.75">
      <c r="A20" s="1959"/>
      <c r="B20" s="2972"/>
      <c r="C20" s="1962" t="s">
        <v>1636</v>
      </c>
      <c r="D20" s="1040" t="e">
        <f>NUMBERSTRING(INT(D19*10000),2)&amp;"元整"</f>
        <v>#VALUE!</v>
      </c>
      <c r="E20" s="1959"/>
    </row>
    <row r="21" spans="1:5" ht="15.75" thickBot="1">
      <c r="A21" s="1959"/>
      <c r="B21" s="297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2484</v>
      </c>
      <c r="C2" s="2909" t="s">
        <v>2997</v>
      </c>
      <c r="D2" s="2909" t="s">
        <v>2998</v>
      </c>
      <c r="E2" s="2910">
        <f ca="1">SUMIF(E6:E13,"&lt;&gt;#ref!",E6:E13)</f>
        <v>58500.479999999996</v>
      </c>
    </row>
    <row r="3" spans="1:5" ht="15.75">
      <c r="A3" s="2909" t="s">
        <v>2999</v>
      </c>
      <c r="B3" s="2910">
        <f ca="1">ROUND(B2*10000/E2,0)</f>
        <v>425</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2484</v>
      </c>
      <c r="C6" s="2909" t="s">
        <v>2997</v>
      </c>
      <c r="D6" s="2911"/>
      <c r="E6" s="2574">
        <f ca="1">SUMIF(INDIRECT("'"&amp;A6&amp;"'"&amp;"!C:C"),"建筑面积",INDIRECT("'"&amp;A6&amp;"'"&amp;"!D:D"))</f>
        <v>58500.479999999996</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1150</v>
      </c>
      <c r="C1" s="3287"/>
      <c r="D1" s="3287"/>
      <c r="E1" s="3287"/>
      <c r="F1" s="3287"/>
      <c r="G1" s="3283" t="s">
        <v>1151</v>
      </c>
      <c r="H1" s="3283"/>
      <c r="I1" s="3283"/>
      <c r="J1" s="3283"/>
      <c r="K1" s="3283"/>
      <c r="L1" s="3283"/>
      <c r="N1" s="3283" t="s">
        <v>1152</v>
      </c>
      <c r="O1" s="3283"/>
      <c r="P1" s="3283"/>
      <c r="Q1" s="3283"/>
      <c r="R1" s="1446"/>
      <c r="S1" s="3283" t="s">
        <v>1153</v>
      </c>
      <c r="T1" s="3283"/>
      <c r="U1" s="3283"/>
      <c r="V1" s="3283"/>
      <c r="X1" s="3282" t="s">
        <v>1154</v>
      </c>
      <c r="Y1" s="3283"/>
      <c r="Z1" s="3283"/>
      <c r="AA1" s="3283"/>
      <c r="AB1" s="3283"/>
      <c r="AD1" s="3282" t="s">
        <v>1155</v>
      </c>
      <c r="AE1" s="3283"/>
      <c r="AF1" s="3283"/>
      <c r="AG1" s="3283"/>
      <c r="AH1" s="328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3039</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3040</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3038</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3035</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3036</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88">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85"/>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85"/>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286"/>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84">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85"/>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85"/>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286"/>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84">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85"/>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85"/>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286"/>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289">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290"/>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290"/>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291"/>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84">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285"/>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285"/>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286"/>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84">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85">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285">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286">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84">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85">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285">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286">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84">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85">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285">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286">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84">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85">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285">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286">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84">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85">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285">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286">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84">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85">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285">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286">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84">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85">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285">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286">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84">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85">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285">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286">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84">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285">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285">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286">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84">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285">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285">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286">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3006</v>
      </c>
      <c r="C1" s="3293" t="s">
        <v>3007</v>
      </c>
      <c r="D1" s="3294"/>
      <c r="E1" s="3294"/>
      <c r="F1" s="3294"/>
      <c r="G1" s="3294"/>
      <c r="H1" s="3294"/>
      <c r="I1" s="3294"/>
      <c r="J1" s="3294"/>
      <c r="K1" s="3294"/>
      <c r="L1" s="3294"/>
      <c r="M1" s="3294"/>
      <c r="N1" s="3294"/>
      <c r="O1" s="3294"/>
      <c r="P1" s="3294"/>
      <c r="Q1" s="3294"/>
      <c r="R1" s="3294"/>
      <c r="S1" s="3295"/>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3010</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3011</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3012</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3016</v>
      </c>
      <c r="B17" s="2916"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3018</v>
      </c>
      <c r="E19" s="1792"/>
      <c r="F19" s="1792"/>
      <c r="G19" s="1792"/>
      <c r="H19" s="1280"/>
      <c r="I19" s="166"/>
      <c r="J19" s="166"/>
      <c r="K19" s="166"/>
      <c r="L19" s="166"/>
      <c r="M19" s="166"/>
      <c r="N19" s="166"/>
      <c r="O19" s="166"/>
      <c r="P19" s="166"/>
      <c r="Q19" s="166"/>
      <c r="R19" s="786"/>
      <c r="S19" s="136"/>
    </row>
    <row r="20" spans="1:45" ht="16.5" thickBot="1">
      <c r="A20" s="713" t="s">
        <v>3019</v>
      </c>
      <c r="B20" s="336" t="e">
        <f ca="1">IF(D20="——",S22,S22-F20)</f>
        <v>#REF!</v>
      </c>
      <c r="C20" s="166"/>
      <c r="D20" s="2918" t="s">
        <v>3020</v>
      </c>
      <c r="E20" s="1793"/>
      <c r="F20" s="1204" t="e">
        <f ca="1">SUMIF(INDIRECT("'"&amp;H20&amp;"'"&amp;"!A:A"),"承租人权益价值",INDIRECT("'"&amp;H20&amp;"'"&amp;"!c:c"))</f>
        <v>#REF!</v>
      </c>
      <c r="G20" s="1204" t="s">
        <v>3021</v>
      </c>
      <c r="H20" s="2919"/>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3">
        <f>SUM(B24:B10000)</f>
        <v>100</v>
      </c>
      <c r="C22" s="3076" t="s">
        <v>33</v>
      </c>
      <c r="D22" s="3077"/>
      <c r="E22" s="3077"/>
      <c r="F22" s="3077"/>
      <c r="G22" s="3077"/>
      <c r="H22" s="3077"/>
      <c r="I22" s="3077"/>
      <c r="J22" s="3077"/>
      <c r="K22" s="3077"/>
      <c r="L22" s="3077"/>
      <c r="M22" s="3077"/>
      <c r="N22" s="3077"/>
      <c r="O22" s="3077"/>
      <c r="P22" s="3077"/>
      <c r="Q22" s="3292"/>
      <c r="R22" s="714">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43069</v>
      </c>
      <c r="C2" s="2" t="s">
        <v>133</v>
      </c>
      <c r="D2" s="241"/>
      <c r="E2" s="241"/>
      <c r="F2" s="241"/>
      <c r="G2" s="241"/>
    </row>
    <row r="3" spans="1:7" s="242" customFormat="1" ht="18" customHeight="1" thickBot="1">
      <c r="A3" s="245" t="s">
        <v>85</v>
      </c>
      <c r="B3" s="246">
        <f ca="1">ROUND(B2*10000/'数据-汇总表'!E3,0)</f>
        <v>5938</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2585</v>
      </c>
      <c r="D27" s="277">
        <f>C29</f>
        <v>2.3999999999999998E-3</v>
      </c>
      <c r="E27" s="278" t="s">
        <v>126</v>
      </c>
      <c r="F27" s="288">
        <f>'数据-取费表'!Q16</f>
        <v>0.18</v>
      </c>
      <c r="G27" s="289" t="s">
        <v>1069</v>
      </c>
    </row>
    <row r="28" spans="1:7" s="256" customFormat="1" ht="13.5" customHeight="1">
      <c r="A28" s="951" t="s">
        <v>794</v>
      </c>
      <c r="B28" s="290" t="s">
        <v>1062</v>
      </c>
      <c r="C28" s="291">
        <f>ROUND((C5+C19+C20)*F27*'数据-取费表'!B21/'数据-取费表'!B20,0)</f>
        <v>2585</v>
      </c>
      <c r="D28" s="277"/>
      <c r="E28" s="278"/>
      <c r="F28" s="288"/>
      <c r="G28" s="289"/>
    </row>
    <row r="29" spans="1:7" s="256" customFormat="1" ht="13.5" customHeight="1">
      <c r="A29" s="951" t="s">
        <v>792</v>
      </c>
      <c r="B29" s="290" t="s">
        <v>1063</v>
      </c>
      <c r="C29" s="280">
        <f>ROUND(C21*F27*'数据-取费表'!B21/'数据-取费表'!B20,4)</f>
        <v>2.3999999999999998E-3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27184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11950</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10470</v>
      </c>
      <c r="D34" s="259"/>
      <c r="E34" s="262"/>
      <c r="F34" s="299">
        <f>IF('数据-取费表'!B24=0,1,'数据-取费表'!N16)</f>
        <v>0.623</v>
      </c>
      <c r="G34" s="261" t="s">
        <v>116</v>
      </c>
    </row>
    <row r="35" spans="1:7" ht="13.5" customHeight="1">
      <c r="A35" s="951" t="s">
        <v>796</v>
      </c>
      <c r="B35" s="257" t="s">
        <v>60</v>
      </c>
      <c r="C35" s="262">
        <f>ROUND(C34*F35,0)</f>
        <v>419</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904</v>
      </c>
      <c r="D37" s="259">
        <f>'数据-汇总表'!E3</f>
        <v>72534.44</v>
      </c>
      <c r="E37" s="291">
        <f>'数据-取费表'!B35</f>
        <v>200</v>
      </c>
      <c r="F37" s="301"/>
      <c r="G37" s="303" t="s">
        <v>119</v>
      </c>
    </row>
    <row r="38" spans="1:7" ht="13.5" customHeight="1">
      <c r="A38" s="951" t="s">
        <v>799</v>
      </c>
      <c r="B38" s="257" t="s">
        <v>63</v>
      </c>
      <c r="C38" s="262">
        <f>ROUND(C34*F38,0)</f>
        <v>157</v>
      </c>
      <c r="D38" s="262"/>
      <c r="E38" s="262"/>
      <c r="F38" s="301">
        <f>'数据-取费表'!B36</f>
        <v>1.4999999999999999E-2</v>
      </c>
      <c r="G38" s="261" t="s">
        <v>117</v>
      </c>
    </row>
    <row r="39" spans="1:7" s="256" customFormat="1" ht="13.5" customHeight="1">
      <c r="A39" s="948" t="s">
        <v>783</v>
      </c>
      <c r="B39" s="252" t="s">
        <v>104</v>
      </c>
      <c r="C39" s="274">
        <f>ROUND(C33*F20,0)</f>
        <v>239</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287</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281</v>
      </c>
      <c r="D42" s="280"/>
      <c r="E42" s="280"/>
      <c r="F42" s="281"/>
      <c r="G42" s="3161" t="s">
        <v>121</v>
      </c>
    </row>
    <row r="43" spans="1:7" ht="13.5" customHeight="1">
      <c r="A43" s="951" t="s">
        <v>792</v>
      </c>
      <c r="B43" s="257" t="s">
        <v>1064</v>
      </c>
      <c r="C43" s="280">
        <f ca="1">ROUND(IF('数据-取费表'!B22&lt;=1,C39*F22*'数据-取费表'!B21/2,C39*(POWER((1+F22),'数据-取费表'!B21/2)-1)),0)</f>
        <v>6</v>
      </c>
      <c r="D43" s="280"/>
      <c r="E43" s="280"/>
      <c r="F43" s="281"/>
      <c r="G43" s="3162"/>
    </row>
    <row r="44" spans="1:7" ht="13.5" customHeight="1">
      <c r="A44" s="951" t="s">
        <v>793</v>
      </c>
      <c r="B44" s="257" t="s">
        <v>1066</v>
      </c>
      <c r="C44" s="280">
        <f ca="1">ROUND(IF('数据-取费表'!B22&lt;=1,C40*F22*'数据-取费表'!B21/2,C40*(POWER((1+F22),'数据-取费表'!B21/2)-1)),4)</f>
        <v>5.0000000000000001E-4</v>
      </c>
      <c r="D44" s="280"/>
      <c r="E44" s="280"/>
      <c r="F44" s="281"/>
      <c r="G44" s="3163"/>
    </row>
    <row r="45" spans="1:7" s="256" customFormat="1" ht="13.5" customHeight="1">
      <c r="A45" s="948" t="s">
        <v>786</v>
      </c>
      <c r="B45" s="286" t="s">
        <v>112</v>
      </c>
      <c r="C45" s="287">
        <f>C46</f>
        <v>2194</v>
      </c>
      <c r="D45" s="277">
        <f>C47</f>
        <v>3.5999999999999999E-3</v>
      </c>
      <c r="E45" s="278" t="s">
        <v>129</v>
      </c>
      <c r="F45" s="288"/>
      <c r="G45" s="289" t="s">
        <v>1072</v>
      </c>
    </row>
    <row r="46" spans="1:7" s="256" customFormat="1" ht="13.5" customHeight="1">
      <c r="A46" s="951" t="s">
        <v>794</v>
      </c>
      <c r="B46" s="290" t="s">
        <v>1065</v>
      </c>
      <c r="C46" s="291">
        <f>ROUND((C33+C39)*F27,0)</f>
        <v>2194</v>
      </c>
      <c r="D46" s="305"/>
      <c r="E46" s="278"/>
      <c r="F46" s="288"/>
      <c r="G46" s="289"/>
    </row>
    <row r="47" spans="1:7" s="256" customFormat="1" ht="13.5" customHeight="1">
      <c r="A47" s="951" t="s">
        <v>792</v>
      </c>
      <c r="B47" s="290" t="s">
        <v>1067</v>
      </c>
      <c r="C47" s="280">
        <f>ROUND(C40*F27,4)</f>
        <v>3.5999999999999999E-3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15885</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15885</v>
      </c>
      <c r="D51" s="274"/>
      <c r="E51" s="274"/>
      <c r="F51" s="306"/>
      <c r="G51" s="276" t="s">
        <v>64</v>
      </c>
    </row>
    <row r="52" spans="1:7" s="250" customFormat="1" ht="16.5" thickBot="1">
      <c r="A52" s="307" t="s">
        <v>65</v>
      </c>
      <c r="B52" s="308"/>
      <c r="C52" s="309">
        <f ca="1">C31+C51</f>
        <v>43069</v>
      </c>
      <c r="D52" s="308"/>
      <c r="E52" s="308"/>
      <c r="F52" s="308"/>
      <c r="G52" s="310"/>
    </row>
    <row r="55" spans="1:7" ht="15">
      <c r="B55" s="312" t="s">
        <v>66</v>
      </c>
      <c r="C55" s="313"/>
    </row>
    <row r="56" spans="1:7">
      <c r="B56" s="315" t="s">
        <v>67</v>
      </c>
      <c r="C56" s="316">
        <f ca="1">ROUND(C51/C52,3)</f>
        <v>0.36899999999999999</v>
      </c>
    </row>
    <row r="57" spans="1:7">
      <c r="B57" s="315" t="s">
        <v>68</v>
      </c>
      <c r="C57" s="317">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6" t="s">
        <v>871</v>
      </c>
      <c r="B1" s="329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5269</v>
      </c>
      <c r="E4" s="1044">
        <f ca="1">结果表!E118</f>
        <v>727</v>
      </c>
      <c r="F4" s="1044">
        <f ca="1">结果表!F118</f>
        <v>16503</v>
      </c>
      <c r="G4" s="1044">
        <f ca="1">结果表!G118</f>
        <v>2275</v>
      </c>
      <c r="H4" s="1044">
        <f ca="1">结果表!H118</f>
        <v>21772</v>
      </c>
      <c r="I4" s="1044">
        <f ca="1">结果表!I118</f>
        <v>3002</v>
      </c>
    </row>
    <row r="5" spans="1:9" ht="30" customHeight="1">
      <c r="A5" s="2983" t="s">
        <v>1640</v>
      </c>
      <c r="B5" s="2983"/>
      <c r="C5" s="2983"/>
      <c r="D5" s="2984" t="str">
        <f ca="1">结果表!D119</f>
        <v>伍仟贰佰陆拾玖万元整</v>
      </c>
      <c r="E5" s="2984"/>
      <c r="F5" s="2984" t="str">
        <f ca="1">结果表!F119</f>
        <v>壹亿陆仟伍佰零叁万元整</v>
      </c>
      <c r="G5" s="2984"/>
      <c r="H5" s="2984" t="str">
        <f ca="1">结果表!H119</f>
        <v>贰亿壹仟柒佰柒拾贰万元整</v>
      </c>
      <c r="I5" s="2984"/>
    </row>
    <row r="6" spans="1:9" ht="15.75">
      <c r="A6" s="2985" t="str">
        <f>结果表!A120</f>
        <v>估价师知悉的法定优先受偿款</v>
      </c>
      <c r="B6" s="2985"/>
      <c r="C6" s="2985"/>
      <c r="D6" s="2985">
        <f>结果表!D120</f>
        <v>247</v>
      </c>
      <c r="E6" s="2985"/>
      <c r="F6" s="2985"/>
      <c r="G6" s="2985"/>
      <c r="H6" s="2985"/>
      <c r="I6" s="2985"/>
    </row>
    <row r="7" spans="1:9" ht="15">
      <c r="A7" s="2983" t="s">
        <v>1640</v>
      </c>
      <c r="B7" s="2983"/>
      <c r="C7" s="2983"/>
      <c r="D7" s="2986" t="str">
        <f>结果表!D121</f>
        <v>贰佰肆拾柒万元整</v>
      </c>
      <c r="E7" s="2987"/>
      <c r="F7" s="2987"/>
      <c r="G7" s="2987"/>
      <c r="H7" s="2987"/>
      <c r="I7" s="2988"/>
    </row>
    <row r="8" spans="1:9" ht="15.75">
      <c r="A8" s="2985" t="str">
        <f>结果表!A122</f>
        <v>房地产抵押价值</v>
      </c>
      <c r="B8" s="2985"/>
      <c r="C8" s="2985"/>
      <c r="D8" s="2985">
        <f ca="1">结果表!D122</f>
        <v>21525</v>
      </c>
      <c r="E8" s="2985"/>
      <c r="F8" s="2985"/>
      <c r="G8" s="2985"/>
      <c r="H8" s="2985"/>
      <c r="I8" s="2985"/>
    </row>
    <row r="9" spans="1:9" ht="15">
      <c r="A9" s="2983" t="s">
        <v>1640</v>
      </c>
      <c r="B9" s="2983"/>
      <c r="C9" s="2983"/>
      <c r="D9" s="2984" t="str">
        <f ca="1">结果表!D123</f>
        <v>贰亿壹仟伍佰贰拾伍万元整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2" t="s">
        <v>1662</v>
      </c>
      <c r="B1" s="2992"/>
      <c r="C1" s="2992"/>
      <c r="D1" s="2992"/>
    </row>
    <row r="2" spans="1:4" ht="18">
      <c r="A2" s="2993" t="s">
        <v>1646</v>
      </c>
      <c r="B2" s="2993"/>
      <c r="C2" s="2993"/>
      <c r="D2" s="2993"/>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2993" t="s">
        <v>1652</v>
      </c>
      <c r="B6" s="2993"/>
      <c r="C6" s="2993"/>
      <c r="D6" s="2993"/>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2994"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故，本次评估估价师知悉的法定优先受偿款为人民币247万元整。</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1658</v>
      </c>
      <c r="B22" s="3000"/>
      <c r="C22" s="3000"/>
      <c r="D22" s="300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6" t="s">
        <v>1669</v>
      </c>
      <c r="B15" s="3001" t="s">
        <v>136</v>
      </c>
      <c r="C15" s="3002"/>
    </row>
    <row r="16" spans="1:7" ht="13.5">
      <c r="A16" s="3007"/>
      <c r="B16" s="3001" t="s">
        <v>69</v>
      </c>
      <c r="C16" s="3002"/>
    </row>
    <row r="17" spans="1:3" ht="13.5">
      <c r="A17" s="3007"/>
      <c r="B17" s="3004" t="s">
        <v>1670</v>
      </c>
      <c r="C17" s="2000" t="s">
        <v>1669</v>
      </c>
    </row>
    <row r="18" spans="1:3" ht="13.5">
      <c r="A18" s="3007"/>
      <c r="B18" s="3004"/>
      <c r="C18" s="2000" t="s">
        <v>1671</v>
      </c>
    </row>
    <row r="19" spans="1:3" ht="13.5">
      <c r="A19" s="3007"/>
      <c r="B19" s="3004"/>
      <c r="C19" s="2000" t="s">
        <v>1672</v>
      </c>
    </row>
    <row r="20" spans="1:3" ht="13.5">
      <c r="A20" s="3008"/>
      <c r="B20" s="3003" t="s">
        <v>1673</v>
      </c>
      <c r="C20" s="3002"/>
    </row>
    <row r="21" spans="1:3" ht="13.5">
      <c r="A21" s="2001" t="s">
        <v>1674</v>
      </c>
      <c r="B21" s="2002"/>
      <c r="C21" s="2003"/>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0" t="s">
        <v>1680</v>
      </c>
    </row>
    <row r="26" spans="1:3" ht="13.5">
      <c r="A26" s="3005"/>
      <c r="B26" s="3004"/>
      <c r="C26" s="2000" t="s">
        <v>1681</v>
      </c>
    </row>
    <row r="27" spans="1:3" ht="13.5">
      <c r="A27" s="3005"/>
      <c r="B27" s="3004"/>
      <c r="C27" s="2000" t="s">
        <v>1682</v>
      </c>
    </row>
    <row r="28" spans="1:3" ht="13.5">
      <c r="A28" s="3005"/>
      <c r="B28" s="3004"/>
      <c r="C28" s="2000" t="s">
        <v>1683</v>
      </c>
    </row>
    <row r="29" spans="1:3" ht="13.5">
      <c r="A29" s="3005"/>
      <c r="B29" s="3004"/>
      <c r="C29" s="2000" t="s">
        <v>1684</v>
      </c>
    </row>
    <row r="30" spans="1:3" ht="13.5">
      <c r="A30" s="3005"/>
      <c r="B30" s="3004"/>
      <c r="C30" s="2000" t="s">
        <v>1685</v>
      </c>
    </row>
    <row r="31" spans="1:3" ht="13.5">
      <c r="A31" s="3005"/>
      <c r="B31" s="3004"/>
      <c r="C31" s="2000" t="s">
        <v>1686</v>
      </c>
    </row>
    <row r="32" spans="1:3" ht="13.5">
      <c r="A32" s="3005"/>
      <c r="B32" s="3004"/>
      <c r="C32" s="2000" t="s">
        <v>1687</v>
      </c>
    </row>
    <row r="33" spans="1:3" ht="13.5">
      <c r="A33" s="3005"/>
      <c r="B33" s="300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43258</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3046</v>
      </c>
      <c r="B12" s="1022">
        <v>1120110054</v>
      </c>
      <c r="C12" s="2940">
        <v>43937</v>
      </c>
      <c r="D12" s="1702" t="s">
        <v>3046</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09" t="s">
        <v>846</v>
      </c>
      <c r="B25" s="3009"/>
      <c r="C25" s="3009"/>
      <c r="D25" s="3009"/>
      <c r="E25" s="3009"/>
      <c r="F25" s="3009"/>
      <c r="G25" s="3009"/>
    </row>
    <row r="26" spans="1:7" s="1025" customFormat="1" ht="24" customHeight="1">
      <c r="A26" s="3010" t="s">
        <v>847</v>
      </c>
      <c r="B26" s="3010"/>
      <c r="C26" s="3011"/>
      <c r="D26" s="3012" t="s">
        <v>848</v>
      </c>
      <c r="E26" s="3010"/>
      <c r="F26" s="3010"/>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2018-06-07T07:52:39Z</dcterms:modified>
</cp:coreProperties>
</file>