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通州梨园P04\测算及预评-扣土增税\"/>
    </mc:Choice>
  </mc:AlternateContent>
  <bookViews>
    <workbookView xWindow="0" yWindow="0" windowWidth="23040" windowHeight="9144" tabRatio="875" firstSheet="8"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及出让金计算"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商业" sheetId="15" r:id="rId33"/>
    <sheet name="不动产收益法-仓储" sheetId="68" r:id="rId34"/>
    <sheet name="不动产收益法-车库" sheetId="6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车库案例" sheetId="71" r:id="rId45"/>
    <sheet name="Sheet1" sheetId="73"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'比较法-住宅、综合'!$A$1:$K$134</definedName>
    <definedName name="_xlnm.Print_Area" localSheetId="10">'数据-基础表'!$A$1:$AO$16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13" i="72" l="1"/>
  <c r="D15" i="66"/>
  <c r="B2" i="1"/>
  <c r="C7" i="35"/>
  <c r="E7" i="35"/>
  <c r="C48" i="35"/>
  <c r="D48" i="35"/>
  <c r="E48" i="35"/>
  <c r="F48" i="35"/>
  <c r="G48" i="35"/>
  <c r="H48" i="35"/>
  <c r="I48" i="35"/>
  <c r="J48" i="35"/>
  <c r="K48" i="35"/>
  <c r="L48" i="35"/>
  <c r="M48" i="35"/>
  <c r="N48" i="35"/>
  <c r="O48" i="35"/>
  <c r="F7" i="35"/>
  <c r="AA7" i="35"/>
  <c r="R37" i="35"/>
  <c r="F8" i="35"/>
  <c r="AA8" i="35"/>
  <c r="C53" i="35"/>
  <c r="F9" i="35"/>
  <c r="AA9" i="35"/>
  <c r="F56" i="35"/>
  <c r="F10" i="35"/>
  <c r="AA10" i="35"/>
  <c r="B57" i="35"/>
  <c r="F11" i="35"/>
  <c r="AA11" i="35"/>
  <c r="B59" i="35"/>
  <c r="F12" i="35"/>
  <c r="AA12" i="35"/>
  <c r="B61" i="35"/>
  <c r="F13" i="35"/>
  <c r="AA13" i="35"/>
  <c r="D64" i="35"/>
  <c r="E64" i="35"/>
  <c r="F14" i="35"/>
  <c r="AA14" i="35"/>
  <c r="D66" i="35"/>
  <c r="E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E29"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F8" i="12"/>
  <c r="C19" i="6"/>
  <c r="C20" i="6"/>
  <c r="C21" i="6"/>
  <c r="C22" i="6"/>
  <c r="I13" i="3"/>
  <c r="F19" i="6"/>
  <c r="E19" i="6"/>
  <c r="K14" i="3"/>
  <c r="F20" i="6"/>
  <c r="E20" i="6"/>
  <c r="M15" i="3"/>
  <c r="G21" i="6"/>
  <c r="E21" i="6"/>
  <c r="O16" i="3"/>
  <c r="G22"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F9" i="12"/>
  <c r="F10" i="12"/>
  <c r="E19" i="4"/>
  <c r="F7" i="1"/>
  <c r="D7" i="1"/>
  <c r="G7" i="1"/>
  <c r="D19" i="4"/>
  <c r="F6" i="1"/>
  <c r="D6" i="1"/>
  <c r="G6" i="1"/>
  <c r="H19" i="4"/>
  <c r="F8" i="1"/>
  <c r="D8" i="1"/>
  <c r="G8" i="1"/>
  <c r="G19" i="4"/>
  <c r="F9" i="1"/>
  <c r="D9" i="1"/>
  <c r="G9" i="1"/>
  <c r="F10" i="1"/>
  <c r="D10" i="1"/>
  <c r="G10" i="1"/>
  <c r="F11" i="1"/>
  <c r="D11" i="1"/>
  <c r="G11" i="1"/>
  <c r="F12" i="1"/>
  <c r="D12" i="1"/>
  <c r="G12" i="1"/>
  <c r="F13" i="1"/>
  <c r="D13" i="1"/>
  <c r="G13"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R48" i="39"/>
  <c r="F10" i="39"/>
  <c r="AA10" i="39"/>
  <c r="F11" i="39"/>
  <c r="AA11" i="39"/>
  <c r="H9" i="39"/>
  <c r="AB9" i="39"/>
  <c r="T48" i="39"/>
  <c r="H10" i="39"/>
  <c r="AB10" i="39"/>
  <c r="H11" i="39"/>
  <c r="AB11" i="39"/>
  <c r="J9" i="39"/>
  <c r="AC9" i="39"/>
  <c r="V48" i="39"/>
  <c r="J10" i="39"/>
  <c r="AC10" i="39"/>
  <c r="J11" i="39"/>
  <c r="AC11" i="39"/>
  <c r="A6" i="1"/>
  <c r="A7" i="1"/>
  <c r="G1" i="15"/>
  <c r="F6" i="15"/>
  <c r="F8" i="15"/>
  <c r="K7" i="1"/>
  <c r="F7" i="15"/>
  <c r="F9" i="15"/>
  <c r="C6" i="15"/>
  <c r="C1" i="65"/>
  <c r="N1" i="65"/>
  <c r="N4" i="65"/>
  <c r="C4" i="65"/>
  <c r="B39" i="1"/>
  <c r="F11" i="15"/>
  <c r="C10" i="15"/>
  <c r="C5" i="15"/>
  <c r="C42" i="1"/>
  <c r="B43" i="1"/>
  <c r="B41" i="1"/>
  <c r="F32" i="15"/>
  <c r="C32" i="15"/>
  <c r="F33" i="15"/>
  <c r="C33" i="15"/>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K20" i="6"/>
  <c r="L20" i="6"/>
  <c r="M20" i="6"/>
  <c r="I20" i="6"/>
  <c r="H20" i="6"/>
  <c r="R20" i="6"/>
  <c r="R7" i="1"/>
  <c r="F35" i="15"/>
  <c r="B52" i="1"/>
  <c r="F34" i="15"/>
  <c r="C34" i="15"/>
  <c r="C31" i="15"/>
  <c r="K14" i="1"/>
  <c r="M14" i="1"/>
  <c r="T4" i="1"/>
  <c r="S7" i="1"/>
  <c r="K19" i="6"/>
  <c r="S6" i="1"/>
  <c r="A8" i="1"/>
  <c r="K21" i="6"/>
  <c r="S8" i="1"/>
  <c r="A9" i="1"/>
  <c r="K22" i="6"/>
  <c r="S9" i="1"/>
  <c r="A10" i="1"/>
  <c r="S10" i="1"/>
  <c r="A11" i="1"/>
  <c r="S11" i="1"/>
  <c r="A12" i="1"/>
  <c r="S12" i="1"/>
  <c r="A13" i="1"/>
  <c r="S13" i="1"/>
  <c r="S16" i="1"/>
  <c r="T7" i="1"/>
  <c r="M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L48" i="15"/>
  <c r="J50" i="15"/>
  <c r="J51" i="15"/>
  <c r="M47" i="15"/>
  <c r="J53" i="15"/>
  <c r="F1" i="15"/>
  <c r="AE7" i="1"/>
  <c r="F41" i="15"/>
  <c r="C40" i="15"/>
  <c r="M6" i="15"/>
  <c r="M8" i="15"/>
  <c r="M7" i="15"/>
  <c r="M9" i="15"/>
  <c r="J6" i="15"/>
  <c r="M11" i="15"/>
  <c r="J10" i="15"/>
  <c r="J5" i="15"/>
  <c r="J26" i="15"/>
  <c r="J29" i="15"/>
  <c r="L46" i="15"/>
  <c r="B2" i="15"/>
  <c r="D10" i="12"/>
  <c r="G1" i="68"/>
  <c r="F6" i="68"/>
  <c r="F8" i="68"/>
  <c r="K8" i="1"/>
  <c r="F7" i="68"/>
  <c r="F9" i="68"/>
  <c r="C6" i="68"/>
  <c r="F11" i="68"/>
  <c r="C10" i="68"/>
  <c r="C5" i="68"/>
  <c r="F32" i="68"/>
  <c r="C32" i="68"/>
  <c r="F33" i="68"/>
  <c r="C33" i="68"/>
  <c r="D21" i="6"/>
  <c r="L21" i="6"/>
  <c r="M21" i="6"/>
  <c r="I21" i="6"/>
  <c r="H21" i="6"/>
  <c r="R21" i="6"/>
  <c r="R8" i="1"/>
  <c r="F35" i="68"/>
  <c r="F34" i="68"/>
  <c r="C34" i="68"/>
  <c r="C31" i="68"/>
  <c r="M8" i="1"/>
  <c r="T8"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L48" i="68"/>
  <c r="J50" i="68"/>
  <c r="J51" i="68"/>
  <c r="M47" i="68"/>
  <c r="J53" i="68"/>
  <c r="F1" i="68"/>
  <c r="AE8" i="1"/>
  <c r="F41" i="68"/>
  <c r="C40" i="68"/>
  <c r="M6" i="68"/>
  <c r="M8" i="68"/>
  <c r="M7" i="68"/>
  <c r="M9" i="68"/>
  <c r="J6" i="68"/>
  <c r="M11" i="68"/>
  <c r="J10" i="68"/>
  <c r="J5" i="68"/>
  <c r="J26" i="68"/>
  <c r="J29" i="68"/>
  <c r="L46" i="68"/>
  <c r="B2" i="68"/>
  <c r="E10" i="12"/>
  <c r="V47" i="21"/>
  <c r="C7" i="21"/>
  <c r="I7" i="21"/>
  <c r="C58" i="21"/>
  <c r="D58" i="21"/>
  <c r="E58" i="21"/>
  <c r="F58" i="21"/>
  <c r="G58" i="21"/>
  <c r="H58" i="21"/>
  <c r="I58" i="21"/>
  <c r="J58" i="21"/>
  <c r="K58" i="21"/>
  <c r="L58" i="21"/>
  <c r="M58" i="21"/>
  <c r="N58" i="21"/>
  <c r="O58" i="21"/>
  <c r="J7" i="21"/>
  <c r="AC7" i="21"/>
  <c r="J8" i="21"/>
  <c r="AC8" i="21"/>
  <c r="C63" i="21"/>
  <c r="J9" i="21"/>
  <c r="AC9" i="21"/>
  <c r="D66" i="21"/>
  <c r="J10" i="21"/>
  <c r="AC10" i="21"/>
  <c r="D69" i="21"/>
  <c r="I5" i="3"/>
  <c r="K5" i="3"/>
  <c r="AD5" i="3"/>
  <c r="AH5" i="3"/>
  <c r="J5" i="3"/>
  <c r="L5" i="3"/>
  <c r="M5" i="3"/>
  <c r="N5" i="3"/>
  <c r="O5" i="3"/>
  <c r="P5" i="3"/>
  <c r="Q5" i="3"/>
  <c r="R5" i="3"/>
  <c r="S5" i="3"/>
  <c r="T5" i="3"/>
  <c r="U5" i="3"/>
  <c r="V5" i="3"/>
  <c r="W5" i="3"/>
  <c r="X5" i="3"/>
  <c r="Y5" i="3"/>
  <c r="Z5" i="3"/>
  <c r="AA5" i="3"/>
  <c r="AB5" i="3"/>
  <c r="AC5" i="3"/>
  <c r="AE5" i="3"/>
  <c r="AF5" i="3"/>
  <c r="AG5" i="3"/>
  <c r="AI5" i="3"/>
  <c r="AJ5" i="3"/>
  <c r="AK5" i="3"/>
  <c r="AL5" i="3"/>
  <c r="AM5" i="3"/>
  <c r="AN5" i="3"/>
  <c r="AO5" i="3"/>
  <c r="AP5" i="3"/>
  <c r="AQ5" i="3"/>
  <c r="AR5" i="3"/>
  <c r="AS5" i="3"/>
  <c r="I4" i="6"/>
  <c r="C11" i="21"/>
  <c r="J11" i="21"/>
  <c r="AC11" i="21"/>
  <c r="B70" i="21"/>
  <c r="J12" i="21"/>
  <c r="AC12" i="21"/>
  <c r="B72" i="21"/>
  <c r="J13" i="21"/>
  <c r="AC13" i="21"/>
  <c r="B74" i="21"/>
  <c r="J14" i="21"/>
  <c r="AC14" i="21"/>
  <c r="D77" i="21"/>
  <c r="E77" i="21"/>
  <c r="J15" i="21"/>
  <c r="AC15" i="21"/>
  <c r="D79" i="21"/>
  <c r="E79" i="21"/>
  <c r="J17" i="21"/>
  <c r="AC17" i="21"/>
  <c r="D81" i="21"/>
  <c r="E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C33" i="21"/>
  <c r="J33" i="21"/>
  <c r="AC33" i="21"/>
  <c r="J34" i="21"/>
  <c r="AC34" i="21"/>
  <c r="J35" i="21"/>
  <c r="AC35" i="21"/>
  <c r="J36" i="21"/>
  <c r="AC36" i="21"/>
  <c r="D113" i="21"/>
  <c r="E113" i="21"/>
  <c r="F113" i="21"/>
  <c r="G113" i="21"/>
  <c r="J37" i="21"/>
  <c r="AC37" i="21"/>
  <c r="J38" i="21"/>
  <c r="AC38" i="21"/>
  <c r="J39" i="21"/>
  <c r="AC39" i="21"/>
  <c r="J40" i="21"/>
  <c r="AC40" i="21"/>
  <c r="J41" i="21"/>
  <c r="AC41" i="21"/>
  <c r="J42" i="21"/>
  <c r="AC42" i="21"/>
  <c r="J43" i="21"/>
  <c r="AC43" i="21"/>
  <c r="B126" i="21"/>
  <c r="J44" i="21"/>
  <c r="AC44" i="21"/>
  <c r="B128" i="21"/>
  <c r="J45" i="21"/>
  <c r="AC45" i="21"/>
  <c r="B130" i="21"/>
  <c r="J46" i="21"/>
  <c r="AC46" i="21"/>
  <c r="V48" i="21"/>
  <c r="R47" i="21"/>
  <c r="E7" i="21"/>
  <c r="F7" i="21"/>
  <c r="AA7" i="21"/>
  <c r="F8" i="21"/>
  <c r="AA8" i="21"/>
  <c r="F9" i="21"/>
  <c r="AA9" i="21"/>
  <c r="F10" i="21"/>
  <c r="AA10" i="21"/>
  <c r="E69"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R49" i="21"/>
  <c r="C49" i="21"/>
  <c r="B3" i="21"/>
  <c r="D3" i="21"/>
  <c r="B2" i="21"/>
  <c r="C10" i="12"/>
  <c r="B3" i="35"/>
  <c r="D3" i="35"/>
  <c r="B2" i="35"/>
  <c r="C6" i="12"/>
  <c r="O8" i="1"/>
  <c r="P8" i="1"/>
  <c r="K9" i="1"/>
  <c r="M9" i="1"/>
  <c r="O9" i="1"/>
  <c r="P9" i="1"/>
  <c r="K10" i="1"/>
  <c r="M10" i="1"/>
  <c r="O10" i="1"/>
  <c r="P10" i="1"/>
  <c r="K11" i="1"/>
  <c r="M11" i="1"/>
  <c r="O11" i="1"/>
  <c r="P11" i="1"/>
  <c r="K12" i="1"/>
  <c r="M12" i="1"/>
  <c r="O12" i="1"/>
  <c r="P12" i="1"/>
  <c r="K13" i="1"/>
  <c r="M13" i="1"/>
  <c r="O13" i="1"/>
  <c r="P13" i="1"/>
  <c r="O14" i="1"/>
  <c r="P14" i="1"/>
  <c r="K6" i="1"/>
  <c r="M6" i="1"/>
  <c r="O6" i="1"/>
  <c r="P6" i="1"/>
  <c r="O7" i="1"/>
  <c r="P7" i="1"/>
  <c r="P16" i="1"/>
  <c r="C13" i="12"/>
  <c r="F14" i="12"/>
  <c r="C14" i="12"/>
  <c r="F15" i="12"/>
  <c r="C15" i="12"/>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5" i="3"/>
  <c r="AT5" i="3"/>
  <c r="BC5" i="3"/>
  <c r="BD5" i="3"/>
  <c r="BE5" i="3"/>
  <c r="BF5" i="3"/>
  <c r="BG5" i="3"/>
  <c r="BH5" i="3"/>
  <c r="BI5" i="3"/>
  <c r="BJ5" i="3"/>
  <c r="BK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H15" i="66"/>
  <c r="D5" i="72"/>
  <c r="E5" i="72"/>
  <c r="F5" i="72"/>
  <c r="B5" i="72"/>
  <c r="G5" i="72"/>
  <c r="K8" i="72"/>
  <c r="K12" i="72"/>
  <c r="BB10" i="3"/>
  <c r="BC10" i="3"/>
  <c r="BD10" i="3"/>
  <c r="BE10" i="3"/>
  <c r="BF10" i="3"/>
  <c r="BG10" i="3"/>
  <c r="BH10" i="3"/>
  <c r="BI10" i="3"/>
  <c r="BJ10" i="3"/>
  <c r="BK10" i="3"/>
  <c r="E8" i="6"/>
  <c r="F27" i="6"/>
  <c r="F30" i="6"/>
  <c r="F31" i="6"/>
  <c r="F38" i="6"/>
  <c r="G39" i="6"/>
  <c r="C15" i="66"/>
  <c r="B15" i="66"/>
  <c r="C8" i="12"/>
  <c r="E9" i="6"/>
  <c r="F13" i="72"/>
  <c r="F15" i="72"/>
  <c r="G15" i="72"/>
  <c r="F14" i="72"/>
  <c r="G14" i="72"/>
  <c r="D16" i="72"/>
  <c r="E16" i="72"/>
  <c r="G1" i="69"/>
  <c r="F6" i="69"/>
  <c r="F8" i="69"/>
  <c r="F7" i="69"/>
  <c r="F9" i="69"/>
  <c r="C6" i="69"/>
  <c r="F11" i="69"/>
  <c r="C10" i="69"/>
  <c r="C5" i="69"/>
  <c r="F32" i="69"/>
  <c r="C32" i="69"/>
  <c r="F33" i="69"/>
  <c r="C33" i="69"/>
  <c r="D22" i="6"/>
  <c r="L22" i="6"/>
  <c r="M22" i="6"/>
  <c r="I22" i="6"/>
  <c r="H22" i="6"/>
  <c r="R22" i="6"/>
  <c r="R9" i="1"/>
  <c r="F35" i="69"/>
  <c r="F34" i="69"/>
  <c r="C34" i="69"/>
  <c r="C31" i="69"/>
  <c r="T9" i="1"/>
  <c r="C14" i="69"/>
  <c r="F15" i="69"/>
  <c r="C15" i="69"/>
  <c r="F16" i="69"/>
  <c r="C16" i="69"/>
  <c r="F43" i="69"/>
  <c r="F17" i="69"/>
  <c r="C17" i="69"/>
  <c r="F18" i="69"/>
  <c r="C18" i="69"/>
  <c r="C19" i="69"/>
  <c r="F20" i="69"/>
  <c r="C20" i="69"/>
  <c r="I3" i="65"/>
  <c r="F24" i="69"/>
  <c r="F23" i="69"/>
  <c r="C23" i="69"/>
  <c r="F26" i="69"/>
  <c r="C26" i="69"/>
  <c r="F21" i="69"/>
  <c r="C24" i="69"/>
  <c r="C27" i="69"/>
  <c r="F28" i="69"/>
  <c r="C28" i="69"/>
  <c r="C29" i="69"/>
  <c r="F36" i="69"/>
  <c r="C36" i="69"/>
  <c r="F13" i="69"/>
  <c r="C13" i="69"/>
  <c r="F37" i="69"/>
  <c r="C37" i="69"/>
  <c r="F38" i="69"/>
  <c r="C38" i="69"/>
  <c r="C30" i="69"/>
  <c r="C39" i="69"/>
  <c r="F42" i="69"/>
  <c r="F40" i="69"/>
  <c r="L48" i="69"/>
  <c r="J50" i="69"/>
  <c r="J51" i="69"/>
  <c r="M47" i="69"/>
  <c r="J53" i="69"/>
  <c r="F1" i="69"/>
  <c r="AE9" i="1"/>
  <c r="F41" i="69"/>
  <c r="C40" i="69"/>
  <c r="M6" i="69"/>
  <c r="M8" i="69"/>
  <c r="M7" i="69"/>
  <c r="M9" i="69"/>
  <c r="J6" i="69"/>
  <c r="M11" i="69"/>
  <c r="J10" i="69"/>
  <c r="J5" i="69"/>
  <c r="J26" i="69"/>
  <c r="J29" i="69"/>
  <c r="L46" i="69"/>
  <c r="B2" i="69"/>
  <c r="C40" i="39"/>
  <c r="B3" i="69"/>
  <c r="C9" i="12"/>
  <c r="B3" i="68"/>
  <c r="E8" i="12"/>
  <c r="B3" i="15"/>
  <c r="D8" i="12"/>
  <c r="Q66" i="69"/>
  <c r="L60" i="69"/>
  <c r="Q67" i="69"/>
  <c r="Q76" i="69"/>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57" i="69"/>
  <c r="J55" i="69"/>
  <c r="J58" i="69"/>
  <c r="J59" i="69"/>
  <c r="J60" i="69"/>
  <c r="Q59" i="69"/>
  <c r="F58" i="69"/>
  <c r="L57" i="69"/>
  <c r="L56" i="69"/>
  <c r="Q48" i="69"/>
  <c r="Q49" i="69"/>
  <c r="Q54" i="69"/>
  <c r="I54" i="69"/>
  <c r="Q53" i="69"/>
  <c r="Q52" i="69"/>
  <c r="Q51" i="69"/>
  <c r="Q50" i="69"/>
  <c r="C46" i="69"/>
  <c r="J42" i="69"/>
  <c r="J43" i="69"/>
  <c r="C43" i="69"/>
  <c r="J35" i="69"/>
  <c r="J39" i="69"/>
  <c r="J40" i="69"/>
  <c r="F31" i="69"/>
  <c r="M29" i="69"/>
  <c r="M28" i="69"/>
  <c r="AG9"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Q66"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C46" i="68"/>
  <c r="J42" i="68"/>
  <c r="J43" i="68"/>
  <c r="C43" i="68"/>
  <c r="J35" i="68"/>
  <c r="J39" i="68"/>
  <c r="J40" i="68"/>
  <c r="F31" i="68"/>
  <c r="M29" i="68"/>
  <c r="M28" i="68"/>
  <c r="AG8"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1" i="39"/>
  <c r="E91" i="39"/>
  <c r="F17" i="39"/>
  <c r="AA17" i="39"/>
  <c r="D95" i="39"/>
  <c r="E95" i="39"/>
  <c r="F21" i="39"/>
  <c r="AA21" i="39"/>
  <c r="D93" i="39"/>
  <c r="E93" i="39"/>
  <c r="F19" i="39"/>
  <c r="AA19" i="39"/>
  <c r="D97" i="39"/>
  <c r="E97" i="39"/>
  <c r="F23" i="39"/>
  <c r="AA23" i="39"/>
  <c r="D99" i="39"/>
  <c r="F25" i="39"/>
  <c r="AA25" i="39"/>
  <c r="D101" i="39"/>
  <c r="E101" i="39"/>
  <c r="F27" i="39"/>
  <c r="AA27" i="39"/>
  <c r="D103" i="39"/>
  <c r="F29" i="39"/>
  <c r="AA29" i="39"/>
  <c r="F31" i="39"/>
  <c r="AA31" i="39"/>
  <c r="F34" i="39"/>
  <c r="AA34" i="39"/>
  <c r="F41" i="39"/>
  <c r="AA41" i="39"/>
  <c r="F42" i="39"/>
  <c r="AA42" i="39"/>
  <c r="D126" i="39"/>
  <c r="F43" i="39"/>
  <c r="AA43" i="39"/>
  <c r="F44" i="39"/>
  <c r="AA44" i="39"/>
  <c r="B84" i="39"/>
  <c r="F14" i="39"/>
  <c r="AA14" i="39"/>
  <c r="B86" i="39"/>
  <c r="F15" i="39"/>
  <c r="AA15" i="39"/>
  <c r="D83" i="39"/>
  <c r="E83" i="39"/>
  <c r="F83" i="39"/>
  <c r="G83" i="39"/>
  <c r="F13" i="39"/>
  <c r="AA13" i="39"/>
  <c r="F40" i="39"/>
  <c r="AA40" i="39"/>
  <c r="B106" i="39"/>
  <c r="F33" i="39"/>
  <c r="AA33" i="39"/>
  <c r="H17" i="39"/>
  <c r="AB17" i="39"/>
  <c r="H21" i="39"/>
  <c r="AB21" i="39"/>
  <c r="H19" i="39"/>
  <c r="AB19" i="39"/>
  <c r="H23" i="39"/>
  <c r="AB23" i="39"/>
  <c r="H25" i="39"/>
  <c r="AB25" i="39"/>
  <c r="H27" i="39"/>
  <c r="AB27" i="39"/>
  <c r="H29" i="39"/>
  <c r="AB29" i="39"/>
  <c r="H31" i="39"/>
  <c r="AB31" i="39"/>
  <c r="H34" i="39"/>
  <c r="AB34" i="39"/>
  <c r="H41" i="39"/>
  <c r="AB41" i="39"/>
  <c r="H42" i="39"/>
  <c r="AB42" i="39"/>
  <c r="E126" i="39"/>
  <c r="F126" i="39"/>
  <c r="G126" i="39"/>
  <c r="H43" i="39"/>
  <c r="AB43" i="39"/>
  <c r="H44" i="39"/>
  <c r="AB44" i="39"/>
  <c r="H14" i="39"/>
  <c r="AB14" i="39"/>
  <c r="H15" i="39"/>
  <c r="AB15" i="39"/>
  <c r="H13" i="39"/>
  <c r="AB13" i="39"/>
  <c r="H40" i="39"/>
  <c r="AB40" i="39"/>
  <c r="H33" i="39"/>
  <c r="AB33" i="39"/>
  <c r="J17" i="39"/>
  <c r="AC17" i="39"/>
  <c r="J21" i="39"/>
  <c r="AC21" i="39"/>
  <c r="J19" i="39"/>
  <c r="AC19" i="39"/>
  <c r="J23" i="39"/>
  <c r="AC23" i="39"/>
  <c r="J25" i="39"/>
  <c r="AC25" i="39"/>
  <c r="J27" i="39"/>
  <c r="AC27" i="39"/>
  <c r="E103" i="39"/>
  <c r="J29" i="39"/>
  <c r="AC29" i="39"/>
  <c r="J31" i="39"/>
  <c r="AC31" i="39"/>
  <c r="J34" i="39"/>
  <c r="AC34" i="39"/>
  <c r="J41" i="39"/>
  <c r="AC41" i="39"/>
  <c r="J42" i="39"/>
  <c r="AC42" i="39"/>
  <c r="J43" i="39"/>
  <c r="AC43" i="39"/>
  <c r="J44" i="39"/>
  <c r="AC44" i="39"/>
  <c r="J14" i="39"/>
  <c r="AC14" i="39"/>
  <c r="J15" i="39"/>
  <c r="AC15" i="39"/>
  <c r="H83" i="39"/>
  <c r="J13" i="39"/>
  <c r="AC13" i="39"/>
  <c r="J40" i="39"/>
  <c r="AC40" i="39"/>
  <c r="J33" i="39"/>
  <c r="AC33" i="39"/>
  <c r="E12" i="6"/>
  <c r="E64" i="39"/>
  <c r="E13" i="6"/>
  <c r="E65" i="3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AP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D38" i="4"/>
  <c r="C39" i="4"/>
  <c r="C35" i="4"/>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H36" i="39"/>
  <c r="AB36"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E99" i="39"/>
  <c r="F99" i="39"/>
  <c r="G99" i="39"/>
  <c r="F95" i="39"/>
  <c r="G95" i="39"/>
  <c r="F93" i="39"/>
  <c r="G93" i="39"/>
  <c r="F91" i="39"/>
  <c r="G91" i="39"/>
  <c r="B88"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F66" i="35"/>
  <c r="G66" i="35"/>
  <c r="F64" i="35"/>
  <c r="G6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W19" i="39"/>
  <c r="U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F46" i="39"/>
  <c r="S46" i="39"/>
  <c r="H46" i="39"/>
  <c r="U46" i="39"/>
  <c r="J46" i="39"/>
  <c r="W46" i="39"/>
  <c r="F103" i="39"/>
  <c r="G103" i="39"/>
  <c r="U29"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U21" i="39"/>
  <c r="AB33" i="36"/>
  <c r="AA11" i="36"/>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C38" i="39"/>
  <c r="W29" i="39"/>
  <c r="S29" i="39"/>
  <c r="S14" i="39"/>
  <c r="U11" i="39"/>
  <c r="U41" i="39"/>
  <c r="U23" i="39"/>
  <c r="AB38" i="39"/>
  <c r="U31" i="39"/>
  <c r="S25" i="39"/>
  <c r="S38" i="39"/>
  <c r="S22" i="31"/>
  <c r="D18" i="9"/>
  <c r="M44" i="9"/>
  <c r="M43" i="9"/>
  <c r="B22" i="63"/>
  <c r="M20" i="15"/>
  <c r="D96" i="9"/>
  <c r="M18" i="15"/>
  <c r="A18" i="64"/>
  <c r="B74" i="63"/>
  <c r="C53" i="10"/>
  <c r="A25" i="64"/>
  <c r="A18" i="51"/>
  <c r="B14" i="63"/>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E11" i="6"/>
  <c r="E63" i="39"/>
  <c r="E14" i="6"/>
  <c r="E66" i="39"/>
  <c r="E15" i="6"/>
  <c r="E67" i="39"/>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6" i="52"/>
  <c r="E4" i="52"/>
  <c r="B7" i="52"/>
  <c r="E5" i="52"/>
  <c r="P21" i="46"/>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S5" i="46"/>
  <c r="S2" i="46"/>
  <c r="S3" i="46"/>
  <c r="S7" i="46"/>
  <c r="S6" i="46"/>
  <c r="S4" i="46"/>
  <c r="K16" i="1"/>
  <c r="K27" i="6"/>
  <c r="E63" i="40"/>
  <c r="C22" i="4"/>
  <c r="D25" i="6"/>
  <c r="D10" i="6"/>
  <c r="D13" i="6"/>
  <c r="H24" i="6"/>
  <c r="D6" i="6"/>
  <c r="D23" i="6"/>
  <c r="D14" i="6"/>
  <c r="D28" i="6"/>
  <c r="D8" i="6"/>
  <c r="H23" i="6"/>
  <c r="F44" i="9"/>
  <c r="E68" i="39"/>
  <c r="K38" i="9"/>
  <c r="C14" i="66"/>
  <c r="B2" i="66"/>
  <c r="D24" i="6"/>
  <c r="D26" i="6"/>
  <c r="H26" i="6"/>
  <c r="R26" i="6"/>
  <c r="D11" i="6"/>
  <c r="D12" i="6"/>
  <c r="H25" i="6"/>
  <c r="D9" i="6"/>
  <c r="D5" i="6"/>
  <c r="D29" i="6"/>
  <c r="D15" i="6"/>
  <c r="E44" i="9"/>
  <c r="F46" i="9"/>
  <c r="E46" i="9"/>
  <c r="G52" i="37"/>
  <c r="H7" i="34"/>
  <c r="J7" i="34"/>
  <c r="R49" i="33"/>
  <c r="E48" i="33"/>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3" i="6"/>
  <c r="R25" i="6"/>
  <c r="D27" i="6"/>
  <c r="M27" i="6"/>
  <c r="D6" i="66"/>
  <c r="D8" i="66"/>
  <c r="A6" i="51"/>
  <c r="B7" i="63"/>
  <c r="A6" i="64"/>
  <c r="A20" i="64"/>
  <c r="A20" i="51"/>
  <c r="B15" i="63"/>
  <c r="N5" i="54"/>
  <c r="B43" i="63"/>
  <c r="T13" i="1"/>
  <c r="M16" i="1"/>
  <c r="T11" i="1"/>
  <c r="T12" i="1"/>
  <c r="O16" i="1"/>
  <c r="T10" i="1"/>
  <c r="T6"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8" i="44"/>
  <c r="C31" i="44"/>
  <c r="J19" i="15"/>
  <c r="K52" i="37"/>
  <c r="B3" i="46"/>
  <c r="B7" i="67"/>
  <c r="C35" i="44"/>
  <c r="C33" i="44"/>
  <c r="J21" i="44"/>
  <c r="J19" i="44"/>
  <c r="K65" i="40"/>
  <c r="J67" i="40"/>
  <c r="B4" i="46"/>
  <c r="B2" i="67"/>
  <c r="B4" i="67"/>
  <c r="J59" i="15"/>
  <c r="J60" i="15"/>
  <c r="Q49" i="15"/>
  <c r="J35" i="15"/>
  <c r="C56" i="15"/>
  <c r="C60" i="15"/>
  <c r="C58" i="15"/>
  <c r="Q50" i="15"/>
  <c r="J17" i="15"/>
  <c r="J14" i="15"/>
  <c r="J13" i="15"/>
  <c r="J23" i="15"/>
  <c r="J22" i="15"/>
  <c r="Q51" i="44"/>
  <c r="C38" i="44"/>
  <c r="C15" i="44"/>
  <c r="J16" i="44"/>
  <c r="C22" i="43"/>
  <c r="C21" i="43"/>
  <c r="I38" i="35"/>
  <c r="W7" i="35"/>
  <c r="L52" i="37"/>
  <c r="K67" i="40"/>
  <c r="L65" i="40"/>
  <c r="B3" i="67"/>
  <c r="C55" i="15"/>
  <c r="C64" i="15"/>
  <c r="C63" i="15"/>
  <c r="Q71" i="15"/>
  <c r="J16" i="15"/>
  <c r="J25" i="15"/>
  <c r="Q72" i="44"/>
  <c r="C39" i="44"/>
  <c r="C32" i="44"/>
  <c r="C42" i="44"/>
  <c r="C43" i="44"/>
  <c r="J24" i="44"/>
  <c r="J15" i="44"/>
  <c r="J25" i="44"/>
  <c r="G38" i="35"/>
  <c r="U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D20" i="9"/>
  <c r="B4" i="12"/>
  <c r="D21" i="9"/>
  <c r="Q20" i="1"/>
  <c r="L10" i="72"/>
  <c r="M10" i="72"/>
  <c r="F15" i="66"/>
  <c r="E15"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B5" i="39"/>
  <c r="G19" i="9"/>
  <c r="C32" i="9"/>
  <c r="C42"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N43" i="9"/>
  <c r="G22" i="9"/>
  <c r="B3" i="39"/>
  <c r="C20" i="9"/>
  <c r="G20" i="9"/>
  <c r="D22" i="9"/>
  <c r="B4" i="39"/>
  <c r="C21" i="9"/>
  <c r="G21" i="9"/>
  <c r="C49" i="39"/>
  <c r="L8" i="72"/>
  <c r="M8" i="72"/>
  <c r="L9" i="72"/>
  <c r="M9" i="72"/>
  <c r="L11" i="72"/>
  <c r="M11" i="72"/>
  <c r="M12" i="72"/>
  <c r="N12" i="72"/>
  <c r="G35" i="9"/>
  <c r="C45" i="9"/>
  <c r="H14" i="66"/>
  <c r="B7" i="66"/>
  <c r="C7" i="66"/>
  <c r="D45" i="9"/>
  <c r="O40" i="9"/>
  <c r="K31" i="9"/>
  <c r="K32" i="9"/>
  <c r="R7" i="54"/>
  <c r="B52" i="63"/>
  <c r="E45" i="9"/>
  <c r="F45" i="9"/>
  <c r="D7" i="66"/>
  <c r="B5" i="66"/>
  <c r="C5" i="66"/>
  <c r="D5" i="66"/>
  <c r="C43" i="9"/>
  <c r="K47" i="9"/>
  <c r="A14" i="55"/>
  <c r="B65" i="63"/>
  <c r="D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<sst xmlns="http://schemas.openxmlformats.org/spreadsheetml/2006/main" count="7885" uniqueCount="3117">
  <si>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</si>
  <si>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</si>
  <si>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</si>
  <si>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</si>
  <si>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</si>
  <si>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</si>
  <si>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</si>
  <si>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</si>
  <si>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</si>
  <si>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</si>
  <si>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</si>
  <si>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</si>
  <si>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</si>
  <si>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</si>
  <si>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</si>
  <si>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</si>
  <si>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</si>
  <si>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</si>
  <si>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</si>
  <si>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</si>
  <si>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</si>
  <si>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</si>
  <si>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</si>
  <si>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</si>
  <si>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</si>
  <si>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</si>
  <si>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</si>
  <si>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</si>
  <si>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</si>
  <si>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</si>
  <si>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</si>
  <si>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</si>
  <si>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</si>
  <si>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</si>
  <si>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</si>
  <si>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</si>
  <si>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</si>
  <si>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</si>
  <si>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</si>
  <si>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</si>
  <si>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</si>
  <si>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</si>
  <si>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</si>
  <si>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</si>
  <si>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</si>
  <si>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</si>
  <si>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</si>
  <si>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</si>
  <si>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</si>
  <si>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</si>
  <si>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</si>
  <si>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</si>
  <si>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</si>
  <si>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</si>
  <si>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</si>
  <si>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</si>
  <si>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</si>
  <si>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</si>
  <si>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</si>
  <si>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</si>
  <si>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</si>
  <si>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</si>
  <si>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</si>
  <si>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</si>
  <si>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</si>
  <si>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</si>
  <si>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</si>
  <si>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</si>
  <si>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</si>
  <si>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</si>
  <si>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</si>
  <si>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</si>
  <si>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</si>
  <si>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</si>
  <si>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</si>
  <si>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</si>
  <si>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</si>
  <si>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</si>
  <si>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</si>
  <si>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</si>
  <si>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</si>
  <si>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</si>
  <si>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</si>
  <si>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</si>
  <si>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</si>
  <si>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</si>
  <si>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</si>
  <si>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</si>
  <si>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</si>
  <si>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</si>
  <si>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</si>
  <si>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</si>
  <si>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</si>
  <si>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</si>
  <si>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</si>
  <si>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</si>
  <si>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</si>
  <si>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</si>
  <si>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</si>
  <si>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</si>
  <si>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</si>
  <si>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</si>
  <si>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</si>
  <si>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</si>
  <si>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</si>
  <si>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</si>
  <si>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</si>
  <si>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</si>
  <si>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</si>
  <si>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</si>
  <si>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</si>
  <si>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</si>
  <si>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</si>
  <si>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</si>
  <si>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</si>
  <si>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</si>
  <si>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</si>
  <si>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</si>
  <si>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</si>
  <si>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</si>
  <si>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</si>
  <si>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</si>
  <si>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</si>
  <si>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</si>
  <si>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</si>
  <si>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</si>
  <si>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</si>
  <si>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</si>
  <si>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</si>
  <si>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</si>
  <si>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</si>
  <si>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</si>
  <si>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</si>
  <si>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</si>
  <si>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</si>
  <si>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</si>
  <si>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</si>
  <si>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</si>
  <si>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</si>
  <si>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</si>
  <si>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</si>
  <si>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</si>
  <si>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</si>
  <si>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</si>
  <si>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</si>
  <si>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</si>
  <si>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</si>
  <si>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</si>
  <si>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</si>
  <si>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</si>
  <si>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</si>
  <si>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</si>
  <si>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</si>
  <si>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</si>
  <si>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</si>
  <si>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</si>
  <si>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</si>
  <si>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</si>
  <si>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</si>
  <si>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</si>
  <si>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</si>
  <si>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</si>
  <si>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</si>
  <si>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</si>
  <si>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</si>
  <si>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</si>
  <si>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</si>
  <si>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</si>
  <si>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</si>
  <si>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</si>
  <si>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</si>
  <si>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</si>
  <si>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</si>
  <si>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</si>
  <si>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</si>
  <si>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</si>
  <si>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</si>
  <si>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</si>
  <si>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</si>
  <si>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</si>
  <si>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</si>
  <si>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</si>
  <si>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</si>
  <si>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</si>
  <si>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</si>
  <si>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</si>
  <si>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</si>
  <si>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</si>
  <si>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</si>
  <si>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</si>
  <si>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</si>
  <si>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</si>
  <si>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</si>
  <si>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</si>
  <si>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</si>
  <si>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</si>
  <si>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</si>
  <si>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</si>
  <si>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</si>
  <si>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</si>
  <si>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</si>
  <si>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</si>
  <si>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</si>
  <si>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</si>
  <si>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</si>
  <si>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</si>
  <si>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</si>
  <si>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</si>
  <si>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</si>
  <si>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</si>
  <si>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</si>
  <si>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</si>
  <si>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</si>
  <si>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</si>
  <si>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</si>
  <si>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</si>
  <si>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</si>
  <si>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</si>
  <si>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</si>
  <si>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</si>
  <si>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</si>
  <si>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</si>
  <si>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</si>
  <si>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</si>
  <si>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</si>
  <si>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</si>
  <si>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</si>
  <si>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</si>
  <si>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</si>
  <si>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</si>
  <si>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</si>
  <si>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</si>
  <si>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</si>
  <si>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</si>
  <si>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</si>
  <si>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</si>
  <si>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</si>
  <si>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</si>
  <si>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</si>
  <si>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</si>
  <si>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</si>
  <si>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</si>
  <si>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</si>
  <si>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</si>
  <si>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</si>
  <si>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</si>
  <si>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</si>
  <si>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</si>
  <si>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</si>
  <si>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</si>
  <si>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</si>
  <si>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</si>
  <si>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</si>
  <si>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</si>
  <si>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</si>
  <si>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</si>
  <si>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</si>
  <si>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</si>
  <si>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</si>
  <si>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</si>
  <si>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</si>
  <si>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</si>
  <si>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</si>
  <si>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</si>
  <si>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</si>
  <si>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</si>
  <si>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</si>
  <si>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</si>
  <si>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</si>
  <si>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</si>
  <si>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</si>
  <si>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</si>
  <si>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</si>
  <si>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</si>
  <si>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</si>
  <si>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</si>
  <si>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</si>
  <si>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</si>
  <si>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</si>
  <si>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</si>
  <si>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</si>
  <si>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</si>
  <si>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</si>
  <si>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</si>
  <si>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</si>
  <si>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</si>
  <si>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</si>
  <si>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</si>
  <si>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</si>
  <si>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</si>
  <si>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</si>
  <si>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</si>
  <si>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</si>
  <si>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</si>
  <si>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</si>
  <si>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</si>
  <si>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</si>
  <si>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</si>
  <si>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</si>
  <si>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</si>
  <si>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</si>
  <si>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</si>
  <si>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</si>
  <si>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</si>
  <si>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</si>
  <si>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</si>
  <si>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</si>
  <si>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</si>
  <si>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</si>
  <si>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</si>
  <si>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</si>
  <si>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</si>
  <si>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</si>
  <si>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</si>
  <si>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</si>
  <si>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</si>
  <si>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</si>
  <si>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</si>
  <si>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</si>
  <si>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</si>
  <si>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</si>
  <si>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</si>
  <si>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</si>
  <si>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</si>
  <si>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</si>
  <si>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</si>
  <si>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</si>
  <si>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</si>
  <si>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</si>
  <si>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</si>
  <si>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</si>
  <si>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</si>
  <si>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</si>
  <si>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</si>
  <si>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</si>
  <si>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</si>
  <si>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</si>
  <si>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</si>
  <si>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</si>
  <si>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</si>
  <si>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</si>
  <si>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</si>
  <si>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</si>
  <si>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</si>
  <si>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</si>
  <si>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</si>
  <si>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</si>
  <si>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</si>
  <si>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</si>
  <si>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</si>
  <si>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</si>
  <si>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</si>
  <si>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</si>
  <si>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</si>
  <si>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</si>
  <si>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</si>
  <si>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</si>
  <si>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</si>
  <si>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</si>
  <si>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</si>
  <si>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</si>
  <si>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</si>
  <si>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</si>
  <si>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</si>
  <si>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</si>
  <si>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</si>
  <si>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</si>
  <si>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</si>
  <si>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</si>
  <si>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</si>
  <si>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</si>
  <si>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</si>
  <si>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</si>
  <si>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</si>
  <si>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</si>
  <si>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</si>
  <si>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</si>
  <si>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</si>
  <si>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</si>
  <si>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</si>
  <si>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</si>
  <si>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</si>
  <si>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</si>
  <si>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</si>
  <si>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</si>
  <si>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</si>
  <si>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</si>
  <si>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</si>
  <si>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</si>
  <si>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</si>
  <si>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</si>
  <si>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</si>
  <si>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</si>
  <si>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</si>
  <si>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</si>
  <si>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</si>
  <si>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</si>
  <si>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</si>
  <si>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</si>
  <si>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</si>
  <si>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</si>
  <si>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</si>
  <si>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</si>
  <si>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</si>
  <si>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</si>
  <si>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</si>
  <si>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</si>
  <si>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</si>
  <si>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</si>
  <si>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</si>
  <si>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</si>
  <si>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</si>
  <si>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</si>
  <si>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</si>
  <si>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</si>
  <si>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</si>
  <si>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</si>
  <si>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</si>
  <si>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</si>
  <si>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</si>
  <si>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</si>
  <si>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</si>
  <si>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</si>
  <si>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</si>
  <si>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</si>
  <si>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</si>
  <si>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</si>
  <si>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</si>
  <si>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</si>
  <si>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</si>
  <si>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</si>
  <si>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</si>
  <si>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</si>
  <si>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</si>
  <si>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</si>
  <si>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</si>
  <si>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</si>
  <si>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</si>
  <si>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</si>
  <si>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</si>
  <si>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</si>
  <si>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</si>
  <si>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</si>
  <si>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</si>
  <si>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</si>
  <si>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</si>
  <si>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</si>
  <si>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</si>
  <si>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</si>
  <si>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</si>
  <si>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</si>
  <si>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</si>
  <si>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</si>
  <si>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</si>
  <si>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</si>
  <si>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</si>
  <si>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</si>
  <si>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</si>
  <si>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</si>
  <si>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</si>
  <si>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</si>
  <si>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</si>
  <si>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</si>
  <si>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</si>
  <si>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</si>
  <si>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</si>
  <si>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</si>
  <si>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</si>
  <si>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</si>
  <si>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</si>
  <si>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</si>
  <si>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</si>
  <si>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</si>
  <si>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</si>
  <si>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</si>
  <si>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</si>
  <si>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</si>
  <si>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</si>
  <si>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</si>
  <si>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</si>
  <si>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</si>
  <si>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</si>
  <si>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</si>
  <si>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</si>
  <si>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</si>
  <si>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</si>
  <si>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</si>
  <si>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</si>
  <si>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</si>
  <si>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</si>
  <si>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</si>
  <si>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</si>
  <si>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</si>
  <si>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</si>
  <si>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</si>
  <si>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</si>
  <si>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</si>
  <si>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</si>
  <si>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</si>
  <si>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</si>
  <si>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</si>
  <si>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</si>
  <si>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</si>
  <si>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</si>
  <si>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</si>
  <si>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</si>
  <si>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</si>
  <si>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</si>
  <si>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</si>
  <si>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</si>
  <si>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</si>
  <si>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</si>
  <si>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</si>
  <si>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</si>
  <si>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</si>
  <si>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</si>
  <si>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</si>
  <si>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</si>
  <si>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</si>
  <si>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</si>
  <si>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</si>
  <si>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</si>
  <si>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</si>
  <si>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</si>
  <si>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</si>
  <si>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</si>
  <si>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</si>
  <si>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</si>
  <si>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</si>
  <si>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</si>
  <si>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</si>
  <si>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</si>
  <si>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</si>
  <si>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</si>
  <si>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</si>
  <si>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</si>
  <si>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</si>
  <si>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</si>
  <si>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</si>
  <si>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</si>
  <si>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</si>
  <si>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</si>
  <si>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</si>
  <si>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</si>
  <si>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</si>
  <si>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</si>
  <si>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</si>
  <si>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</si>
  <si>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</si>
  <si>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</si>
  <si>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</si>
  <si>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</si>
  <si>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</si>
  <si>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</si>
  <si>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</si>
  <si>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</si>
  <si>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</si>
  <si>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</si>
  <si>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</si>
  <si>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</si>
  <si>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</si>
  <si>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</si>
  <si>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</si>
  <si>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</si>
  <si>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</si>
  <si>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</si>
  <si>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</si>
  <si>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</si>
  <si>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</si>
  <si>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</si>
  <si>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</si>
  <si>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</si>
  <si>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</si>
  <si>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</si>
  <si>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</si>
  <si>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</si>
  <si>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</si>
  <si>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</si>
  <si>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</si>
  <si>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</si>
  <si>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</si>
  <si>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</si>
  <si>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</si>
  <si>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</si>
  <si>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</si>
  <si>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</si>
  <si>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</si>
  <si>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</si>
  <si>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</si>
  <si>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</si>
  <si>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</si>
  <si>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</si>
  <si>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</si>
  <si>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</si>
  <si>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</si>
  <si>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</si>
  <si>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</si>
  <si>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</si>
  <si>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</si>
  <si>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</si>
  <si>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</si>
  <si>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</si>
  <si>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</si>
  <si>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</si>
  <si>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</si>
  <si>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</si>
  <si>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</si>
  <si>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</si>
  <si>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</si>
  <si>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</si>
  <si>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</si>
  <si>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</si>
  <si>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</si>
  <si>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</si>
  <si>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</si>
  <si>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</si>
  <si>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</si>
  <si>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</si>
  <si>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</si>
  <si>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</si>
  <si>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</si>
  <si>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</si>
  <si>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</si>
  <si>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</si>
  <si>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</si>
  <si>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</si>
  <si>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</si>
  <si>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</si>
  <si>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</si>
  <si>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</si>
  <si>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</si>
  <si>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</si>
  <si>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</si>
  <si>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</si>
  <si>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</si>
  <si>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</si>
  <si>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</si>
  <si>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</si>
  <si>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</si>
  <si>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</si>
  <si>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</si>
  <si>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</si>
  <si>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</si>
  <si>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</si>
  <si>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</si>
  <si>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</si>
  <si>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</si>
  <si>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</si>
  <si>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</si>
  <si>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</si>
  <si>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</si>
  <si>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</si>
  <si>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</si>
  <si>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</si>
  <si>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</si>
  <si>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</si>
  <si>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</si>
  <si>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</si>
  <si>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</si>
  <si>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</si>
  <si>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</si>
  <si>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</si>
  <si>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</si>
  <si>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</si>
  <si>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</si>
  <si>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</si>
  <si>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</si>
  <si>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</si>
  <si>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</si>
  <si>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</si>
  <si>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</si>
  <si>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</si>
  <si>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</si>
  <si>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</si>
  <si>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</si>
  <si>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</si>
  <si>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</si>
  <si>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</si>
  <si>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</si>
  <si>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</si>
  <si>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</si>
  <si>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</si>
  <si>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</si>
  <si>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</si>
  <si>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</si>
  <si>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</si>
  <si>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</si>
  <si>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</si>
  <si>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</si>
  <si>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</si>
  <si>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</si>
  <si>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</si>
  <si>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</si>
  <si>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</si>
  <si>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</si>
  <si>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</si>
  <si>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</si>
  <si>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</si>
  <si>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</si>
  <si>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</si>
  <si>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</si>
  <si>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</si>
  <si>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</si>
  <si>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</si>
  <si>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</si>
  <si>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</si>
  <si>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</si>
  <si>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</si>
  <si>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</si>
  <si>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</si>
  <si>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</si>
  <si>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</si>
  <si>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</si>
  <si>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</si>
  <si>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</si>
  <si>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</si>
  <si>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</si>
  <si>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</si>
  <si>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</si>
  <si>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</si>
  <si>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</si>
  <si>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</si>
  <si>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</si>
  <si>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</si>
  <si>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</si>
  <si>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</si>
  <si>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</si>
  <si>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</si>
  <si>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</si>
  <si>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</si>
  <si>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</si>
  <si>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</si>
  <si>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</si>
  <si>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</si>
  <si>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</si>
  <si>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</si>
  <si>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</si>
  <si>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</si>
  <si>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</si>
  <si>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</si>
  <si>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</si>
  <si>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</si>
  <si>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</si>
  <si>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</si>
  <si>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</si>
  <si>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</si>
  <si>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</si>
  <si>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</si>
  <si>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</si>
  <si>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</si>
  <si>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</si>
  <si>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</si>
  <si>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</si>
  <si>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</si>
  <si>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</si>
  <si>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</si>
  <si>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</si>
  <si>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</si>
  <si>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</si>
  <si>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</si>
  <si>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</si>
  <si>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</si>
  <si>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</si>
  <si>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</si>
  <si>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</si>
  <si>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</si>
  <si>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</si>
  <si>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</si>
  <si>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</si>
  <si>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</si>
  <si>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</si>
  <si>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</si>
  <si>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</si>
  <si>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</si>
  <si>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</si>
  <si>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</si>
  <si>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</si>
  <si>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</si>
  <si>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</si>
  <si>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</si>
  <si>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</si>
  <si>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</si>
  <si>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</si>
  <si>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</si>
  <si>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</si>
  <si>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</si>
  <si>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</si>
  <si>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</si>
  <si>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</si>
  <si>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</si>
  <si>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</si>
  <si>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</si>
  <si>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</si>
  <si>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</si>
  <si>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</si>
  <si>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</si>
  <si>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</si>
  <si>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</si>
  <si>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</si>
  <si>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</si>
  <si>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</si>
  <si>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</si>
  <si>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</si>
  <si>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</si>
  <si>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</si>
  <si>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</si>
  <si>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</si>
  <si>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</si>
  <si>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</si>
  <si>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</si>
  <si>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</si>
  <si>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</si>
  <si>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</si>
  <si>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</si>
  <si>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</si>
  <si>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</si>
  <si>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</si>
  <si>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</si>
  <si>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</si>
  <si>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</si>
  <si>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</si>
  <si>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</si>
  <si>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</si>
  <si>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</si>
  <si>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</si>
  <si>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</si>
  <si>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</si>
  <si>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</si>
  <si>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</si>
  <si>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</si>
  <si>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</si>
  <si>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</si>
  <si>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</si>
  <si>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</si>
  <si>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</si>
  <si>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</si>
  <si>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</si>
  <si>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</si>
  <si>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</si>
  <si>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</si>
  <si>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</si>
  <si>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</si>
  <si>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</si>
  <si>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</si>
  <si>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</si>
  <si>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</si>
  <si>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</si>
  <si>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</si>
  <si>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</si>
  <si>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</si>
  <si>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</si>
  <si>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</si>
  <si>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</si>
  <si>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</si>
  <si>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</si>
  <si>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</si>
  <si>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</si>
  <si>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</si>
  <si>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</si>
  <si>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</si>
  <si>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</si>
  <si>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</si>
  <si>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</si>
  <si>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</si>
  <si>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</si>
  <si>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</si>
  <si>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</si>
  <si>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</si>
  <si>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</si>
  <si>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</si>
  <si>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</si>
  <si>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</si>
  <si>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</si>
  <si>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</si>
  <si>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</si>
  <si>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</si>
  <si>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</si>
  <si>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</si>
  <si>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</si>
  <si>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</si>
  <si>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</si>
  <si>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</si>
  <si>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</si>
  <si>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</si>
  <si>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</si>
  <si>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</si>
  <si>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</si>
  <si>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</si>
  <si>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</si>
  <si>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</si>
  <si>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</si>
  <si>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</si>
  <si>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</si>
  <si>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</si>
  <si>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</si>
  <si>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</si>
  <si>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</si>
  <si>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</si>
  <si>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</si>
  <si>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</si>
  <si>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</si>
  <si>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</si>
  <si>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</si>
  <si>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</si>
  <si>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</si>
  <si>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</si>
  <si>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</si>
  <si>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</si>
  <si>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</si>
  <si>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</si>
  <si>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</si>
  <si>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</si>
  <si>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</si>
  <si>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</si>
  <si>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</si>
  <si>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</si>
  <si>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</si>
  <si>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</si>
  <si>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</si>
  <si>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</si>
  <si>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</si>
  <si>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</si>
  <si>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</si>
  <si>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</si>
  <si>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</si>
  <si>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</si>
  <si>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</si>
  <si>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</si>
  <si>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</si>
  <si>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</si>
  <si>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</si>
  <si>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</si>
  <si>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</si>
  <si>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</si>
  <si>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</si>
  <si>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</si>
  <si>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</si>
  <si>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</si>
  <si>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</si>
  <si>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</si>
  <si>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</si>
  <si>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</si>
  <si>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</si>
  <si>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</si>
  <si>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</si>
  <si>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</si>
  <si>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</si>
  <si>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</si>
  <si>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</si>
  <si>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</si>
  <si>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</si>
  <si>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</si>
  <si>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</si>
  <si>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</si>
  <si>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</si>
  <si>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</si>
  <si>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</si>
  <si>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</si>
  <si>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</si>
  <si>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</si>
  <si>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</si>
  <si>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</si>
  <si>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</si>
  <si>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</si>
  <si>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</si>
  <si>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</si>
  <si>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</si>
  <si>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</si>
  <si>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</si>
  <si>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</si>
  <si>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</si>
  <si>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</si>
  <si>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</si>
  <si>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</si>
  <si>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</si>
  <si>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</si>
  <si>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</si>
  <si>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</si>
  <si>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</si>
  <si>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</si>
  <si>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</si>
  <si>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</si>
  <si>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</si>
  <si>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</si>
  <si>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</si>
  <si>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</si>
  <si>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</si>
  <si>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</si>
  <si>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</si>
  <si>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</si>
  <si>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</si>
  <si>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</si>
  <si>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</si>
  <si>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</si>
  <si>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</si>
  <si>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</si>
  <si>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</si>
  <si>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</si>
  <si>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</si>
  <si>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</si>
  <si>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</si>
  <si>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</si>
  <si>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</si>
  <si>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</si>
  <si>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</si>
  <si>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</si>
  <si>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</si>
  <si>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</si>
  <si>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</si>
  <si>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</si>
  <si>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</si>
  <si>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</si>
  <si>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</si>
  <si>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</si>
  <si>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</si>
  <si>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</si>
  <si>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</si>
  <si>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</si>
  <si>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</si>
  <si>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</si>
  <si>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</si>
  <si>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</si>
  <si>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</si>
  <si>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</si>
  <si>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</si>
  <si>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</si>
  <si>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</si>
  <si>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</si>
  <si>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</si>
  <si>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</si>
  <si>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</si>
  <si>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</si>
  <si>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</si>
  <si>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</si>
  <si>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</si>
  <si>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</si>
  <si>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</si>
  <si>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</si>
  <si>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</si>
  <si>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</si>
  <si>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</si>
  <si>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</si>
  <si>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</si>
  <si>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</si>
  <si>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</si>
  <si>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</si>
  <si>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</si>
  <si>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</si>
  <si>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</si>
  <si>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</si>
  <si>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</si>
  <si>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</si>
  <si>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</si>
  <si>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</si>
  <si>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</si>
  <si>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</si>
  <si>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</si>
  <si>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</si>
  <si>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</si>
  <si>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</si>
  <si>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</si>
  <si>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</si>
  <si>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</si>
  <si>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</si>
  <si>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</si>
  <si>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</si>
  <si>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</si>
  <si>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</si>
  <si>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</si>
  <si>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</si>
  <si>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</si>
  <si>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</si>
  <si>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</si>
  <si>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</si>
  <si>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</si>
  <si>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</si>
  <si>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</si>
  <si>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</si>
  <si>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</si>
  <si>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</si>
  <si>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</si>
  <si>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</si>
  <si>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</si>
  <si>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</si>
  <si>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</si>
  <si>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</si>
  <si>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</si>
  <si>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</si>
  <si>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</si>
  <si>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</si>
  <si>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</si>
  <si>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</si>
  <si>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</si>
  <si>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</si>
  <si>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</si>
  <si>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</si>
  <si>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</si>
  <si>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</si>
  <si>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</si>
  <si>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</si>
  <si>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</si>
  <si>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</si>
  <si>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</si>
  <si>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</si>
  <si>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</si>
  <si>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</si>
  <si>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</si>
  <si>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</si>
  <si>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</si>
  <si>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</si>
  <si>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</si>
  <si>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</si>
  <si>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</si>
  <si>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</si>
  <si>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</si>
  <si>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</si>
  <si>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</si>
  <si>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</si>
  <si>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</si>
  <si>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</si>
  <si>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</si>
  <si>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</si>
  <si>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</si>
  <si>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</si>
  <si>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</si>
  <si>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</si>
  <si>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</si>
  <si>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</si>
  <si>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</si>
  <si>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</si>
  <si>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</si>
  <si>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</si>
  <si>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</si>
  <si>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</si>
  <si>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</si>
  <si>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</si>
  <si>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</si>
  <si>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</si>
  <si>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</si>
  <si>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</si>
  <si>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</si>
  <si>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</si>
  <si>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</si>
  <si>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</si>
  <si>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</si>
  <si>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</si>
  <si>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</si>
  <si>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</si>
  <si>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</si>
  <si>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</si>
  <si>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</si>
  <si>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</si>
  <si>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</si>
  <si>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</si>
  <si>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</si>
  <si>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</si>
  <si>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</si>
  <si>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</si>
  <si>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</si>
  <si>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</si>
  <si>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</si>
  <si>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</si>
  <si>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</si>
  <si>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</si>
  <si>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</si>
  <si>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</si>
  <si>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</si>
  <si>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</si>
  <si>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</si>
  <si>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</si>
  <si>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</si>
  <si>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</si>
  <si>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</si>
  <si>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</si>
  <si>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</si>
  <si>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</si>
  <si>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</si>
  <si>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</si>
  <si>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</si>
  <si>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</si>
  <si>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</si>
  <si>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</si>
  <si>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</si>
  <si>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</si>
  <si>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</si>
  <si>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</si>
  <si>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</si>
  <si>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</si>
  <si>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</si>
  <si>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</si>
  <si>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</si>
  <si>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</si>
  <si>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</si>
  <si>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</si>
  <si>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</si>
  <si>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</si>
  <si>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</si>
  <si>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</si>
  <si>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</si>
  <si>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</si>
  <si>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</si>
  <si>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</si>
  <si>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</si>
  <si>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</si>
  <si>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</si>
  <si>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</si>
  <si>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</si>
  <si>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</si>
  <si>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</si>
  <si>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</si>
  <si>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</si>
  <si>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</si>
  <si>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</si>
  <si>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</si>
  <si>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</si>
  <si>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</si>
  <si>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</si>
  <si>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</si>
  <si>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</si>
  <si>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</si>
  <si>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</si>
  <si>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</si>
  <si>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</si>
  <si>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</si>
  <si>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</si>
  <si>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</si>
  <si>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</si>
  <si>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</si>
  <si>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</si>
  <si>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</si>
  <si>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</si>
  <si>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</si>
  <si>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</si>
  <si>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</si>
  <si>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</si>
  <si>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</si>
  <si>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</si>
  <si>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</si>
  <si>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</si>
  <si>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</si>
  <si>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</si>
  <si>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</si>
  <si>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</si>
  <si>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</si>
  <si>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</si>
  <si>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</si>
  <si>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</si>
  <si>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</si>
  <si>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</si>
  <si>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</si>
  <si>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</si>
  <si>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</si>
  <si>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</si>
  <si>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</si>
  <si>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</si>
  <si>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</si>
  <si>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</si>
  <si>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</si>
  <si>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</si>
  <si>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</si>
  <si>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</si>
  <si>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</si>
  <si>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</si>
  <si>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</si>
  <si>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</si>
  <si>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</si>
  <si>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</si>
  <si>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</si>
  <si>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</si>
  <si>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</si>
  <si>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</si>
  <si>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</si>
  <si>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</si>
  <si>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</si>
  <si>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</si>
  <si>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</si>
  <si>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</si>
  <si>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</si>
  <si>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</si>
  <si>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</si>
  <si>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</si>
  <si>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</si>
  <si>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</si>
  <si>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</si>
  <si>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</si>
  <si>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</si>
  <si>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</si>
  <si>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</si>
  <si>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</si>
  <si>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</si>
  <si>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</si>
  <si>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</si>
  <si>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</si>
  <si>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</si>
  <si>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</si>
  <si>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</si>
  <si>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</si>
  <si>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</si>
  <si>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</si>
  <si>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</si>
  <si>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</si>
  <si>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</si>
  <si>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</si>
  <si>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</si>
  <si>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</si>
  <si>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</si>
  <si>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</si>
  <si>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</si>
  <si>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</si>
  <si>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</si>
  <si>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</si>
  <si>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</si>
  <si>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</si>
  <si>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</si>
  <si>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</si>
  <si>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</si>
  <si>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</si>
  <si>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</si>
  <si>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</si>
  <si>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</si>
  <si>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</si>
  <si>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</si>
  <si>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</si>
  <si>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</si>
  <si>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</si>
  <si>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</si>
  <si>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</si>
  <si>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</si>
  <si>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</si>
  <si>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</si>
  <si>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</si>
  <si>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</si>
  <si>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</si>
  <si>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</si>
  <si>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</si>
  <si>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</si>
  <si>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</si>
  <si>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</si>
  <si>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</si>
  <si>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</si>
  <si>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</si>
  <si>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</si>
  <si>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</si>
  <si>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</si>
  <si>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</si>
  <si>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</si>
  <si>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</si>
  <si>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</si>
  <si>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</si>
  <si>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</si>
  <si>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</si>
  <si>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</si>
  <si>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</si>
  <si>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</si>
  <si>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</si>
  <si>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</si>
  <si>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</si>
  <si>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</si>
  <si>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</si>
  <si>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</si>
  <si>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</si>
  <si>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</si>
  <si>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</si>
  <si>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</si>
  <si>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</si>
  <si>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</si>
  <si>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</si>
  <si>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</si>
  <si>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</si>
  <si>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</si>
  <si>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</si>
  <si>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</si>
  <si>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</si>
  <si>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</si>
  <si>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</si>
  <si>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</si>
  <si>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</si>
  <si>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</si>
  <si>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</si>
  <si>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</si>
  <si>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</si>
  <si>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</si>
  <si>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</si>
  <si>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</si>
  <si>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</si>
  <si>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</si>
  <si>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</si>
  <si>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</si>
  <si>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</si>
  <si>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</si>
  <si>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</si>
  <si>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</si>
  <si>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</si>
  <si>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</si>
  <si>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</si>
  <si>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</si>
  <si>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</si>
  <si>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</si>
  <si>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</si>
  <si>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</si>
  <si>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</si>
  <si>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</si>
  <si>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</si>
  <si>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</si>
  <si>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</si>
  <si>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</si>
  <si>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</si>
  <si>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</si>
  <si>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</si>
  <si>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</si>
  <si>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</si>
  <si>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</si>
  <si>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</si>
  <si>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</si>
  <si>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</si>
  <si>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</si>
  <si>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</si>
  <si>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</si>
  <si>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</si>
  <si>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</si>
  <si>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</si>
  <si>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</si>
  <si>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</si>
  <si>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</si>
  <si>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</si>
  <si>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</si>
  <si>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</si>
  <si>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</si>
  <si>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</si>
  <si>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</si>
  <si>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</si>
  <si>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</si>
  <si>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</si>
  <si>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</si>
  <si>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</si>
  <si>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</si>
  <si>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</si>
  <si>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</si>
  <si>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</si>
  <si>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</si>
  <si>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</si>
  <si>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</si>
  <si>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</si>
  <si>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</si>
  <si>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</si>
  <si>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</si>
  <si>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</si>
  <si>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</si>
  <si>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</si>
  <si>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</si>
  <si>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</si>
  <si>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</si>
  <si>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</si>
  <si>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</si>
  <si>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</si>
  <si>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</si>
  <si>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</si>
  <si>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</si>
  <si>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</si>
  <si>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</si>
  <si>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</si>
  <si>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</si>
  <si>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</si>
  <si>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</si>
  <si>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</si>
  <si>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</si>
  <si>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</si>
  <si>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</si>
  <si>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</si>
  <si>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</si>
  <si>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</si>
  <si>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</si>
  <si>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</si>
  <si>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</si>
  <si>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</si>
  <si>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</si>
  <si>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</si>
  <si>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</si>
  <si>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</si>
  <si>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</si>
  <si>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</si>
  <si>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</si>
  <si>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</si>
  <si>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</si>
  <si>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</si>
  <si>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</si>
  <si>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</si>
  <si>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</si>
  <si>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</si>
  <si>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</si>
  <si>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</si>
  <si>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</si>
  <si>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</si>
  <si>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</si>
  <si>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</si>
  <si>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</si>
  <si>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</si>
  <si>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</si>
  <si>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</si>
  <si>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</si>
  <si>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</si>
  <si>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</si>
  <si>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</si>
  <si>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</si>
  <si>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</si>
  <si>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</si>
  <si>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</si>
  <si>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</si>
  <si>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</si>
  <si>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</si>
  <si>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</si>
  <si>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</si>
  <si>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</si>
  <si>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</si>
  <si>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</si>
  <si>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</si>
  <si>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</si>
  <si>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</si>
  <si>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</si>
  <si>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</si>
  <si>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</si>
  <si>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</si>
  <si>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</si>
  <si>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</si>
  <si>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</si>
  <si>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</si>
  <si>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</si>
  <si>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</si>
  <si>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</si>
  <si>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</si>
  <si>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</si>
  <si>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</si>
  <si>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</si>
  <si>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</si>
  <si>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</si>
  <si>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</si>
  <si>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</si>
  <si>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</si>
  <si>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</si>
  <si>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</si>
  <si>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</si>
  <si>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</si>
  <si>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</si>
  <si>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</si>
  <si>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</si>
  <si>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</si>
  <si>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</si>
  <si>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</si>
  <si>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</si>
  <si>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</si>
  <si>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</si>
  <si>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</si>
  <si>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</si>
  <si>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</si>
  <si>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</si>
  <si>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</si>
  <si>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</si>
  <si>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</si>
  <si>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</si>
  <si>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</si>
  <si>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</si>
  <si>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</si>
  <si>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</si>
  <si>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</si>
  <si>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</si>
  <si>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</si>
  <si>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</si>
  <si>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</si>
  <si>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</si>
  <si>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</si>
  <si>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</si>
  <si>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</si>
  <si>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</si>
  <si>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</si>
  <si>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</si>
  <si>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</si>
  <si>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</si>
  <si>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</si>
  <si>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</si>
  <si>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</si>
  <si>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</si>
  <si>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</si>
  <si>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</si>
  <si>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</si>
  <si>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</si>
  <si>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</si>
  <si>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</si>
  <si>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</si>
  <si>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</si>
  <si>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</si>
  <si>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</si>
  <si>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</si>
  <si>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</si>
  <si>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</si>
  <si>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</si>
  <si>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</si>
  <si>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</si>
  <si>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</si>
  <si>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</si>
  <si>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</si>
  <si>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</si>
  <si>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</si>
  <si>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</si>
  <si>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</si>
  <si>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</si>
  <si>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</si>
  <si>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</si>
  <si>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</si>
  <si>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</si>
  <si>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</si>
  <si>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</si>
  <si>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</si>
  <si>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</si>
  <si>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</si>
  <si>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</si>
  <si>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</si>
  <si>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</si>
  <si>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</si>
  <si>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</si>
  <si>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</si>
  <si>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</si>
  <si>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</si>
  <si>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</si>
  <si>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</si>
  <si>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</si>
  <si>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</si>
  <si>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</si>
  <si>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</si>
  <si>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</si>
  <si>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</si>
  <si>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</si>
  <si>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</si>
  <si>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</si>
  <si>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</si>
  <si>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</si>
  <si>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</si>
  <si>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</si>
  <si>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</si>
  <si>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</si>
  <si>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</si>
  <si>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</si>
  <si>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</si>
  <si>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</si>
  <si>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</si>
  <si>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</si>
  <si>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</si>
  <si>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</si>
  <si>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</si>
  <si>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</si>
  <si>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</si>
  <si>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</si>
  <si>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</si>
  <si>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</si>
  <si>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</si>
  <si>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</si>
  <si>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</si>
  <si>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</si>
  <si>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</si>
  <si>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</si>
  <si>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</si>
  <si>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</si>
  <si>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</si>
  <si>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</si>
  <si>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</si>
  <si>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</si>
  <si>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</si>
  <si>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</si>
  <si>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</si>
  <si>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</si>
  <si>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</si>
  <si>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</si>
  <si>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</si>
  <si>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</si>
  <si>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</si>
  <si>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</si>
  <si>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</si>
  <si>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</si>
  <si>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</si>
  <si>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</si>
  <si>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</si>
  <si>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</si>
  <si>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</si>
  <si>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</si>
  <si>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</si>
  <si>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</si>
  <si>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</si>
  <si>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</si>
  <si>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</si>
  <si>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</si>
  <si>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</si>
  <si>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</si>
  <si>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</si>
  <si>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</si>
  <si>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</si>
  <si>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</si>
  <si>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</si>
  <si>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</si>
  <si>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</si>
  <si>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</si>
  <si>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</si>
  <si>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</si>
  <si>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</si>
  <si>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</si>
  <si>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</si>
  <si>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</si>
  <si>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</si>
  <si>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</si>
  <si>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</si>
  <si>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</si>
  <si>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</si>
  <si>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</si>
  <si>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</si>
  <si>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</si>
  <si>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</si>
  <si>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</si>
  <si>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</si>
  <si>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</si>
  <si>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</si>
  <si>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</si>
  <si>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</si>
  <si>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</si>
  <si>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</si>
  <si>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</si>
  <si>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</si>
  <si>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</si>
  <si>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</si>
  <si>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</si>
  <si>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</si>
  <si>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</si>
  <si>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</si>
  <si>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</si>
  <si>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</si>
  <si>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</si>
  <si>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</si>
  <si>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</si>
  <si>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</si>
  <si>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</si>
  <si>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</si>
  <si>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</si>
  <si>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</si>
  <si>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</si>
  <si>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</si>
  <si>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</si>
  <si>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</si>
  <si>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</si>
  <si>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</si>
  <si>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</si>
  <si>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</si>
  <si>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</si>
  <si>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</si>
  <si>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</si>
  <si>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</si>
  <si>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</si>
  <si>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</si>
  <si>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</si>
  <si>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</si>
  <si>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</si>
  <si>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</si>
  <si>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</si>
  <si>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</si>
  <si>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</si>
  <si>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</si>
  <si>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</si>
  <si>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</si>
  <si>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</si>
  <si>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</si>
  <si>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</si>
  <si>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</si>
  <si>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</si>
  <si>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</si>
  <si>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</si>
  <si>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</si>
  <si>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</si>
  <si>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</si>
  <si>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</si>
  <si>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</si>
  <si>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</si>
  <si>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</si>
  <si>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</si>
  <si>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</si>
  <si>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</si>
  <si>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</si>
  <si>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</si>
  <si>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</si>
  <si>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</si>
  <si>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</si>
  <si>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</si>
  <si>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</si>
  <si>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</si>
  <si>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</si>
  <si>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</si>
  <si>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</si>
  <si>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</si>
  <si>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</si>
  <si>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</si>
  <si>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</si>
  <si>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</si>
  <si>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</si>
  <si>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</si>
  <si>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</si>
  <si>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</si>
  <si>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</si>
  <si>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</si>
  <si>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</si>
  <si>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</si>
  <si>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</si>
  <si>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</si>
  <si>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</si>
  <si>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</si>
  <si>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</si>
  <si>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</si>
  <si>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</si>
  <si>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</si>
  <si>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</si>
  <si>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</si>
  <si>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</si>
  <si>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</si>
  <si>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</si>
  <si>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</si>
  <si>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</si>
  <si>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</si>
  <si>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</si>
  <si>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</si>
  <si>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</si>
  <si>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</si>
  <si>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</si>
  <si>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</si>
  <si>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</si>
  <si>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</si>
  <si>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</si>
  <si>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</si>
  <si>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</si>
  <si>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</si>
  <si>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</si>
  <si>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</si>
  <si>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</si>
  <si>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</si>
  <si>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</si>
  <si>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</si>
  <si>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</si>
  <si>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</si>
  <si>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</si>
  <si>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</si>
  <si>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</si>
  <si>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</si>
  <si>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</si>
  <si>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</si>
  <si>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</si>
  <si>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</si>
  <si>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</si>
  <si>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</si>
  <si>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</si>
  <si>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</si>
  <si>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</si>
  <si>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</si>
  <si>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</si>
  <si>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</si>
  <si>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</si>
  <si>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</si>
  <si>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</si>
  <si>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</si>
  <si>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</si>
  <si>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</si>
  <si>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</si>
  <si>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</si>
  <si>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</si>
  <si>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</si>
  <si>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</si>
  <si>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</si>
  <si>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</si>
  <si>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</si>
  <si>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</si>
  <si>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</si>
  <si>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</si>
  <si>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</si>
  <si>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</si>
  <si>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</si>
  <si>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</si>
  <si>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</si>
  <si>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</si>
  <si>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</si>
  <si>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</si>
  <si>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</si>
  <si>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</si>
  <si>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</si>
  <si>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</si>
  <si>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</si>
  <si>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</si>
  <si>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</si>
  <si>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</si>
  <si>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</si>
  <si>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</si>
  <si>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</si>
  <si>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</si>
  <si>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</si>
  <si>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</si>
  <si>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</si>
  <si>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</si>
  <si>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</si>
  <si>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</si>
  <si>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</si>
  <si>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</si>
  <si>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</si>
  <si>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</si>
  <si>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</si>
  <si>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</si>
  <si>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</si>
  <si>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</si>
  <si>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</si>
  <si>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</si>
  <si>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</si>
  <si>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</si>
  <si>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</si>
  <si>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</si>
  <si>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</si>
  <si>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</si>
  <si>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</si>
  <si>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</si>
  <si>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</si>
  <si>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</si>
  <si>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</si>
  <si>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</si>
  <si>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</si>
  <si>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</si>
  <si>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</si>
  <si>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</si>
  <si>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</si>
  <si>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</si>
  <si>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</si>
  <si>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</si>
  <si>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</si>
  <si>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</si>
  <si>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</si>
  <si>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</si>
  <si>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</si>
  <si>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</si>
  <si>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</si>
  <si>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</si>
  <si>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</si>
  <si>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</si>
  <si>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</si>
  <si>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</si>
  <si>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</si>
  <si>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</si>
  <si>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</si>
  <si>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</si>
  <si>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</si>
  <si>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</si>
  <si>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</si>
  <si>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</si>
  <si>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</si>
  <si>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</si>
  <si>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</si>
  <si>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</si>
  <si>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</si>
  <si>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</si>
  <si>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</si>
  <si>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</si>
  <si>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</si>
  <si>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</si>
  <si>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</si>
  <si>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</si>
  <si>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</si>
  <si>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</si>
  <si>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</si>
  <si>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</si>
  <si>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</si>
  <si>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</si>
  <si>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</si>
  <si>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</si>
  <si>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</si>
  <si>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</si>
  <si>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</si>
  <si>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</si>
  <si>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</si>
  <si>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</si>
  <si>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</si>
  <si>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</si>
  <si>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</si>
  <si>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</si>
  <si>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</si>
  <si>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</si>
  <si>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</si>
  <si>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</si>
  <si>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</si>
  <si>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</si>
  <si>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</si>
  <si>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</si>
  <si>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</si>
  <si>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</si>
  <si>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</si>
  <si>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</si>
  <si>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</si>
  <si>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</si>
  <si>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</si>
  <si>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</si>
  <si>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</si>
  <si>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</si>
  <si>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</si>
  <si>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</si>
  <si>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</si>
  <si>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</si>
  <si>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</si>
  <si>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</si>
  <si>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</si>
  <si>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</si>
  <si>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</si>
  <si>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</si>
  <si>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</si>
  <si>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</si>
  <si>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</si>
  <si>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</si>
  <si>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</si>
  <si>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</si>
  <si>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</si>
  <si>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</si>
  <si>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</si>
  <si>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</si>
  <si>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</si>
  <si>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</si>
  <si>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</si>
  <si>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</si>
  <si>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</si>
  <si>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</si>
  <si>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</si>
  <si>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</si>
  <si>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</si>
  <si>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</si>
  <si>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</si>
  <si>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</si>
  <si>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</si>
  <si>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</si>
  <si>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</si>
  <si>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</si>
  <si>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</si>
  <si>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</si>
  <si>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</si>
  <si>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</si>
  <si>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</si>
  <si>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</si>
  <si>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</si>
  <si>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</si>
  <si>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</si>
  <si>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</si>
  <si>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</si>
  <si>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</si>
  <si>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</si>
  <si>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</si>
  <si>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</si>
  <si>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</si>
  <si>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</si>
  <si>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</si>
  <si>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</si>
  <si>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</si>
  <si>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</si>
  <si>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</si>
  <si>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</si>
  <si>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</si>
  <si>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</si>
  <si>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</si>
  <si>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</si>
  <si>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</si>
  <si>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</si>
  <si>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</si>
  <si>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</si>
  <si>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</si>
  <si>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</si>
  <si>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</si>
  <si>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</si>
  <si>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</si>
  <si>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</si>
  <si>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</si>
  <si>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</si>
  <si>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</si>
  <si>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</si>
  <si>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</si>
  <si>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</si>
  <si>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</si>
  <si>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</si>
  <si>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</si>
  <si>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</si>
  <si>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</si>
  <si>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</si>
  <si>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</si>
  <si>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</si>
  <si>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</si>
  <si>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</si>
  <si>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</si>
  <si>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</si>
  <si>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</si>
  <si>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</si>
  <si>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</si>
  <si>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</si>
  <si>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</si>
  <si>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</si>
  <si>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</si>
  <si>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</si>
  <si>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</si>
  <si>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</si>
  <si>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</si>
  <si>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</si>
  <si>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</si>
  <si>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</si>
  <si>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</si>
  <si>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</si>
  <si>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</si>
  <si>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</si>
  <si>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</si>
  <si>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</si>
  <si>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</si>
  <si>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</si>
  <si>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</si>
  <si>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</si>
  <si>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</si>
  <si>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</si>
  <si>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</si>
  <si>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</si>
  <si>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</si>
  <si>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</si>
  <si>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</si>
  <si>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</si>
  <si>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</si>
  <si>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</si>
  <si>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</si>
  <si>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</si>
  <si>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</si>
  <si>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</si>
  <si>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</si>
  <si>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</si>
  <si>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</si>
  <si>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</si>
  <si>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</si>
  <si>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</si>
  <si>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</si>
  <si>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</si>
  <si>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</si>
  <si>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</si>
  <si>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</si>
  <si>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</si>
  <si>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</si>
  <si>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</si>
  <si>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</si>
  <si>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</si>
  <si>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</si>
  <si>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</si>
  <si>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</si>
  <si>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</si>
  <si>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</si>
  <si>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</si>
  <si>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</si>
  <si>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</si>
  <si>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</si>
  <si>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</si>
  <si>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</si>
  <si>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</si>
  <si>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</si>
  <si>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</si>
  <si>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</si>
  <si>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</si>
  <si>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</si>
  <si>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</si>
  <si>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</si>
  <si>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</si>
  <si>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</si>
  <si>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</si>
  <si>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</si>
  <si>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</si>
  <si>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</si>
  <si>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</si>
  <si>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</si>
  <si>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</si>
  <si>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</si>
  <si>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</si>
  <si>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</si>
  <si>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</si>
  <si>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</si>
  <si>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</si>
  <si>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</si>
  <si>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</si>
  <si>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</si>
  <si>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</si>
  <si>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</si>
  <si>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</si>
  <si>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</si>
  <si>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</si>
  <si>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</si>
  <si>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</si>
  <si>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</si>
  <si>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</si>
  <si>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</si>
  <si>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</si>
  <si>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</si>
  <si>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</si>
  <si>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</si>
  <si>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</si>
  <si>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</si>
  <si>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</si>
  <si>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</si>
  <si>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</si>
  <si>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</si>
  <si>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</si>
  <si>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</si>
  <si>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</si>
  <si>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</si>
  <si>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</si>
  <si>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</si>
  <si>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</si>
  <si>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</si>
  <si>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</si>
  <si>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</si>
  <si>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</si>
  <si>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</si>
  <si>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</si>
  <si>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</si>
  <si>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</si>
  <si>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</si>
  <si>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</si>
  <si>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</si>
  <si>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</si>
  <si>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</si>
  <si>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</si>
  <si>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</si>
  <si>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</si>
  <si>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</si>
  <si>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</si>
  <si>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</si>
  <si>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</si>
  <si>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</si>
  <si>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</si>
  <si>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</si>
  <si>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</si>
  <si>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</si>
  <si>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</si>
  <si>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</si>
  <si>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</si>
  <si>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</si>
  <si>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</si>
  <si>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</si>
  <si>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</si>
  <si>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</si>
  <si>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</si>
  <si>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</si>
  <si>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</si>
  <si>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</si>
  <si>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</si>
  <si>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</si>
  <si>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</si>
  <si>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</si>
  <si>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</si>
  <si>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</si>
  <si>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</si>
  <si>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</si>
  <si>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</si>
  <si>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</si>
  <si>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</si>
  <si>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</si>
  <si>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</si>
  <si>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</si>
  <si>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</si>
  <si>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</si>
  <si>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</si>
  <si>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</si>
  <si>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</si>
  <si>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</si>
  <si>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</si>
  <si>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</si>
  <si>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</si>
  <si>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</si>
  <si>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</si>
  <si>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</si>
  <si>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</si>
  <si>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</si>
  <si>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</si>
  <si>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</si>
  <si>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</si>
  <si>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</si>
  <si>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</si>
  <si>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</si>
  <si>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</si>
  <si>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</si>
  <si>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</si>
  <si>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</si>
  <si>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</si>
  <si>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</si>
  <si>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</si>
  <si>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</si>
  <si>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</si>
  <si>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</si>
  <si>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</si>
  <si>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</si>
  <si>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</si>
  <si>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</si>
  <si>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</si>
  <si>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</si>
  <si>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</si>
  <si>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</si>
  <si>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</si>
  <si>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</si>
  <si>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</si>
  <si>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</si>
  <si>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</si>
  <si>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</si>
  <si>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</si>
  <si>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</si>
  <si>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</si>
  <si>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</si>
  <si>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</si>
  <si>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</si>
  <si>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</si>
  <si>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</si>
  <si>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</si>
  <si>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</si>
  <si>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</si>
  <si>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</si>
  <si>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</si>
  <si>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</si>
  <si>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</si>
  <si>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</si>
  <si>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</si>
  <si>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</si>
  <si>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</si>
  <si>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</si>
  <si>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</si>
  <si>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</si>
  <si>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</si>
  <si>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</si>
  <si>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</si>
  <si>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</si>
  <si>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</si>
  <si>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</si>
  <si>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</si>
  <si>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</si>
  <si>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</si>
  <si>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</si>
  <si>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</si>
  <si>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</si>
  <si>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</si>
  <si>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</si>
  <si>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</si>
  <si>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</si>
  <si>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</si>
  <si>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</si>
  <si>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</si>
  <si>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</si>
  <si>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</si>
  <si>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</si>
  <si>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</si>
  <si>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</si>
  <si>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</si>
  <si>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</si>
  <si>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</si>
  <si>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</si>
  <si>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</si>
  <si>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</si>
  <si>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</si>
  <si>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</si>
  <si>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</si>
  <si>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</si>
  <si>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</si>
  <si>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</si>
  <si>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</si>
  <si>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</si>
  <si>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</si>
  <si>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</si>
  <si>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</si>
  <si>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</si>
  <si>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</si>
  <si>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</si>
  <si>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</si>
  <si>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</si>
  <si>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</si>
  <si>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</si>
  <si>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</si>
  <si>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</si>
  <si>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</si>
  <si>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</si>
  <si>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</si>
  <si>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</si>
  <si>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</si>
  <si>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</si>
  <si>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</si>
  <si>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</si>
  <si>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</si>
  <si>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</si>
  <si>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</si>
  <si>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</si>
  <si>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</si>
  <si>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</si>
  <si>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</si>
  <si>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</si>
  <si>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</si>
  <si>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</si>
  <si>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</si>
  <si>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</si>
  <si>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</si>
  <si>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</si>
  <si>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</si>
  <si>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</si>
  <si>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</si>
  <si>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</si>
  <si>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</si>
  <si>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</si>
  <si>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</si>
  <si>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</si>
  <si>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</si>
  <si>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</si>
  <si>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</si>
  <si>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</si>
  <si>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</si>
  <si>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</si>
  <si>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</si>
  <si>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</si>
  <si>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</si>
  <si>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</si>
  <si>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</si>
  <si>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</si>
  <si>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</si>
  <si>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</si>
  <si>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</si>
  <si>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</si>
  <si>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</si>
  <si>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</si>
  <si>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</si>
  <si>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</si>
  <si>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</si>
  <si>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</si>
  <si>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</si>
  <si>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</si>
  <si>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</si>
  <si>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</si>
  <si>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</si>
  <si>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</si>
  <si>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</si>
  <si>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</si>
  <si>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</si>
  <si>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</si>
  <si>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</si>
  <si>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</si>
  <si>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</si>
  <si>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</si>
  <si>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</si>
  <si>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</si>
  <si>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</si>
  <si>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</si>
  <si>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</si>
  <si>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</si>
  <si>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</si>
  <si>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</si>
  <si>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</si>
  <si>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</si>
  <si>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</si>
  <si>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</si>
  <si>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</si>
  <si>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</si>
  <si>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</si>
  <si>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</si>
  <si>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</si>
  <si>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</si>
  <si>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</si>
  <si>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</si>
  <si>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</si>
  <si>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</si>
  <si>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</si>
  <si>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</si>
  <si>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</si>
  <si>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</si>
  <si>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</si>
  <si>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</si>
  <si>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</si>
  <si>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</si>
  <si>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</si>
  <si>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</si>
  <si>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</si>
  <si>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</si>
  <si>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</si>
  <si>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</si>
  <si>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</si>
  <si>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</si>
  <si>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</si>
  <si>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</si>
  <si>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</si>
  <si>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</si>
  <si>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</si>
  <si>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</si>
  <si>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</si>
  <si>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</si>
  <si>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</si>
  <si>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</si>
  <si>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</si>
  <si>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</si>
  <si>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</si>
  <si>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</si>
  <si>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</si>
  <si>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</si>
  <si>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</si>
  <si>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</si>
  <si>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</si>
  <si>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</si>
  <si>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</si>
  <si>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</si>
  <si>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</si>
  <si>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</si>
  <si>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</si>
  <si>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</si>
  <si>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</si>
  <si>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</si>
  <si>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</si>
  <si>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</si>
  <si>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</si>
  <si>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</si>
  <si>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</si>
  <si>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</si>
  <si>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</si>
  <si>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</si>
  <si>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</si>
  <si>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</si>
  <si>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</si>
  <si>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</si>
  <si>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</si>
  <si>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</si>
  <si>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</si>
  <si>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</si>
  <si>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</si>
  <si>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</si>
  <si>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</si>
  <si>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</si>
  <si>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</si>
  <si>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</si>
  <si>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</si>
  <si>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</si>
  <si>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</si>
  <si>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</si>
  <si>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</si>
  <si>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</si>
  <si>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</si>
  <si>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</si>
  <si>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</si>
  <si>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</si>
  <si>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</si>
  <si>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</si>
  <si>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</si>
  <si>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</si>
  <si>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</si>
  <si>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</si>
  <si>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</si>
  <si>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</si>
  <si>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</si>
  <si>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</si>
  <si>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</si>
  <si>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</si>
  <si>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</si>
  <si>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</si>
  <si>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</si>
  <si>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</si>
  <si>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</si>
  <si>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</si>
  <si>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</si>
  <si>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</si>
  <si>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</si>
  <si>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</si>
  <si>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</si>
  <si>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</si>
  <si>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</si>
  <si>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</si>
  <si>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</si>
  <si>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</si>
  <si>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</si>
  <si>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</si>
  <si>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</si>
  <si>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</si>
  <si>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</si>
  <si>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</si>
  <si>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</si>
  <si>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</si>
  <si>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</si>
  <si>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</si>
  <si>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</si>
  <si>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</si>
  <si>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</si>
  <si>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</si>
  <si>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</si>
  <si>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</si>
  <si>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</si>
  <si>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</si>
  <si>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</si>
  <si>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</si>
  <si>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</si>
  <si>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</si>
  <si>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</si>
  <si>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</si>
  <si>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</si>
  <si>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</si>
  <si>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</si>
  <si>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</si>
  <si>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</si>
  <si>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</si>
  <si>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</si>
  <si>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</si>
  <si>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</si>
  <si>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</si>
  <si>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</si>
  <si>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</si>
  <si>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</si>
  <si>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</si>
  <si>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</si>
  <si>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</si>
  <si>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</si>
  <si>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</si>
  <si>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</si>
  <si>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</si>
  <si>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</si>
  <si>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</si>
  <si>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</si>
  <si>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</si>
  <si>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</si>
  <si>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</si>
  <si>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</si>
  <si>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</si>
  <si>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</si>
  <si>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</si>
  <si>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</si>
  <si>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</si>
  <si>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</si>
  <si>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</si>
  <si>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</si>
  <si>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</si>
  <si>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</si>
  <si>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</si>
  <si>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</si>
  <si>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</si>
  <si>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</si>
  <si>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</si>
  <si>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</si>
  <si>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</si>
  <si>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</si>
  <si>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</si>
  <si>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</si>
  <si>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</si>
  <si>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</si>
  <si>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</si>
  <si>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</si>
  <si>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</si>
  <si>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</si>
  <si>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</si>
  <si>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</si>
  <si>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</si>
  <si>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</si>
  <si>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</si>
  <si>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</si>
  <si>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</si>
  <si>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</si>
  <si>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</si>
  <si>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</si>
  <si>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</si>
  <si>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</si>
  <si>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</si>
  <si>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</si>
  <si>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</si>
  <si>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</si>
  <si>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</si>
  <si>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</si>
  <si>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</si>
  <si>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</si>
  <si>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</si>
  <si>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</si>
  <si>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</si>
  <si>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</si>
  <si>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</si>
  <si>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</si>
  <si>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</si>
  <si>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</si>
  <si>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</si>
  <si>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</si>
  <si>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</si>
  <si>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</si>
  <si>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</si>
  <si>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</si>
  <si>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</si>
  <si>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</si>
  <si>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</si>
  <si>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</si>
  <si>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</si>
  <si>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</si>
  <si>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</si>
  <si>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</si>
  <si>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</si>
  <si>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</si>
  <si>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</si>
  <si>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</si>
  <si>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</si>
  <si>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</si>
  <si>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</si>
  <si>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</si>
  <si>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</si>
  <si>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</si>
  <si>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</si>
  <si>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</si>
  <si>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</si>
  <si>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</si>
  <si>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</si>
  <si>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</si>
  <si>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</si>
  <si>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</si>
  <si>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</si>
  <si>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</si>
  <si>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</si>
  <si>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</si>
  <si>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</si>
  <si>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</si>
  <si>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</si>
  <si>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</si>
  <si>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</si>
  <si>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</si>
  <si>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</si>
  <si>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</si>
  <si>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</si>
  <si>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</si>
  <si>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</si>
  <si>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</si>
  <si>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</si>
  <si>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</si>
  <si>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</si>
  <si>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</si>
  <si>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</si>
  <si>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</si>
  <si>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</si>
  <si>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</si>
  <si>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</si>
  <si>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</si>
  <si>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</si>
  <si>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</si>
  <si>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</si>
  <si>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</si>
  <si>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</si>
  <si>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</si>
  <si>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</si>
  <si>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</si>
  <si>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</si>
  <si>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</si>
  <si>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</si>
  <si>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</si>
  <si>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</si>
  <si>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</si>
  <si>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</si>
  <si>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</si>
  <si>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</si>
  <si>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</si>
  <si>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</si>
  <si>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</si>
  <si>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</si>
  <si>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</si>
  <si>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</si>
  <si>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</si>
  <si>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</si>
  <si>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</si>
  <si>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</si>
  <si>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</si>
  <si>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</si>
  <si>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</si>
  <si>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</si>
  <si>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</si>
  <si>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</si>
  <si>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</si>
  <si>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</si>
  <si>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</si>
  <si>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</si>
  <si>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</si>
  <si>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</si>
  <si>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</si>
  <si>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</si>
  <si>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</si>
  <si>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</si>
  <si>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</si>
  <si>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</si>
  <si>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</si>
  <si>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</si>
  <si>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</si>
  <si>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</si>
  <si>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</si>
  <si>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</si>
  <si>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</si>
  <si>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</si>
  <si>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</si>
  <si>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</si>
  <si>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</si>
  <si>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</si>
  <si>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</si>
  <si>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</si>
  <si>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</si>
  <si>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</si>
  <si>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</si>
  <si>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</si>
  <si>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</si>
  <si>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</si>
  <si>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</si>
  <si>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</si>
  <si>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</si>
  <si>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</si>
  <si>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</si>
  <si>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</si>
  <si>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</si>
  <si>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</si>
  <si>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</si>
  <si>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</si>
  <si>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</si>
  <si>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</si>
  <si>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</si>
  <si>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</si>
  <si>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</si>
  <si>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</si>
  <si>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</si>
  <si>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</si>
  <si>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</si>
  <si>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</si>
  <si>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</si>
  <si>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</si>
  <si>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</si>
  <si>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</si>
  <si>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</si>
  <si>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</si>
  <si>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</si>
  <si>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</si>
  <si>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</si>
  <si>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</si>
  <si>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</si>
  <si>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</si>
  <si>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</si>
  <si>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</si>
  <si>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</si>
  <si>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</si>
  <si>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</si>
  <si>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</si>
  <si>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</si>
  <si>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</si>
  <si>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</si>
  <si>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</si>
  <si>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</si>
  <si>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</si>
  <si>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</si>
  <si>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</si>
  <si>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</si>
  <si>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</si>
  <si>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</si>
  <si>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</si>
  <si>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</si>
  <si>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</si>
  <si>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</si>
  <si>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</si>
  <si>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</si>
  <si>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</si>
  <si>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</si>
  <si>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</si>
  <si>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</si>
  <si>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</si>
  <si>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</si>
  <si>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</si>
  <si>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</si>
  <si>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</si>
  <si>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</si>
  <si>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</si>
  <si>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</si>
  <si>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</si>
  <si>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</si>
  <si>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</si>
  <si>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</si>
  <si>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</si>
  <si>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</si>
  <si>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</si>
  <si>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</si>
  <si>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</si>
  <si>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</si>
  <si>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</si>
  <si>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</si>
  <si>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</si>
  <si>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</si>
  <si>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</si>
  <si>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</si>
  <si>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</si>
  <si>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</si>
  <si>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</si>
  <si>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</si>
  <si>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</si>
  <si>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</si>
  <si>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</si>
  <si>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</si>
  <si>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</si>
  <si>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</si>
  <si>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</si>
  <si>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</si>
  <si>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</si>
  <si>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</si>
  <si>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</si>
  <si>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</si>
  <si>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</si>
  <si>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</si>
  <si>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</si>
  <si>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</si>
  <si>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</si>
  <si>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</si>
  <si>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</si>
  <si>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</si>
  <si>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</si>
  <si>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</si>
  <si>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</si>
  <si>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</si>
  <si>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</si>
  <si>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</si>
  <si>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</si>
  <si>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</si>
  <si>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</si>
  <si>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</si>
  <si>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</si>
  <si>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</si>
  <si>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</si>
  <si>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</si>
  <si>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</si>
  <si>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</si>
  <si>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</si>
  <si>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</si>
  <si>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</si>
  <si>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</si>
  <si>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</si>
  <si>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</si>
  <si>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</si>
  <si>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</si>
  <si>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</si>
  <si>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</si>
  <si>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</si>
  <si>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</si>
  <si>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</si>
  <si>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</si>
  <si>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</si>
  <si>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</si>
  <si>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</si>
  <si>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</si>
  <si>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</si>
  <si>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</si>
  <si>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</si>
  <si>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</si>
  <si>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</si>
  <si>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</si>
  <si>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</si>
  <si>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</si>
  <si>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</si>
  <si>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</si>
  <si>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</si>
  <si>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</si>
  <si>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</si>
  <si>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</si>
  <si>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</si>
  <si>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</si>
  <si>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</si>
  <si>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</si>
  <si>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</si>
  <si>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</si>
  <si>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</si>
  <si>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</si>
  <si>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</si>
  <si>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</si>
  <si>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</si>
  <si>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</si>
  <si>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</si>
  <si>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</si>
  <si>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</si>
  <si>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</si>
  <si>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</si>
  <si>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</si>
  <si>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</si>
  <si>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</si>
  <si>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</si>
  <si>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</si>
  <si>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</si>
  <si>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</si>
  <si>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</si>
  <si>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</si>
  <si>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</si>
  <si>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</si>
  <si>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</si>
  <si>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</si>
  <si>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</si>
  <si>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</si>
  <si>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</si>
  <si>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</si>
  <si>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</si>
  <si>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</si>
  <si>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</si>
  <si>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</si>
  <si>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</si>
  <si>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商业</t>
  </si>
  <si>
    <t>车库</t>
  </si>
  <si>
    <t>仓储</t>
  </si>
  <si>
    <t>否</t>
  </si>
  <si>
    <t>居住项目</t>
  </si>
  <si>
    <t>无</t>
  </si>
  <si>
    <t>场地平整</t>
  </si>
  <si>
    <t>平整</t>
  </si>
  <si>
    <t>住宅</t>
    <phoneticPr fontId="3" type="noConversion"/>
  </si>
  <si>
    <t>地上</t>
  </si>
  <si>
    <t>平层住宅</t>
  </si>
  <si>
    <t>北京市通州新城0203街区TZ00-0203-6009地块R2二类居住用地、TZ00-0203-6010地块A33基础教育用地</t>
  </si>
  <si>
    <t>北京市顺义区后沙峪镇顺义新城第19街区SY00-0019-0075地块R2二类居住用地</t>
  </si>
  <si>
    <t>北京经济技术开发区河西区X89R2地块R2二类居住用地国有建设用地</t>
  </si>
  <si>
    <t>通州区</t>
    <phoneticPr fontId="3" type="noConversion"/>
  </si>
  <si>
    <t>顺义区后沙峪镇</t>
  </si>
  <si>
    <t>北京经济技术开发区</t>
    <phoneticPr fontId="26" type="noConversion"/>
  </si>
  <si>
    <t>正常</t>
  </si>
  <si>
    <t>有</t>
  </si>
  <si>
    <t>均价52508</t>
  </si>
  <si>
    <t>一般</t>
  </si>
  <si>
    <t>较好</t>
  </si>
  <si>
    <t>七通</t>
  </si>
  <si>
    <t>较规则</t>
  </si>
  <si>
    <t>六通</t>
  </si>
  <si>
    <t>均价55711</t>
  </si>
  <si>
    <t>三通</t>
  </si>
  <si>
    <t>均价52695</t>
  </si>
  <si>
    <t>住宅、商业</t>
  </si>
  <si>
    <t>住宅、商业</t>
    <phoneticPr fontId="26" type="noConversion"/>
  </si>
  <si>
    <t>住宅</t>
    <phoneticPr fontId="26" type="noConversion"/>
  </si>
  <si>
    <t>无</t>
    <phoneticPr fontId="26" type="noConversion"/>
  </si>
  <si>
    <t>七通</t>
    <phoneticPr fontId="26" type="noConversion"/>
  </si>
  <si>
    <t>楼面地价</t>
  </si>
  <si>
    <t>地下仓储</t>
  </si>
  <si>
    <t>商业</t>
    <phoneticPr fontId="3" type="noConversion"/>
  </si>
  <si>
    <t>地下仓储</t>
    <phoneticPr fontId="3" type="noConversion"/>
  </si>
  <si>
    <t>地下车库</t>
    <phoneticPr fontId="3" type="noConversion"/>
  </si>
  <si>
    <t>底商</t>
  </si>
  <si>
    <t>地下</t>
  </si>
  <si>
    <t>戊类库房</t>
  </si>
  <si>
    <t>王鹏</t>
  </si>
  <si>
    <t>郑燚</t>
  </si>
  <si>
    <t>比较法-住宅、综合</t>
  </si>
  <si>
    <t>剩余法-待开发</t>
  </si>
  <si>
    <t>项目全部</t>
  </si>
  <si>
    <t>土地</t>
  </si>
  <si>
    <t>土地（套用方法）</t>
  </si>
  <si>
    <t>自定义</t>
  </si>
  <si>
    <t>按租金收入计税</t>
  </si>
  <si>
    <t>钢混</t>
  </si>
  <si>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</si>
  <si>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</si>
  <si>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</si>
  <si>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</si>
  <si>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</si>
  <si>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</si>
  <si>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无</t>
    <phoneticPr fontId="26" type="noConversion"/>
  </si>
  <si>
    <t>有</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</si>
  <si>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</si>
  <si>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phoneticPr fontId="26" type="noConversion"/>
  </si>
  <si>
    <t>次干道</t>
    <phoneticPr fontId="26" type="noConversion"/>
  </si>
  <si>
    <t>支路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</si>
  <si>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</si>
  <si>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</si>
  <si>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</si>
  <si>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</si>
  <si>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</si>
  <si>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合同约定</t>
    <phoneticPr fontId="228" type="noConversion"/>
  </si>
  <si>
    <t>住宅</t>
    <phoneticPr fontId="228" type="noConversion"/>
  </si>
  <si>
    <t>配套</t>
    <phoneticPr fontId="228" type="noConversion"/>
  </si>
  <si>
    <t>非配套</t>
    <phoneticPr fontId="228" type="noConversion"/>
  </si>
  <si>
    <t>地下车库</t>
    <phoneticPr fontId="228" type="noConversion"/>
  </si>
  <si>
    <t>地下设备</t>
    <phoneticPr fontId="228" type="noConversion"/>
  </si>
  <si>
    <t>经济技术指标表</t>
    <phoneticPr fontId="228" type="noConversion"/>
  </si>
  <si>
    <t>总</t>
    <phoneticPr fontId="228" type="noConversion"/>
  </si>
  <si>
    <t>商业地块</t>
    <phoneticPr fontId="228" type="noConversion"/>
  </si>
  <si>
    <t>住宅地块</t>
    <phoneticPr fontId="228" type="noConversion"/>
  </si>
  <si>
    <t>商业</t>
    <phoneticPr fontId="228" type="noConversion"/>
  </si>
  <si>
    <t>住宅</t>
    <phoneticPr fontId="228" type="noConversion"/>
  </si>
  <si>
    <t>其他</t>
    <phoneticPr fontId="228" type="noConversion"/>
  </si>
  <si>
    <t>地下仓储</t>
    <phoneticPr fontId="228" type="noConversion"/>
  </si>
  <si>
    <t>地下车库</t>
    <phoneticPr fontId="228" type="noConversion"/>
  </si>
  <si>
    <t>设备</t>
    <phoneticPr fontId="228" type="noConversion"/>
  </si>
  <si>
    <t>土地面积</t>
    <phoneticPr fontId="228" type="noConversion"/>
  </si>
  <si>
    <t>办公</t>
    <phoneticPr fontId="228" type="noConversion"/>
  </si>
  <si>
    <t>配套商业</t>
    <phoneticPr fontId="228" type="noConversion"/>
  </si>
  <si>
    <t>物业/社区管理用房</t>
    <phoneticPr fontId="228" type="noConversion"/>
  </si>
  <si>
    <t>地下商业</t>
    <phoneticPr fontId="228" type="noConversion"/>
  </si>
  <si>
    <t>地上合计</t>
    <phoneticPr fontId="228" type="noConversion"/>
  </si>
  <si>
    <t>合计</t>
    <phoneticPr fontId="228" type="noConversion"/>
  </si>
  <si>
    <t>地下合计</t>
    <phoneticPr fontId="228" type="noConversion"/>
  </si>
  <si>
    <t>地上合计</t>
    <phoneticPr fontId="228" type="noConversion"/>
  </si>
  <si>
    <t>差值</t>
    <phoneticPr fontId="228" type="noConversion"/>
  </si>
  <si>
    <t>60-70（含）</t>
  </si>
  <si>
    <t>50-60（含）</t>
  </si>
  <si>
    <t>住宅</t>
    <phoneticPr fontId="21" type="noConversion"/>
  </si>
  <si>
    <t>售价</t>
  </si>
  <si>
    <t>高层</t>
  </si>
  <si>
    <t>高档</t>
  </si>
  <si>
    <t>精装修</t>
  </si>
  <si>
    <t>专业</t>
  </si>
  <si>
    <t>通州万国城MOMA</t>
    <phoneticPr fontId="21" type="noConversion"/>
  </si>
  <si>
    <t>台湖银河湾</t>
    <phoneticPr fontId="3" type="noConversion"/>
  </si>
  <si>
    <t>北京东湾</t>
    <phoneticPr fontId="3" type="noConversion"/>
  </si>
  <si>
    <t>平层</t>
    <phoneticPr fontId="21" type="noConversion"/>
  </si>
  <si>
    <t>40-50（含）</t>
  </si>
  <si>
    <t>车库</t>
    <phoneticPr fontId="27" type="noConversion"/>
  </si>
  <si>
    <t>普通装修</t>
    <phoneticPr fontId="27" type="noConversion"/>
  </si>
  <si>
    <t>专业</t>
    <phoneticPr fontId="27" type="noConversion"/>
  </si>
  <si>
    <t>普通车位</t>
    <phoneticPr fontId="27" type="noConversion"/>
  </si>
  <si>
    <t>30-40（含）</t>
  </si>
  <si>
    <t>珠江东都国际</t>
    <phoneticPr fontId="3" type="noConversion"/>
  </si>
  <si>
    <t>普通</t>
  </si>
  <si>
    <t>地下车位</t>
  </si>
  <si>
    <t>合生滨江帝景</t>
    <phoneticPr fontId="3" type="noConversion"/>
  </si>
  <si>
    <t>富力金禧花园</t>
    <phoneticPr fontId="3" type="noConversion"/>
  </si>
  <si>
    <t>限价</t>
  </si>
  <si>
    <t>新增建筑面积补交出让金</t>
    <phoneticPr fontId="228" type="noConversion"/>
  </si>
  <si>
    <t>地上面积</t>
    <phoneticPr fontId="228" type="noConversion"/>
  </si>
  <si>
    <t>已注销</t>
  </si>
  <si>
    <t>抵押价格</t>
  </si>
  <si>
    <t>居住</t>
  </si>
  <si>
    <t>区片编号</t>
  </si>
  <si>
    <t>区片价格</t>
  </si>
  <si>
    <t>Ⅵ-生命科学园</t>
  </si>
  <si>
    <t>单价</t>
    <phoneticPr fontId="228" type="noConversion"/>
  </si>
  <si>
    <t>补缴金额</t>
    <phoneticPr fontId="228" type="noConversion"/>
  </si>
  <si>
    <t>税费</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</si>
</sst>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7.5"/>
      <color rgb="FF000000"/>
      <name val="微软雅黑"/>
      <family val="2"/>
      <charset val="134"/>
    </font>
    <font>
      <sz val="7.5"/>
      <color rgb="FF000000"/>
      <name val="微软雅黑"/>
      <family val="2"/>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7" fillId="0" borderId="0" applyFont="0" applyFill="0" applyBorder="0" applyAlignment="0" applyProtection="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275" fillId="0" borderId="66" xfId="0" applyFont="1" applyBorder="1" applyAlignment="1">
      <alignment horizontal="center" vertical="center"/>
    </xf>
    <xf numFmtId="0" fontId="276" fillId="0" borderId="66" xfId="0" applyFont="1" applyBorder="1" applyAlignment="1">
      <alignment horizontal="center" vertical="center" wrapText="1"/>
    </xf>
    <xf numFmtId="0" fontId="145" fillId="0" borderId="0" xfId="0" applyFont="1">
      <alignment vertical="center"/>
    </xf>
    <xf numFmtId="180" fontId="71" fillId="0" borderId="0" xfId="0" applyNumberFormat="1" applyFont="1" applyProtection="1">
      <alignment vertical="center"/>
      <protection locked="0"/>
    </xf>
    <xf numFmtId="0" fontId="145" fillId="0" borderId="0" xfId="0" applyFont="1" applyFill="1" applyBorder="1">
      <alignment vertical="center"/>
    </xf>
    <xf numFmtId="178" fontId="158" fillId="0" borderId="2" xfId="2" applyNumberFormat="1" applyFont="1" applyFill="1" applyBorder="1" applyAlignment="1" applyProtection="1">
      <alignment horizontal="center" vertical="center"/>
      <protection locked="0"/>
    </xf>
    <xf numFmtId="182" fontId="158" fillId="0" borderId="2" xfId="0" applyNumberFormat="1" applyFont="1" applyFill="1" applyBorder="1" applyAlignment="1" applyProtection="1">
      <alignment horizontal="center" vertical="center"/>
      <protection locked="0"/>
    </xf>
    <xf numFmtId="182" fontId="71" fillId="5" borderId="0" xfId="16" applyNumberFormat="1" applyFont="1" applyFill="1" applyAlignment="1" applyProtection="1">
      <alignment vertical="center"/>
      <protection locked="0"/>
    </xf>
    <xf numFmtId="9" fontId="76" fillId="5" borderId="0" xfId="16" applyFont="1" applyFill="1" applyAlignment="1" applyProtection="1">
      <alignment vertical="center"/>
      <protection locked="0"/>
    </xf>
    <xf numFmtId="9" fontId="158" fillId="0" borderId="5" xfId="0" applyNumberFormat="1" applyFont="1" applyFill="1" applyBorder="1" applyAlignment="1" applyProtection="1">
      <alignment horizontal="center" vertical="center"/>
      <protection locked="0"/>
    </xf>
    <xf numFmtId="0" fontId="204" fillId="3" borderId="30" xfId="0" applyNumberFormat="1" applyFont="1" applyFill="1" applyBorder="1" applyAlignment="1" applyProtection="1">
      <alignment vertical="center" wrapText="1"/>
      <protection locked="0"/>
    </xf>
    <xf numFmtId="14" fontId="78" fillId="17" borderId="10" xfId="0" applyNumberFormat="1" applyFont="1" applyFill="1" applyBorder="1" applyAlignment="1" applyProtection="1">
      <alignment horizontal="lef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36" xfId="0" applyFont="1" applyBorder="1" applyAlignment="1">
      <alignment horizontal="center" vertical="center"/>
    </xf>
    <xf numFmtId="0" fontId="275"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4"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8</xdr:col>
      <xdr:colOff>180168</xdr:colOff>
      <xdr:row>42</xdr:row>
      <xdr:rowOff>9101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6457143"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8</xdr:col>
      <xdr:colOff>85029</xdr:colOff>
      <xdr:row>19</xdr:row>
      <xdr:rowOff>85643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6050"/>
          <a:ext cx="5571429" cy="657143"/>
        </a:xfrm>
        <a:prstGeom prst="rect">
          <a:avLst/>
        </a:prstGeom>
      </xdr:spPr>
    </xdr:pic>
    <xdr:clientData/>
  </xdr:twoCellAnchor>
  <xdr:twoCellAnchor editAs="oneCell">
    <xdr:from>
      <xdr:col>0</xdr:col>
      <xdr:colOff>0</xdr:colOff>
      <xdr:row>19</xdr:row>
      <xdr:rowOff>66675</xdr:rowOff>
    </xdr:from>
    <xdr:to>
      <xdr:col>9</xdr:col>
      <xdr:colOff>303991</xdr:colOff>
      <xdr:row>29</xdr:row>
      <xdr:rowOff>47413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324225"/>
          <a:ext cx="6476191" cy="1695238"/>
        </a:xfrm>
        <a:prstGeom prst="rect">
          <a:avLst/>
        </a:prstGeom>
      </xdr:spPr>
    </xdr:pic>
    <xdr:clientData/>
  </xdr:twoCellAnchor>
  <xdr:twoCellAnchor editAs="oneCell">
    <xdr:from>
      <xdr:col>0</xdr:col>
      <xdr:colOff>0</xdr:colOff>
      <xdr:row>28</xdr:row>
      <xdr:rowOff>161925</xdr:rowOff>
    </xdr:from>
    <xdr:to>
      <xdr:col>4</xdr:col>
      <xdr:colOff>180610</xdr:colOff>
      <xdr:row>33</xdr:row>
      <xdr:rowOff>57056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62525"/>
          <a:ext cx="2923810" cy="752381"/>
        </a:xfrm>
        <a:prstGeom prst="rect">
          <a:avLst/>
        </a:prstGeom>
      </xdr:spPr>
    </xdr:pic>
    <xdr:clientData/>
  </xdr:twoCellAnchor>
  <xdr:twoCellAnchor editAs="oneCell">
    <xdr:from>
      <xdr:col>0</xdr:col>
      <xdr:colOff>0</xdr:colOff>
      <xdr:row>33</xdr:row>
      <xdr:rowOff>47625</xdr:rowOff>
    </xdr:from>
    <xdr:to>
      <xdr:col>9</xdr:col>
      <xdr:colOff>446848</xdr:colOff>
      <xdr:row>45</xdr:row>
      <xdr:rowOff>9273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705475"/>
          <a:ext cx="6619048" cy="2019048"/>
        </a:xfrm>
        <a:prstGeom prst="rect">
          <a:avLst/>
        </a:prstGeom>
      </xdr:spPr>
    </xdr:pic>
    <xdr:clientData/>
  </xdr:twoCellAnchor>
  <xdr:twoCellAnchor editAs="oneCell">
    <xdr:from>
      <xdr:col>0</xdr:col>
      <xdr:colOff>0</xdr:colOff>
      <xdr:row>0</xdr:row>
      <xdr:rowOff>0</xdr:rowOff>
    </xdr:from>
    <xdr:to>
      <xdr:col>12</xdr:col>
      <xdr:colOff>475163</xdr:colOff>
      <xdr:row>7</xdr:row>
      <xdr:rowOff>104612</xdr:rowOff>
    </xdr:to>
    <xdr:pic>
      <xdr:nvPicPr>
        <xdr:cNvPr id="5" name="图片 4"/>
        <xdr:cNvPicPr>
          <a:picLocks noChangeAspect="1"/>
        </xdr:cNvPicPr>
      </xdr:nvPicPr>
      <xdr:blipFill>
        <a:blip xmlns:r="http://schemas.openxmlformats.org/officeDocument/2006/relationships" r:embed="rId5"/>
        <a:stretch>
          <a:fillRect/>
        </a:stretch>
      </xdr:blipFill>
      <xdr:spPr>
        <a:xfrm>
          <a:off x="0" y="0"/>
          <a:ext cx="8704763" cy="1304762"/>
        </a:xfrm>
        <a:prstGeom prst="rect">
          <a:avLst/>
        </a:prstGeom>
      </xdr:spPr>
    </xdr:pic>
    <xdr:clientData/>
  </xdr:twoCellAnchor>
  <xdr:twoCellAnchor editAs="oneCell">
    <xdr:from>
      <xdr:col>0</xdr:col>
      <xdr:colOff>38100</xdr:colOff>
      <xdr:row>7</xdr:row>
      <xdr:rowOff>76200</xdr:rowOff>
    </xdr:from>
    <xdr:to>
      <xdr:col>13</xdr:col>
      <xdr:colOff>579844</xdr:colOff>
      <xdr:row>15</xdr:row>
      <xdr:rowOff>123648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 y="1276350"/>
          <a:ext cx="9457144"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14</xdr:col>
      <xdr:colOff>36896</xdr:colOff>
      <xdr:row>13</xdr:row>
      <xdr:rowOff>76069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257300"/>
          <a:ext cx="9638096" cy="1047619"/>
        </a:xfrm>
        <a:prstGeom prst="rect">
          <a:avLst/>
        </a:prstGeom>
      </xdr:spPr>
    </xdr:pic>
    <xdr:clientData/>
  </xdr:twoCellAnchor>
  <xdr:twoCellAnchor editAs="oneCell">
    <xdr:from>
      <xdr:col>0</xdr:col>
      <xdr:colOff>0</xdr:colOff>
      <xdr:row>0</xdr:row>
      <xdr:rowOff>0</xdr:rowOff>
    </xdr:from>
    <xdr:to>
      <xdr:col>11</xdr:col>
      <xdr:colOff>132391</xdr:colOff>
      <xdr:row>7</xdr:row>
      <xdr:rowOff>47469</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0"/>
          <a:ext cx="7676191" cy="1247619"/>
        </a:xfrm>
        <a:prstGeom prst="rect">
          <a:avLst/>
        </a:prstGeom>
      </xdr:spPr>
    </xdr:pic>
    <xdr:clientData/>
  </xdr:twoCellAnchor>
  <xdr:twoCellAnchor editAs="oneCell">
    <xdr:from>
      <xdr:col>0</xdr:col>
      <xdr:colOff>0</xdr:colOff>
      <xdr:row>14</xdr:row>
      <xdr:rowOff>0</xdr:rowOff>
    </xdr:from>
    <xdr:to>
      <xdr:col>9</xdr:col>
      <xdr:colOff>437324</xdr:colOff>
      <xdr:row>27</xdr:row>
      <xdr:rowOff>85436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400300"/>
          <a:ext cx="6609524" cy="2314286"/>
        </a:xfrm>
        <a:prstGeom prst="rect">
          <a:avLst/>
        </a:prstGeom>
      </xdr:spPr>
    </xdr:pic>
    <xdr:clientData/>
  </xdr:twoCellAnchor>
  <xdr:twoCellAnchor editAs="oneCell">
    <xdr:from>
      <xdr:col>0</xdr:col>
      <xdr:colOff>0</xdr:colOff>
      <xdr:row>28</xdr:row>
      <xdr:rowOff>0</xdr:rowOff>
    </xdr:from>
    <xdr:to>
      <xdr:col>14</xdr:col>
      <xdr:colOff>74991</xdr:colOff>
      <xdr:row>31</xdr:row>
      <xdr:rowOff>85650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9676191" cy="600000"/>
        </a:xfrm>
        <a:prstGeom prst="rect">
          <a:avLst/>
        </a:prstGeom>
      </xdr:spPr>
    </xdr:pic>
    <xdr:clientData/>
  </xdr:twoCellAnchor>
  <xdr:twoCellAnchor editAs="oneCell">
    <xdr:from>
      <xdr:col>0</xdr:col>
      <xdr:colOff>0</xdr:colOff>
      <xdr:row>32</xdr:row>
      <xdr:rowOff>0</xdr:rowOff>
    </xdr:from>
    <xdr:to>
      <xdr:col>4</xdr:col>
      <xdr:colOff>609181</xdr:colOff>
      <xdr:row>44</xdr:row>
      <xdr:rowOff>37838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5486400"/>
          <a:ext cx="3352381" cy="2095238"/>
        </a:xfrm>
        <a:prstGeom prst="rect">
          <a:avLst/>
        </a:prstGeom>
      </xdr:spPr>
    </xdr:pic>
    <xdr:clientData/>
  </xdr:twoCellAnchor>
  <xdr:twoCellAnchor editAs="oneCell">
    <xdr:from>
      <xdr:col>0</xdr:col>
      <xdr:colOff>0</xdr:colOff>
      <xdr:row>45</xdr:row>
      <xdr:rowOff>0</xdr:rowOff>
    </xdr:from>
    <xdr:to>
      <xdr:col>14</xdr:col>
      <xdr:colOff>141658</xdr:colOff>
      <xdr:row>52</xdr:row>
      <xdr:rowOff>56993</xdr:rowOff>
    </xdr:to>
    <xdr:pic>
      <xdr:nvPicPr>
        <xdr:cNvPr id="5" name="图片 4"/>
        <xdr:cNvPicPr>
          <a:picLocks noChangeAspect="1"/>
        </xdr:cNvPicPr>
      </xdr:nvPicPr>
      <xdr:blipFill>
        <a:blip xmlns:r="http://schemas.openxmlformats.org/officeDocument/2006/relationships" r:embed="rId6"/>
        <a:stretch>
          <a:fillRect/>
        </a:stretch>
      </xdr:blipFill>
      <xdr:spPr>
        <a:xfrm>
          <a:off x="0" y="7715250"/>
          <a:ext cx="974285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019-1-0748&#21271;&#20140;&#24066;&#36890;&#24030;&#21306;&#26792;&#22253;&#38215;&#32736;&#26223;&#21335;&#37324;&#19996;&#21306;&#21830;&#19994;&#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748-P01DYGJ3-&#21271;&#20140;&#24066;&#36890;&#24030;&#21306;&#26792;&#22253;&#38215;&#32736;&#26223;&#21335;&#37324;&#19996;&#21306;-&#21830;&#19994;-&#25913;&#26102;&#2885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23129.46</v>
          </cell>
        </row>
      </sheetData>
      <sheetData sheetId="13"/>
      <sheetData sheetId="14"/>
      <sheetData sheetId="15">
        <row r="14">
          <cell r="B14">
            <v>32706.320000000003</v>
          </cell>
          <cell r="C14">
            <v>6759.97</v>
          </cell>
        </row>
      </sheetData>
      <sheetData sheetId="16"/>
      <sheetData sheetId="17">
        <row r="59">
          <cell r="B59">
            <v>2712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36113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2653</v>
      </c>
      <c r="B1" s="2843" t="s">
        <v>2750</v>
      </c>
    </row>
    <row r="2" spans="1:55" s="2847" customFormat="1" ht="16.2" thickTop="1">
      <c r="A2" s="2845" t="s">
        <v>2657</v>
      </c>
      <c r="B2" s="2846" t="str">
        <f>'预评函-封皮'!B37</f>
        <v>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王鹏、郑燚</v>
      </c>
      <c r="N4" s="2831" t="str">
        <f>'预评函-1'!A28</f>
        <v/>
      </c>
    </row>
    <row r="5" spans="1:55" s="2844" customFormat="1" ht="16.2" thickBot="1">
      <c r="A5" s="2851" t="s">
        <v>2660</v>
      </c>
      <c r="B5" s="2852" t="str">
        <f>'预评函-封皮'!B49</f>
        <v>康正预评字号</v>
      </c>
    </row>
    <row r="6" spans="1:55" s="2853" customFormat="1" ht="16.2" thickTop="1">
      <c r="A6" s="2845" t="s">
        <v>2702</v>
      </c>
      <c r="B6" s="2846" t="str">
        <f>'预评函-1'!A4</f>
        <v>受贵公司委托，我公司对出让国有建设用地使用权抵押价格进行了预评估。</v>
      </c>
      <c r="AM6" s="2854"/>
    </row>
    <row r="7" spans="1:55" s="2828" customFormat="1">
      <c r="A7" s="2829" t="s">
        <v>2654</v>
      </c>
      <c r="B7" s="2830" t="str">
        <f>'预评函-1'!A6</f>
        <v>估价对象为使用的、位于出让国有建设用地使用权。根据《国有土地使用证》[]，估价对象（分摊）出让国有建设用地使用权面积为34964.49平方米。根据《建设工程规划许可证》[]、《出让合同》[]，估价对象规划建筑面积为109310.18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2020年1月2日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根据《国有土地使用证》[]，估价对象（分摊）出让国有建设用地使用权面积为34964.49平方米。根据《建设工程规划许可证》[]、《出让合同》[]，估价对象规划建筑面积为109310.18平方米。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19" spans="1:48" s="2828" customFormat="1">
      <c r="A19" s="2829" t="s">
        <v>2669</v>
      </c>
      <c r="B19" s="2830"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2671</v>
      </c>
      <c r="B21" s="2852" t="str">
        <f>'预评函-1'!A28</f>
        <v/>
      </c>
    </row>
    <row r="22" spans="1:48" ht="16.2"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估价期日：2020年1月2日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红线外七通、宗地红线内场地平整</v>
      </c>
    </row>
    <row r="39" spans="1:2">
      <c r="A39" s="2829" t="s">
        <v>2716</v>
      </c>
      <c r="B39" s="2830" t="str">
        <f>'预评函-2'!L5</f>
        <v>红线外七通、宗地红线内场地平整</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34964.49</v>
      </c>
    </row>
    <row r="44" spans="1:2">
      <c r="A44" s="2829" t="s">
        <v>2737</v>
      </c>
      <c r="B44" s="2830" t="str">
        <f>'预评函-2'!O3</f>
        <v>规划建筑面积/㎡</v>
      </c>
    </row>
    <row r="45" spans="1:2">
      <c r="A45" s="2829" t="s">
        <v>2719</v>
      </c>
      <c r="B45" s="2830">
        <f>'预评函-2'!O5</f>
        <v>109310.18</v>
      </c>
    </row>
    <row r="46" spans="1:2">
      <c r="A46" s="2829" t="s">
        <v>2720</v>
      </c>
      <c r="B46" s="2830">
        <f ca="1">'预评函-2'!P5</f>
        <v>73205</v>
      </c>
    </row>
    <row r="47" spans="1:2">
      <c r="A47" s="2829" t="s">
        <v>2721</v>
      </c>
      <c r="B47" s="2830">
        <f ca="1">'预评函-2'!Q5</f>
        <v>23416</v>
      </c>
    </row>
    <row r="48" spans="1:2">
      <c r="A48" s="2829" t="s">
        <v>2722</v>
      </c>
      <c r="B48" s="2830">
        <f ca="1">'预评函-2'!R5</f>
        <v>255958</v>
      </c>
    </row>
    <row r="49" spans="1:2">
      <c r="A49" s="2829" t="s">
        <v>2738</v>
      </c>
      <c r="B49" s="2830" t="str">
        <f>'预评函-2'!A6</f>
        <v>抵押价格</v>
      </c>
    </row>
    <row r="50" spans="1:2">
      <c r="A50" s="2829" t="s">
        <v>2723</v>
      </c>
      <c r="B50" s="2830" t="str">
        <f>'预评函-2'!R6</f>
        <v>——</v>
      </c>
    </row>
    <row r="51" spans="1:2">
      <c r="A51" s="2829" t="s">
        <v>2739</v>
      </c>
      <c r="B51" s="2830" t="str">
        <f>'预评函-2'!A7</f>
        <v>——</v>
      </c>
    </row>
    <row r="52" spans="1:2">
      <c r="A52" s="2829" t="s">
        <v>2724</v>
      </c>
      <c r="B52" s="2830">
        <f ca="1">'预评函-2'!R7</f>
        <v>253933</v>
      </c>
    </row>
    <row r="53" spans="1:2">
      <c r="A53" s="2829" t="s">
        <v>2740</v>
      </c>
      <c r="B53" s="2830" t="str">
        <f>'预评函-2'!A8</f>
        <v>——</v>
      </c>
    </row>
    <row r="54" spans="1:2" s="2844" customFormat="1" ht="16.2" thickBot="1">
      <c r="A54" s="2851" t="s">
        <v>2725</v>
      </c>
      <c r="B54" s="2852" t="str">
        <f>'预评函-2'!R8</f>
        <v>——</v>
      </c>
    </row>
    <row r="55" spans="1:2" ht="16.2" thickTop="1">
      <c r="A55" s="2840" t="s">
        <v>2675</v>
      </c>
      <c r="B55" s="2841" t="str">
        <f>'预评函-3'!A2</f>
        <v>1.权利限制：根据估价对象《不动产权证书》复印件、，截至估价期日，估价对象已设定抵押。未设定租赁等其他他项权利。</v>
      </c>
    </row>
    <row r="56" spans="1:2">
      <c r="A56" s="2829" t="s">
        <v>2676</v>
      </c>
      <c r="B56" s="2830" t="str">
        <f>'预评函-3'!A3</f>
        <v>2.基础设施条件：估价对象实际开发程度为红线外七通、宗地红线内场地平整；本次评估设定开发程度为红线外七通、宗地红线内场地平整。</v>
      </c>
    </row>
    <row r="57" spans="1:2">
      <c r="A57" s="2829" t="s">
        <v>2677</v>
      </c>
      <c r="B57" s="2830" t="str">
        <f>'预评函-3'!A4</f>
        <v>3.估价规划限制条件：详见《建设工程规划许可证》[]、《出让合同》[]。</v>
      </c>
    </row>
    <row r="58" spans="1:2" s="2844" customFormat="1" ht="16.2" thickBot="1">
      <c r="A58" s="2851" t="s">
        <v>2726</v>
      </c>
      <c r="B58" s="2852" t="str">
        <f>'预评函-3'!A5</f>
        <v>4.影响价格的其他限定条件：无。</v>
      </c>
    </row>
    <row r="59" spans="1:2" ht="16.2"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综上，本次评估估价师知悉的法定优先受偿款为人民币2025万元整。</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2689</v>
      </c>
      <c r="B68" s="2855">
        <f>'预评函-3'!D30</f>
        <v>42558</v>
      </c>
    </row>
    <row r="69" spans="1:2" ht="16.2" thickTop="1">
      <c r="A69" s="2840" t="s">
        <v>2687</v>
      </c>
      <c r="B69" s="2841" t="str">
        <f>'预评函-3'!A20</f>
        <v>王鹏</v>
      </c>
    </row>
    <row r="70" spans="1:2">
      <c r="A70" s="2829" t="s">
        <v>2687</v>
      </c>
      <c r="B70" s="2836">
        <f ca="1">'预评函-3'!B20</f>
        <v>2002110030</v>
      </c>
    </row>
    <row r="71" spans="1:2">
      <c r="A71" s="2829" t="s">
        <v>2688</v>
      </c>
      <c r="B71" s="2830" t="str">
        <f>'预评函-3'!A21</f>
        <v>郑燚</v>
      </c>
    </row>
    <row r="72" spans="1:2" s="2844" customFormat="1" ht="16.2" thickBot="1">
      <c r="A72" s="2851" t="s">
        <v>2688</v>
      </c>
      <c r="B72" s="2857">
        <f ca="1">'预评函-3'!B21</f>
        <v>2014110011</v>
      </c>
    </row>
    <row r="73" spans="1:2" ht="16.2"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5.6"/>
  <cols>
    <col min="1" max="1" width="15.33203125" style="1671" customWidth="1"/>
    <col min="2" max="2" width="14.77734375" style="1671" customWidth="1"/>
    <col min="3" max="3" width="12.6640625" style="1671" customWidth="1"/>
    <col min="4" max="4" width="17.6640625"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1936</v>
      </c>
      <c r="B1" s="3254" t="str">
        <f>IF(B10="北京市","北京市",C10)&amp;F10&amp;B16&amp;"国有建设用地使用权"&amp;B9&amp;"预评估"</f>
        <v>出让国有建设用地使用权抵押价格预评估</v>
      </c>
      <c r="C1" s="3255"/>
      <c r="D1" s="3255"/>
      <c r="E1" s="3255"/>
      <c r="F1" s="3255"/>
      <c r="G1" s="3255"/>
      <c r="H1" s="3255"/>
      <c r="I1" s="3256"/>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43817</v>
      </c>
      <c r="C3" s="1643" t="s">
        <v>1992</v>
      </c>
      <c r="D3" s="3210">
        <v>43832</v>
      </c>
      <c r="E3" s="1674"/>
      <c r="F3" s="1674"/>
      <c r="G3" s="1674"/>
      <c r="H3" s="1640"/>
      <c r="I3" s="1675"/>
      <c r="J3" s="1674"/>
      <c r="K3" s="1754"/>
      <c r="L3" s="1703"/>
      <c r="M3" s="1703"/>
      <c r="N3" s="1674"/>
      <c r="O3" s="1675"/>
      <c r="P3" s="1674"/>
      <c r="Q3" s="1674"/>
      <c r="R3" s="1674"/>
      <c r="S3" s="1674"/>
      <c r="T3" s="1674"/>
      <c r="U3" s="1674"/>
    </row>
    <row r="4" spans="1:21" ht="16.2" thickBot="1">
      <c r="A4" s="1644" t="s">
        <v>1939</v>
      </c>
      <c r="B4" s="1823" t="s">
        <v>3029</v>
      </c>
      <c r="C4" s="1826">
        <f ca="1">SUMIF(土地估价师,B4,估价师及机构信息!E3:E24)</f>
        <v>2002110030</v>
      </c>
      <c r="D4" s="1823" t="s">
        <v>3030</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6.2"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2703</v>
      </c>
      <c r="B6" s="1769"/>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60" t="s">
        <v>1943</v>
      </c>
      <c r="E8" s="1824" t="s">
        <v>3108</v>
      </c>
      <c r="F8" s="1652"/>
      <c r="G8" s="1640"/>
      <c r="H8" s="1640"/>
      <c r="I8" s="1687"/>
      <c r="J8" s="1674"/>
      <c r="K8" s="1754"/>
      <c r="L8" s="1703"/>
      <c r="M8" s="1703"/>
      <c r="N8" s="1674"/>
      <c r="O8" s="1675"/>
      <c r="P8" s="1674"/>
      <c r="Q8" s="1674"/>
      <c r="R8" s="1674"/>
      <c r="S8" s="1674"/>
      <c r="T8" s="1674"/>
      <c r="U8" s="1674"/>
    </row>
    <row r="9" spans="1:21" ht="16.2" thickBot="1">
      <c r="A9" s="1653" t="s">
        <v>1942</v>
      </c>
      <c r="B9" s="1654" t="s">
        <v>3109</v>
      </c>
      <c r="C9" s="1655"/>
      <c r="D9" s="3261"/>
      <c r="E9" s="1654" t="s">
        <v>951</v>
      </c>
      <c r="F9" s="1727"/>
      <c r="G9" s="1722"/>
      <c r="H9" s="1722"/>
      <c r="I9" s="1723"/>
      <c r="J9" s="1674"/>
      <c r="K9" s="1754"/>
      <c r="L9" s="1703"/>
      <c r="M9" s="1703"/>
      <c r="N9" s="1674"/>
      <c r="O9" s="1675"/>
      <c r="P9" s="1674"/>
      <c r="Q9" s="1674"/>
      <c r="R9" s="1674"/>
      <c r="S9" s="1674"/>
      <c r="T9" s="1674"/>
      <c r="U9" s="1674"/>
    </row>
    <row r="10" spans="1:21" ht="16.2" thickTop="1">
      <c r="A10" s="1724" t="s">
        <v>1996</v>
      </c>
      <c r="B10" s="1699"/>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57"/>
      <c r="C12" s="3258"/>
      <c r="D12" s="3259"/>
      <c r="E12" s="1679" t="s">
        <v>2058</v>
      </c>
      <c r="F12" s="3275" t="s">
        <v>2886</v>
      </c>
      <c r="G12" s="3276"/>
      <c r="H12" s="3276"/>
      <c r="I12" s="3277"/>
      <c r="J12" s="1674"/>
      <c r="K12" s="1754"/>
      <c r="L12" s="1703"/>
      <c r="M12" s="1703"/>
      <c r="N12" s="1674"/>
      <c r="O12" s="1675"/>
      <c r="P12" s="1674"/>
      <c r="Q12" s="1674"/>
      <c r="R12" s="1674"/>
      <c r="S12" s="1674"/>
      <c r="T12" s="1674"/>
      <c r="U12" s="1674"/>
    </row>
    <row r="13" spans="1:21">
      <c r="A13" s="1667" t="s">
        <v>2056</v>
      </c>
      <c r="B13" s="3257"/>
      <c r="C13" s="3258"/>
      <c r="D13" s="3259"/>
      <c r="E13" s="1679" t="s">
        <v>2058</v>
      </c>
      <c r="F13" s="3275" t="s">
        <v>2887</v>
      </c>
      <c r="G13" s="3276"/>
      <c r="H13" s="3276"/>
      <c r="I13" s="3277"/>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46.8">
      <c r="A16" s="1660" t="s">
        <v>1946</v>
      </c>
      <c r="B16" s="1661" t="s">
        <v>2978</v>
      </c>
      <c r="C16" s="1679" t="s">
        <v>1947</v>
      </c>
      <c r="D16" s="2606" t="s">
        <v>1948</v>
      </c>
      <c r="E16" s="1702" t="s">
        <v>2988</v>
      </c>
      <c r="F16" s="1702" t="s">
        <v>1676</v>
      </c>
      <c r="G16" s="1702" t="s">
        <v>2989</v>
      </c>
      <c r="H16" s="1702" t="s">
        <v>2990</v>
      </c>
      <c r="I16" s="1666" t="s">
        <v>1953</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办公2043年11月18日</v>
      </c>
      <c r="P16" s="1679" t="str">
        <f>IF(OR(O16="",Q16=""),"","、")</f>
        <v>、</v>
      </c>
      <c r="Q16" s="2416" t="str">
        <f>IF(G17="","",G16&amp;TEXT(G17,"yyyy年m月d日;;"))</f>
        <v>车库2053年11月18日</v>
      </c>
      <c r="R16" s="1679" t="str">
        <f>IF(OR(Q16="",S16=""),"","、")</f>
        <v>、</v>
      </c>
      <c r="S16" s="2416" t="str">
        <f>IF(H17="","",H16&amp;TEXT(H17,"yyyy年m月d日;;"))</f>
        <v>仓储2053年11月18日</v>
      </c>
      <c r="T16" s="1679" t="str">
        <f>IF(OR(S16="",U16=""),"","、")</f>
        <v/>
      </c>
      <c r="U16" s="2416" t="str">
        <f>IF(I17="","",I16&amp;TEXT(I17,"yyyy年m月d日;;"))</f>
        <v/>
      </c>
    </row>
    <row r="17" spans="1:21">
      <c r="A17" s="1743"/>
      <c r="B17" s="1662"/>
      <c r="C17" s="1663" t="s">
        <v>1954</v>
      </c>
      <c r="D17" s="1680">
        <v>63511</v>
      </c>
      <c r="E17" s="1680">
        <v>52553</v>
      </c>
      <c r="F17" s="1680">
        <v>52553</v>
      </c>
      <c r="G17" s="1680">
        <v>56206</v>
      </c>
      <c r="H17" s="1680">
        <v>56206</v>
      </c>
      <c r="I17" s="1680"/>
      <c r="J17" s="1674"/>
      <c r="K17" s="2415" t="str">
        <f>CONCATENATE(K16,L16,M16,N16,O16,P16,Q16,R16,S16,T16,,U16)</f>
        <v>住宅2073年11月18日、商业2043年11月18日、办公2043年11月18日、车库2053年11月18日、仓储2053年11月18日</v>
      </c>
      <c r="L17" s="1703"/>
      <c r="M17" s="1703"/>
      <c r="N17" s="1674"/>
      <c r="O17" s="1675"/>
      <c r="P17" s="1674"/>
      <c r="Q17" s="1674"/>
      <c r="R17" s="1674"/>
      <c r="S17" s="1674"/>
      <c r="T17" s="1674"/>
      <c r="U17" s="1674"/>
    </row>
    <row r="18" spans="1:21">
      <c r="A18" s="1743"/>
      <c r="B18" s="1662"/>
      <c r="C18" s="1663" t="s">
        <v>1955</v>
      </c>
      <c r="D18" s="1664">
        <v>70</v>
      </c>
      <c r="E18" s="1664">
        <v>40</v>
      </c>
      <c r="F18" s="1664">
        <v>40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1956</v>
      </c>
      <c r="D19" s="1738">
        <f>IF(B16="出让",IF(D17="","",ROUNDDOWN(MIN((D17-$D$3)/365,D18),2)),D18)</f>
        <v>53.91</v>
      </c>
      <c r="E19" s="1665">
        <f>IF(B16="出让",IF(E17="","",ROUNDDOWN(MIN((E17-$D$3)/365,E18),2)),E18)</f>
        <v>23.89</v>
      </c>
      <c r="F19" s="1665">
        <f>IF(B16="出让",IF(F17="","",ROUNDDOWN(MIN((F17-$D$3)/365,F18),2)),F18)</f>
        <v>23.89</v>
      </c>
      <c r="G19" s="1665">
        <f>IF(B16="出让",IF(G17="","",ROUNDDOWN(MIN((G17-$D$3)/365,G18),2)),G18)</f>
        <v>33.9</v>
      </c>
      <c r="H19" s="1665">
        <f>IF(B16="出让",IF(H17="","",ROUNDDOWN(MIN((H17-$D$3)/365,H18),2)),H18)</f>
        <v>33.9</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72"/>
      <c r="E20" s="3273"/>
      <c r="F20" s="3273"/>
      <c r="G20" s="3273"/>
      <c r="H20" s="3273"/>
      <c r="I20" s="3274"/>
      <c r="J20" s="1674"/>
      <c r="K20" s="1754"/>
      <c r="L20" s="1703"/>
      <c r="M20" s="1703"/>
      <c r="N20" s="1674"/>
      <c r="O20" s="1675"/>
      <c r="P20" s="1674"/>
      <c r="Q20" s="1674"/>
      <c r="R20" s="1674"/>
      <c r="S20" s="1674"/>
      <c r="T20" s="1674"/>
      <c r="U20" s="1674"/>
    </row>
    <row r="21" spans="1:21">
      <c r="A21" s="1743" t="s">
        <v>1957</v>
      </c>
      <c r="B21" s="1744" t="s">
        <v>1958</v>
      </c>
      <c r="C21" s="1739">
        <f>'数据-汇总表'!E3</f>
        <v>109310.18</v>
      </c>
      <c r="D21" s="1740" t="s">
        <v>1959</v>
      </c>
      <c r="E21" s="3262" t="s">
        <v>1995</v>
      </c>
      <c r="F21" s="3263"/>
      <c r="G21" s="3263"/>
      <c r="H21" s="3263"/>
      <c r="I21" s="3264"/>
      <c r="J21" s="1674"/>
      <c r="K21" s="1754"/>
      <c r="L21" s="1703"/>
      <c r="M21" s="1703"/>
      <c r="N21" s="1674"/>
      <c r="O21" s="1675"/>
      <c r="P21" s="1674"/>
      <c r="Q21" s="1674"/>
      <c r="R21" s="1674"/>
      <c r="S21" s="1674"/>
      <c r="T21" s="1674"/>
      <c r="U21" s="1674"/>
    </row>
    <row r="22" spans="1:21">
      <c r="A22" s="3092" t="s">
        <v>951</v>
      </c>
      <c r="B22" s="1641" t="s">
        <v>1960</v>
      </c>
      <c r="C22" s="1666">
        <f>'数据-汇总表'!D3</f>
        <v>34964.49</v>
      </c>
      <c r="D22" s="1667" t="s">
        <v>1959</v>
      </c>
      <c r="E22" s="3262" t="s">
        <v>2888</v>
      </c>
      <c r="F22" s="3263"/>
      <c r="G22" s="3263"/>
      <c r="H22" s="3263"/>
      <c r="I22" s="3264"/>
      <c r="J22" s="1674"/>
      <c r="K22" s="1754"/>
      <c r="L22" s="1703"/>
      <c r="M22" s="1703"/>
      <c r="N22" s="1674"/>
      <c r="O22" s="1675"/>
      <c r="P22" s="1674"/>
      <c r="Q22" s="1674"/>
      <c r="R22" s="1674"/>
      <c r="S22" s="1674"/>
      <c r="T22" s="1674"/>
      <c r="U22" s="1674"/>
    </row>
    <row r="23" spans="1:21" ht="63" thickBot="1">
      <c r="A23" s="1745" t="s">
        <v>1961</v>
      </c>
      <c r="B23" s="1681" t="s">
        <v>1962</v>
      </c>
      <c r="C23" s="1682" t="s">
        <v>1677</v>
      </c>
      <c r="D23" s="1683" t="s">
        <v>1963</v>
      </c>
      <c r="E23" s="1684" t="s">
        <v>2991</v>
      </c>
      <c r="F23" s="1685" t="str">
        <f>IF(AND(C23="是",E23="否"),"是否提供他项权证或相关说明","")</f>
        <v>是否提供他项权证或相关说明</v>
      </c>
      <c r="G23" s="1686" t="s">
        <v>2991</v>
      </c>
      <c r="H23" s="1674"/>
      <c r="I23" s="1687"/>
      <c r="J23" s="1674"/>
      <c r="K23" s="1754"/>
      <c r="L23" s="1703"/>
      <c r="M23" s="1703"/>
      <c r="N23" s="1674"/>
      <c r="O23" s="1675"/>
      <c r="P23" s="1674"/>
      <c r="Q23" s="1674"/>
      <c r="R23" s="1674"/>
      <c r="S23" s="1674"/>
      <c r="T23" s="1674"/>
      <c r="U23" s="1674"/>
    </row>
    <row r="24" spans="1:21">
      <c r="A24" s="1730" t="s">
        <v>1964</v>
      </c>
      <c r="B24" s="3265" t="s">
        <v>1965</v>
      </c>
      <c r="C24" s="3266"/>
      <c r="D24" s="3267" t="s">
        <v>1966</v>
      </c>
      <c r="E24" s="3268"/>
      <c r="F24" s="1688" t="s">
        <v>1967</v>
      </c>
      <c r="G24" s="1674"/>
      <c r="H24" s="1674"/>
      <c r="I24" s="1687"/>
      <c r="J24" s="1674"/>
      <c r="K24" s="3253" t="s">
        <v>1968</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31.2">
      <c r="A25" s="1731"/>
      <c r="B25" s="1728" t="s">
        <v>2322</v>
      </c>
      <c r="C25" s="1689" t="s">
        <v>2323</v>
      </c>
      <c r="D25" s="1690"/>
      <c r="E25" s="1691" t="s">
        <v>951</v>
      </c>
      <c r="F25" s="1692"/>
      <c r="G25" s="1674"/>
      <c r="H25" s="1674"/>
      <c r="I25" s="1687"/>
      <c r="J25" s="1674"/>
      <c r="K25" s="325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6.2" thickBot="1">
      <c r="A26" s="1732"/>
      <c r="B26" s="1729"/>
      <c r="C26" s="1689"/>
      <c r="D26" s="1640"/>
      <c r="E26" s="1640"/>
      <c r="F26" s="1668"/>
      <c r="G26" s="1674"/>
      <c r="H26" s="1674"/>
      <c r="I26" s="1687"/>
      <c r="J26" s="1674"/>
      <c r="K26" s="325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6.2" thickTop="1">
      <c r="A31" s="3239" t="s">
        <v>1998</v>
      </c>
      <c r="B31" s="1744" t="s">
        <v>1999</v>
      </c>
      <c r="C31" s="3278" t="s">
        <v>2992</v>
      </c>
      <c r="D31" s="3279"/>
      <c r="E31" s="1674"/>
      <c r="F31" s="1674"/>
      <c r="G31" s="1674"/>
      <c r="H31" s="1674"/>
      <c r="I31" s="1687"/>
      <c r="J31" s="1674"/>
      <c r="K31" s="2418"/>
      <c r="L31" s="1674"/>
      <c r="M31" s="1674"/>
      <c r="N31" s="1674"/>
      <c r="O31" s="1674"/>
      <c r="P31" s="1674"/>
      <c r="Q31" s="1674"/>
      <c r="R31" s="1674"/>
      <c r="S31" s="1674"/>
      <c r="T31" s="1674"/>
      <c r="U31" s="1674"/>
    </row>
    <row r="32" spans="1:21">
      <c r="A32" s="3239"/>
      <c r="B32" s="1641" t="s">
        <v>2000</v>
      </c>
      <c r="C32" s="1699" t="s">
        <v>2993</v>
      </c>
      <c r="D32" s="1700"/>
      <c r="E32" s="1674"/>
      <c r="F32" s="1674"/>
      <c r="G32" s="1674"/>
      <c r="H32" s="1674"/>
      <c r="I32" s="1687"/>
      <c r="J32" s="1674"/>
      <c r="K32" s="2418"/>
      <c r="L32" s="1674"/>
      <c r="M32" s="1674"/>
      <c r="N32" s="1674"/>
      <c r="O32" s="1674"/>
      <c r="P32" s="1674"/>
      <c r="Q32" s="1674"/>
      <c r="R32" s="1674"/>
      <c r="S32" s="1674"/>
      <c r="T32" s="1674"/>
      <c r="U32" s="1674"/>
    </row>
    <row r="33" spans="1:21">
      <c r="A33" s="3239"/>
      <c r="B33" s="1641" t="s">
        <v>2001</v>
      </c>
      <c r="C33" s="1701" t="s">
        <v>2991</v>
      </c>
      <c r="D33" s="1818"/>
      <c r="E33" s="1674"/>
      <c r="F33" s="1674"/>
      <c r="G33" s="1674"/>
      <c r="H33" s="1674"/>
      <c r="I33" s="1687"/>
      <c r="J33" s="1674"/>
      <c r="K33" s="2418"/>
      <c r="L33" s="1674"/>
      <c r="M33" s="1674"/>
      <c r="N33" s="1674"/>
      <c r="O33" s="1674"/>
      <c r="P33" s="1674"/>
      <c r="Q33" s="1674"/>
      <c r="R33" s="1674"/>
      <c r="S33" s="1674"/>
      <c r="T33" s="1674"/>
      <c r="U33" s="1674"/>
    </row>
    <row r="34" spans="1:21">
      <c r="A34" s="3240"/>
      <c r="B34" s="1641" t="s">
        <v>2002</v>
      </c>
      <c r="C34" s="3241"/>
      <c r="D34" s="3242"/>
      <c r="E34" s="1674"/>
      <c r="F34" s="1674"/>
      <c r="G34" s="1674"/>
      <c r="H34" s="1674"/>
      <c r="I34" s="1687"/>
      <c r="J34" s="1674"/>
      <c r="K34" s="2418"/>
      <c r="L34" s="1674"/>
      <c r="M34" s="1674"/>
      <c r="N34" s="1674"/>
      <c r="O34" s="1674"/>
      <c r="P34" s="1674"/>
      <c r="Q34" s="1674"/>
      <c r="R34" s="1674"/>
      <c r="S34" s="1674"/>
      <c r="T34" s="1674"/>
      <c r="U34" s="1674"/>
    </row>
    <row r="35" spans="1:21">
      <c r="A35" s="3243" t="s">
        <v>846</v>
      </c>
      <c r="B35" s="1702" t="s">
        <v>2994</v>
      </c>
      <c r="C35" s="1756" t="str">
        <f>IF(B35="场地平整","——","具体情况：")</f>
        <v>——</v>
      </c>
      <c r="D35" s="3245"/>
      <c r="E35" s="3246"/>
      <c r="F35" s="3246"/>
      <c r="G35" s="3246"/>
      <c r="H35" s="3246"/>
      <c r="I35" s="3247"/>
      <c r="J35" s="1674"/>
      <c r="K35" s="1755"/>
      <c r="L35" s="1703"/>
      <c r="M35" s="1703"/>
      <c r="N35" s="1674"/>
      <c r="O35" s="1675"/>
      <c r="P35" s="1674"/>
      <c r="Q35" s="1674"/>
      <c r="R35" s="1674"/>
      <c r="S35" s="1674"/>
      <c r="T35" s="1674"/>
      <c r="U35" s="1674"/>
    </row>
    <row r="36" spans="1:21">
      <c r="A36" s="3239"/>
      <c r="B36" s="3248" t="s">
        <v>2051</v>
      </c>
      <c r="C36" s="3249"/>
      <c r="D36" s="1772" t="s">
        <v>2995</v>
      </c>
      <c r="E36" s="3250"/>
      <c r="F36" s="3250"/>
      <c r="G36" s="1667" t="str">
        <f>IF(B35="场地未平整","估价结果处理","")</f>
        <v/>
      </c>
      <c r="H36" s="3251"/>
      <c r="I36" s="3251"/>
      <c r="J36" s="1674"/>
      <c r="K36" s="1755"/>
      <c r="L36" s="1703"/>
      <c r="M36" s="1703"/>
      <c r="N36" s="1674"/>
      <c r="O36" s="1675"/>
      <c r="P36" s="1674"/>
      <c r="Q36" s="1674"/>
      <c r="R36" s="1674"/>
      <c r="S36" s="1674"/>
      <c r="T36" s="1674"/>
      <c r="U36" s="1674"/>
    </row>
    <row r="37" spans="1:21" ht="31.2">
      <c r="A37" s="3239"/>
      <c r="B37" s="3269"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39"/>
      <c r="B38" s="3270"/>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40"/>
      <c r="B39" s="327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52" t="s">
        <v>1982</v>
      </c>
      <c r="T40" s="1711" t="str">
        <f>NUMBERSTRING(7-K40,1)&amp;"通"</f>
        <v>七通</v>
      </c>
      <c r="U40" s="1674"/>
    </row>
    <row r="41" spans="1:21">
      <c r="A41" s="1643"/>
      <c r="B41" s="3244" t="s">
        <v>1720</v>
      </c>
      <c r="C41" s="3244"/>
      <c r="D41" s="3244"/>
      <c r="E41" s="3244"/>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52"/>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t="s">
        <v>1408</v>
      </c>
      <c r="C43" s="1718" t="s">
        <v>1408</v>
      </c>
      <c r="D43" s="1718" t="s">
        <v>1408</v>
      </c>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t="s">
        <v>1328</v>
      </c>
      <c r="C44" s="1718" t="s">
        <v>1328</v>
      </c>
      <c r="D44" s="1718" t="s">
        <v>1328</v>
      </c>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2889</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6" sqref="M2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5" width="9.44140625" style="15" customWidth="1"/>
    <col min="36"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2330</v>
      </c>
      <c r="BA2" s="2321"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34964.49</v>
      </c>
      <c r="B3" s="22">
        <f>IF(C3="否",G5-AT5,G5)</f>
        <v>109310.18</v>
      </c>
      <c r="C3" s="23" t="s">
        <v>1677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109310.18</v>
      </c>
      <c r="H5" s="27">
        <f t="shared" ref="H5:AT5" si="0">SUM(H13:H641)</f>
        <v>96602.28</v>
      </c>
      <c r="I5" s="27">
        <f t="shared" si="0"/>
        <v>63135.22</v>
      </c>
      <c r="J5" s="27">
        <f t="shared" si="0"/>
        <v>0</v>
      </c>
      <c r="K5" s="27">
        <f t="shared" si="0"/>
        <v>338.4</v>
      </c>
      <c r="L5" s="27">
        <f t="shared" si="0"/>
        <v>0</v>
      </c>
      <c r="M5" s="27">
        <f t="shared" si="0"/>
        <v>3440.91</v>
      </c>
      <c r="N5" s="27">
        <f t="shared" si="0"/>
        <v>0</v>
      </c>
      <c r="O5" s="27">
        <f t="shared" si="0"/>
        <v>29687.75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12707.9</v>
      </c>
      <c r="AD5" s="27">
        <f t="shared" si="0"/>
        <v>0</v>
      </c>
      <c r="AE5" s="27">
        <f t="shared" si="0"/>
        <v>0</v>
      </c>
      <c r="AF5" s="27">
        <f t="shared" si="0"/>
        <v>0</v>
      </c>
      <c r="AG5" s="27">
        <f t="shared" si="0"/>
        <v>0</v>
      </c>
      <c r="AH5" s="27">
        <f t="shared" si="0"/>
        <v>180</v>
      </c>
      <c r="AI5" s="27">
        <f t="shared" si="0"/>
        <v>0</v>
      </c>
      <c r="AJ5" s="27">
        <f t="shared" si="0"/>
        <v>0</v>
      </c>
      <c r="AK5" s="27">
        <f t="shared" si="0"/>
        <v>0</v>
      </c>
      <c r="AL5" s="27">
        <f t="shared" si="0"/>
        <v>150</v>
      </c>
      <c r="AM5" s="27">
        <f t="shared" si="0"/>
        <v>0</v>
      </c>
      <c r="AN5" s="27">
        <f t="shared" si="0"/>
        <v>12377.9</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109310.18</v>
      </c>
      <c r="BA5" s="29">
        <f t="shared" si="1"/>
        <v>96602.28</v>
      </c>
      <c r="BB5" s="29">
        <f t="shared" si="1"/>
        <v>63135.22</v>
      </c>
      <c r="BC5" s="29">
        <f t="shared" si="1"/>
        <v>338.4</v>
      </c>
      <c r="BD5" s="29">
        <f t="shared" si="1"/>
        <v>3440.91</v>
      </c>
      <c r="BE5" s="29">
        <f t="shared" si="1"/>
        <v>29687.75</v>
      </c>
      <c r="BF5" s="29">
        <f t="shared" si="1"/>
        <v>0</v>
      </c>
      <c r="BG5" s="29">
        <f t="shared" si="1"/>
        <v>0</v>
      </c>
      <c r="BH5" s="29">
        <f t="shared" si="1"/>
        <v>0</v>
      </c>
      <c r="BI5" s="29">
        <f t="shared" si="1"/>
        <v>0</v>
      </c>
      <c r="BJ5" s="29">
        <f t="shared" si="1"/>
        <v>0</v>
      </c>
      <c r="BK5" s="29">
        <f t="shared" si="1"/>
        <v>0</v>
      </c>
      <c r="BL5" s="29">
        <f t="shared" si="1"/>
        <v>12707.9</v>
      </c>
      <c r="BM5" s="29">
        <f t="shared" si="1"/>
        <v>0</v>
      </c>
      <c r="BN5" s="29">
        <f t="shared" si="1"/>
        <v>0</v>
      </c>
      <c r="BO5" s="29">
        <f t="shared" si="1"/>
        <v>180</v>
      </c>
      <c r="BP5" s="29">
        <f t="shared" si="1"/>
        <v>0</v>
      </c>
      <c r="BQ5" s="29">
        <f t="shared" si="1"/>
        <v>150</v>
      </c>
      <c r="BR5" s="29">
        <f t="shared" si="1"/>
        <v>12377.9</v>
      </c>
      <c r="BS5" s="29">
        <f t="shared" si="1"/>
        <v>0</v>
      </c>
      <c r="BT5" s="30">
        <f t="shared" si="1"/>
        <v>0</v>
      </c>
    </row>
    <row r="6" spans="1:72" s="37" customFormat="1" ht="13.2">
      <c r="A6" s="26" t="s">
        <v>169</v>
      </c>
      <c r="B6" s="31"/>
      <c r="C6" s="31"/>
      <c r="D6" s="32"/>
      <c r="E6" s="27">
        <f>H6+AC6+AT6</f>
        <v>34964.500000000007</v>
      </c>
      <c r="F6" s="27" t="s">
        <v>1</v>
      </c>
      <c r="G6" s="27" t="s">
        <v>2</v>
      </c>
      <c r="H6" s="33">
        <f>SUMIF(I$12:AB$12,"总值",I6:AB6)</f>
        <v>30899.680000000004</v>
      </c>
      <c r="I6" s="27">
        <f t="shared" ref="I6:AB6" si="2">ROUND($A$3*I5/$B$3,2)</f>
        <v>20194.740000000002</v>
      </c>
      <c r="J6" s="27">
        <f t="shared" si="2"/>
        <v>0</v>
      </c>
      <c r="K6" s="27">
        <f t="shared" si="2"/>
        <v>108.24</v>
      </c>
      <c r="L6" s="27">
        <f t="shared" si="2"/>
        <v>0</v>
      </c>
      <c r="M6" s="27">
        <f t="shared" si="2"/>
        <v>1100.6300000000001</v>
      </c>
      <c r="N6" s="27">
        <f t="shared" si="2"/>
        <v>0</v>
      </c>
      <c r="O6" s="27">
        <f t="shared" si="2"/>
        <v>9496.07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4064.82</v>
      </c>
      <c r="AD6" s="27">
        <f t="shared" ref="AD6:AS6" si="3">ROUND($A$3*AD5/$B$3,2)</f>
        <v>0</v>
      </c>
      <c r="AE6" s="27">
        <f t="shared" si="3"/>
        <v>0</v>
      </c>
      <c r="AF6" s="27">
        <f t="shared" si="3"/>
        <v>0</v>
      </c>
      <c r="AG6" s="27">
        <f t="shared" si="3"/>
        <v>0</v>
      </c>
      <c r="AH6" s="27">
        <f t="shared" si="3"/>
        <v>57.58</v>
      </c>
      <c r="AI6" s="27">
        <f t="shared" si="3"/>
        <v>0</v>
      </c>
      <c r="AJ6" s="27">
        <f t="shared" si="3"/>
        <v>0</v>
      </c>
      <c r="AK6" s="27">
        <f t="shared" si="3"/>
        <v>0</v>
      </c>
      <c r="AL6" s="27">
        <f t="shared" si="3"/>
        <v>47.98</v>
      </c>
      <c r="AM6" s="27">
        <f t="shared" si="3"/>
        <v>0</v>
      </c>
      <c r="AN6" s="27">
        <f t="shared" si="3"/>
        <v>3959.26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34964.49</v>
      </c>
      <c r="AZ6" s="27" t="s">
        <v>3</v>
      </c>
      <c r="BA6" s="27">
        <f>ROUND($AY$6*BA5/$AZ$5,2)</f>
        <v>30899.68</v>
      </c>
      <c r="BB6" s="27">
        <f>ROUND($AY$6*BB5/$AZ$5,2)</f>
        <v>20194.740000000002</v>
      </c>
      <c r="BC6" s="27">
        <f t="shared" ref="BC6:BH6" si="4">ROUND($AY$6*BC5/$AZ$5,2)</f>
        <v>108.24</v>
      </c>
      <c r="BD6" s="27">
        <f t="shared" si="4"/>
        <v>1100.6300000000001</v>
      </c>
      <c r="BE6" s="27">
        <f t="shared" si="4"/>
        <v>9496.07</v>
      </c>
      <c r="BF6" s="27">
        <f t="shared" si="4"/>
        <v>0</v>
      </c>
      <c r="BG6" s="27">
        <f t="shared" si="4"/>
        <v>0</v>
      </c>
      <c r="BH6" s="27">
        <f t="shared" si="4"/>
        <v>0</v>
      </c>
      <c r="BI6" s="27">
        <f t="shared" ref="BI6:BT6" si="5">ROUND($AY$6*BI5/$AZ$5,2)</f>
        <v>0</v>
      </c>
      <c r="BJ6" s="27">
        <f t="shared" si="5"/>
        <v>0</v>
      </c>
      <c r="BK6" s="27">
        <f t="shared" si="5"/>
        <v>0</v>
      </c>
      <c r="BL6" s="27">
        <f t="shared" si="5"/>
        <v>4064.81</v>
      </c>
      <c r="BM6" s="27">
        <f t="shared" si="5"/>
        <v>0</v>
      </c>
      <c r="BN6" s="27">
        <f t="shared" si="5"/>
        <v>0</v>
      </c>
      <c r="BO6" s="27">
        <f t="shared" si="5"/>
        <v>57.58</v>
      </c>
      <c r="BP6" s="27">
        <f t="shared" si="5"/>
        <v>0</v>
      </c>
      <c r="BQ6" s="27">
        <f t="shared" si="5"/>
        <v>47.98</v>
      </c>
      <c r="BR6" s="27">
        <f t="shared" si="5"/>
        <v>3959.26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7" t="s">
        <v>2997</v>
      </c>
      <c r="J9" s="51"/>
      <c r="K9" s="2967" t="s">
        <v>2997</v>
      </c>
      <c r="L9" s="51"/>
      <c r="M9" s="2967" t="s">
        <v>3027</v>
      </c>
      <c r="N9" s="51"/>
      <c r="O9" s="59" t="s">
        <v>3027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7" t="s">
        <v>922</v>
      </c>
      <c r="J10" s="51"/>
      <c r="K10" s="2969" t="s">
        <v>2988</v>
      </c>
      <c r="L10" s="51"/>
      <c r="M10" s="2969" t="s">
        <v>2990</v>
      </c>
      <c r="N10" s="51"/>
      <c r="O10" s="66" t="s">
        <v>2989</v>
      </c>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8" t="s">
        <v>2998</v>
      </c>
      <c r="J11" s="71"/>
      <c r="K11" s="2968" t="s">
        <v>3026</v>
      </c>
      <c r="L11" s="71"/>
      <c r="M11" s="70" t="s">
        <v>3028</v>
      </c>
      <c r="N11" s="71"/>
      <c r="O11" s="70" t="s">
        <v>2989</v>
      </c>
      <c r="P11" s="71"/>
      <c r="Q11" s="70"/>
      <c r="R11" s="71"/>
      <c r="S11" s="70"/>
      <c r="T11" s="71"/>
      <c r="U11" s="70"/>
      <c r="V11" s="71"/>
      <c r="W11" s="70"/>
      <c r="X11" s="71"/>
      <c r="Y11" s="70"/>
      <c r="Z11" s="71"/>
      <c r="AA11" s="70"/>
      <c r="AB11" s="71"/>
      <c r="AC11" s="55"/>
      <c r="AD11" s="2315" t="s">
        <v>2327</v>
      </c>
      <c r="AE11" s="1000"/>
      <c r="AF11" s="2315" t="s">
        <v>2327</v>
      </c>
      <c r="AG11" s="1000"/>
      <c r="AH11" s="2315" t="s">
        <v>2326</v>
      </c>
      <c r="AI11" s="2316"/>
      <c r="AJ11" s="2315" t="s">
        <v>2326</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2"/>
      <c r="B13" s="2962"/>
      <c r="C13" s="2962" t="s">
        <v>2996</v>
      </c>
      <c r="D13" s="2963" t="s">
        <v>1677</v>
      </c>
      <c r="E13" s="27">
        <f t="shared" ref="E13:E20" si="6">IF($C$3="是",ROUND($A$3*G13/$B$3,2),ROUND($A$3*(G13-AT13)/$B$3,2))</f>
        <v>24259.55</v>
      </c>
      <c r="F13" s="81"/>
      <c r="G13" s="82">
        <f t="shared" ref="G13:G20" si="7">H13+AC13+AT13</f>
        <v>75843.12</v>
      </c>
      <c r="H13" s="33">
        <f t="shared" ref="H13:H20" si="8">SUMIF(I$12:AB$12,"总值",I13:AB13)</f>
        <v>63135.22</v>
      </c>
      <c r="I13" s="2966">
        <f>面积及出让金计算!D6</f>
        <v>63135.22</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12707.9</v>
      </c>
      <c r="AD13" s="2970"/>
      <c r="AE13" s="2970"/>
      <c r="AF13" s="2970"/>
      <c r="AG13" s="2970"/>
      <c r="AH13" s="2970">
        <v>180</v>
      </c>
      <c r="AI13" s="2970"/>
      <c r="AJ13" s="2970"/>
      <c r="AK13" s="2970"/>
      <c r="AL13" s="2970">
        <f>面积及出让金计算!D11</f>
        <v>150</v>
      </c>
      <c r="AM13" s="2970"/>
      <c r="AN13" s="2970">
        <f>1890+30+180+10277.9</f>
        <v>12377.9</v>
      </c>
      <c r="AO13" s="2970"/>
      <c r="AP13" s="2970"/>
      <c r="AQ13" s="2970"/>
      <c r="AR13" s="2970"/>
      <c r="AS13" s="2970"/>
      <c r="AT13" s="2971"/>
      <c r="AU13" s="2972"/>
      <c r="AV13" s="17">
        <f t="shared" ref="AV13:AX20" si="10">A13</f>
        <v>0</v>
      </c>
      <c r="AW13" s="17">
        <f t="shared" si="10"/>
        <v>0</v>
      </c>
      <c r="AX13" s="17" t="str">
        <f t="shared" si="10"/>
        <v>住宅</v>
      </c>
      <c r="AY13" s="994">
        <f t="shared" ref="AY13:AY20" si="11">ROUND($AY$6*AZ13/$AZ$5,2)</f>
        <v>24259.55</v>
      </c>
      <c r="AZ13" s="27">
        <f t="shared" ref="AZ13:AZ20" si="12">BA13+BL13</f>
        <v>75843.12</v>
      </c>
      <c r="BA13" s="27">
        <f t="shared" ref="BA13:BA20" si="13">SUM(BB13:BK13)</f>
        <v>63135.22</v>
      </c>
      <c r="BB13" s="27">
        <f t="shared" ref="BB13:BB20" si="14">IF($D13="是",I13-J13,0)</f>
        <v>63135.22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12707.9</v>
      </c>
      <c r="BM13" s="27">
        <f t="shared" ref="BM13:BM20" si="25">IF($D13="是",AD13-AE13,0)</f>
        <v>0</v>
      </c>
      <c r="BN13" s="27">
        <f t="shared" ref="BN13:BN20" si="26">IF($D13="是",AF13-AG13,0)</f>
        <v>0</v>
      </c>
      <c r="BO13" s="27">
        <f t="shared" ref="BO13:BO20" si="27">IF($D13="是",AH13-AI13,0)</f>
        <v>180</v>
      </c>
      <c r="BP13" s="27">
        <f t="shared" ref="BP13:BP20" si="28">IF($D13="是",AJ13-AK13,0)</f>
        <v>0</v>
      </c>
      <c r="BQ13" s="27">
        <f t="shared" ref="BQ13:BQ20" si="29">IF($D13="是",AL13-AM13,0)</f>
        <v>150</v>
      </c>
      <c r="BR13" s="27">
        <f t="shared" ref="BR13:BR20" si="30">IF($D13="是",AN13-AO13,0)</f>
        <v>12377.9</v>
      </c>
      <c r="BS13" s="27">
        <f t="shared" ref="BS13:BS20" si="31">IF($D13="是",AP13-AQ13,0)</f>
        <v>0</v>
      </c>
      <c r="BT13" s="36">
        <f t="shared" ref="BT13:BT20" si="32">IF($D13="是",AR13-AS13,0)</f>
        <v>0</v>
      </c>
    </row>
    <row r="14" spans="1:72" s="18" customFormat="1" ht="13.2">
      <c r="A14" s="2962"/>
      <c r="B14" s="2962"/>
      <c r="C14" s="2962" t="s">
        <v>3023</v>
      </c>
      <c r="D14" s="2963" t="s">
        <v>1677</v>
      </c>
      <c r="E14" s="27">
        <f t="shared" si="6"/>
        <v>108.24</v>
      </c>
      <c r="F14" s="81"/>
      <c r="G14" s="82">
        <f t="shared" si="7"/>
        <v>338.4</v>
      </c>
      <c r="H14" s="33">
        <f t="shared" si="8"/>
        <v>338.4</v>
      </c>
      <c r="I14" s="2966"/>
      <c r="J14" s="2966"/>
      <c r="K14" s="2966">
        <f>面积及出让金计算!D8</f>
        <v>338.4</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4">
        <f t="shared" si="11"/>
        <v>108.24</v>
      </c>
      <c r="AZ14" s="27">
        <f t="shared" si="12"/>
        <v>338.4</v>
      </c>
      <c r="BA14" s="27">
        <f t="shared" si="13"/>
        <v>338.4</v>
      </c>
      <c r="BB14" s="27">
        <f t="shared" si="14"/>
        <v>0</v>
      </c>
      <c r="BC14" s="27">
        <f t="shared" si="15"/>
        <v>338.4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2" t="s">
        <v>3024</v>
      </c>
      <c r="D15" s="2963" t="s">
        <v>1677</v>
      </c>
      <c r="E15" s="27">
        <f t="shared" si="6"/>
        <v>1100.6300000000001</v>
      </c>
      <c r="F15" s="81"/>
      <c r="G15" s="82">
        <f t="shared" si="7"/>
        <v>3440.91</v>
      </c>
      <c r="H15" s="33">
        <f t="shared" si="8"/>
        <v>3440.91</v>
      </c>
      <c r="I15" s="2966"/>
      <c r="J15" s="2966"/>
      <c r="K15" s="2966"/>
      <c r="L15" s="2966"/>
      <c r="M15" s="2966">
        <f>面积及出让金计算!D15</f>
        <v>3440.91</v>
      </c>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地下仓储</v>
      </c>
      <c r="AY15" s="994">
        <f t="shared" si="11"/>
        <v>1100.6300000000001</v>
      </c>
      <c r="AZ15" s="27">
        <f t="shared" si="12"/>
        <v>3440.91</v>
      </c>
      <c r="BA15" s="27">
        <f t="shared" si="13"/>
        <v>3440.91</v>
      </c>
      <c r="BB15" s="27">
        <f t="shared" si="14"/>
        <v>0</v>
      </c>
      <c r="BC15" s="27">
        <f t="shared" si="15"/>
        <v>0</v>
      </c>
      <c r="BD15" s="27">
        <f t="shared" si="16"/>
        <v>3440.91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2" t="s">
        <v>3025</v>
      </c>
      <c r="D16" s="2963" t="s">
        <v>1677</v>
      </c>
      <c r="E16" s="27">
        <f t="shared" si="6"/>
        <v>9496.07</v>
      </c>
      <c r="F16" s="81"/>
      <c r="G16" s="82">
        <f t="shared" si="7"/>
        <v>29687.75</v>
      </c>
      <c r="H16" s="33">
        <f t="shared" si="8"/>
        <v>29687.75</v>
      </c>
      <c r="I16" s="2966"/>
      <c r="J16" s="2966"/>
      <c r="K16" s="2966"/>
      <c r="L16" s="2966"/>
      <c r="M16" s="2966"/>
      <c r="N16" s="83"/>
      <c r="O16" s="83">
        <f>面积及出让金计算!D13</f>
        <v>29687.75</v>
      </c>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地下车库</v>
      </c>
      <c r="AY16" s="994">
        <f t="shared" si="11"/>
        <v>9496.07</v>
      </c>
      <c r="AZ16" s="27">
        <f t="shared" si="12"/>
        <v>29687.75</v>
      </c>
      <c r="BA16" s="27">
        <f t="shared" si="13"/>
        <v>29687.75</v>
      </c>
      <c r="BB16" s="27">
        <f t="shared" si="14"/>
        <v>0</v>
      </c>
      <c r="BC16" s="27">
        <f t="shared" si="15"/>
        <v>0</v>
      </c>
      <c r="BD16" s="27">
        <f t="shared" si="16"/>
        <v>0</v>
      </c>
      <c r="BE16" s="27">
        <f t="shared" si="17"/>
        <v>29687.75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46.8">
      <c r="A3" s="3280"/>
      <c r="B3" s="3280"/>
      <c r="C3" s="3280"/>
      <c r="D3" s="3281"/>
      <c r="E3" s="328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tabSelected="1" workbookViewId="0">
      <selection activeCell="K14" sqref="K14"/>
    </sheetView>
  </sheetViews>
  <sheetFormatPr defaultRowHeight="14.4"/>
  <cols>
    <col min="2" max="2" width="8.44140625" bestFit="1" customWidth="1"/>
    <col min="3" max="3" width="18.33203125" bestFit="1" customWidth="1"/>
    <col min="4" max="4" width="10.44140625" bestFit="1" customWidth="1"/>
    <col min="10" max="10" width="13.21875" customWidth="1"/>
    <col min="11" max="11" width="9.44140625" bestFit="1" customWidth="1"/>
    <col min="13" max="13" width="10.44140625" bestFit="1" customWidth="1"/>
  </cols>
  <sheetData>
    <row r="2" spans="1:14">
      <c r="A2" s="3191"/>
      <c r="B2" s="3190" t="s">
        <v>3063</v>
      </c>
      <c r="C2" s="3191"/>
      <c r="D2" s="3190" t="s">
        <v>3065</v>
      </c>
      <c r="E2" s="3190" t="s">
        <v>3064</v>
      </c>
      <c r="F2" s="3190" t="s">
        <v>3078</v>
      </c>
      <c r="G2" s="3190" t="s">
        <v>3081</v>
      </c>
    </row>
    <row r="3" spans="1:14">
      <c r="A3" s="3191" t="s">
        <v>3072</v>
      </c>
      <c r="B3" s="3191">
        <v>42443.6</v>
      </c>
      <c r="C3" s="3191" t="s">
        <v>3072</v>
      </c>
      <c r="D3" s="3191">
        <v>34964.49</v>
      </c>
      <c r="E3" s="3191">
        <v>6759.97</v>
      </c>
      <c r="F3" s="3190"/>
      <c r="G3" s="3190"/>
    </row>
    <row r="4" spans="1:14">
      <c r="A4" s="3191" t="s">
        <v>3056</v>
      </c>
      <c r="B4" s="3191">
        <v>102302</v>
      </c>
      <c r="C4" s="3191" t="s">
        <v>3062</v>
      </c>
      <c r="D4" s="3191">
        <v>109310.18</v>
      </c>
      <c r="E4" s="3191">
        <v>32706.32</v>
      </c>
      <c r="F4" s="3190"/>
      <c r="G4" s="3190"/>
    </row>
    <row r="5" spans="1:14">
      <c r="A5" s="3190" t="s">
        <v>3077</v>
      </c>
      <c r="B5" s="3191">
        <f>SUM(B6:B8)</f>
        <v>86804</v>
      </c>
      <c r="C5" s="3190" t="s">
        <v>3080</v>
      </c>
      <c r="D5" s="3191">
        <f>SUM(D6:D11)</f>
        <v>63803.62</v>
      </c>
      <c r="E5" s="3191">
        <f>SUM(E6:E11)</f>
        <v>23129.46</v>
      </c>
      <c r="F5" s="3190">
        <f>D5+E5</f>
        <v>86933.08</v>
      </c>
      <c r="G5" s="3190">
        <f>F5-B5</f>
        <v>129.08000000000175</v>
      </c>
    </row>
    <row r="6" spans="1:14">
      <c r="A6" s="3191" t="s">
        <v>3057</v>
      </c>
      <c r="B6" s="3191">
        <v>59218</v>
      </c>
      <c r="C6" s="3191" t="s">
        <v>3067</v>
      </c>
      <c r="D6" s="3191">
        <v>63135.22</v>
      </c>
      <c r="E6" s="3191"/>
      <c r="F6" s="3190"/>
      <c r="G6" s="3190"/>
    </row>
    <row r="7" spans="1:14">
      <c r="A7" s="3191" t="s">
        <v>3058</v>
      </c>
      <c r="B7" s="3191">
        <v>4586</v>
      </c>
      <c r="C7" s="3190" t="s">
        <v>3075</v>
      </c>
      <c r="D7" s="3191">
        <v>180</v>
      </c>
      <c r="E7" s="3191">
        <v>355.05</v>
      </c>
      <c r="F7" s="3190"/>
      <c r="G7" s="3190"/>
      <c r="J7" s="3196" t="s">
        <v>3106</v>
      </c>
      <c r="K7" s="3190"/>
      <c r="L7" s="3201" t="s">
        <v>3114</v>
      </c>
      <c r="M7" s="3201" t="s">
        <v>3115</v>
      </c>
      <c r="N7" s="3203" t="s">
        <v>3116</v>
      </c>
    </row>
    <row r="8" spans="1:14">
      <c r="A8" s="3191" t="s">
        <v>3059</v>
      </c>
      <c r="B8" s="3191">
        <v>23000</v>
      </c>
      <c r="C8" s="3190" t="s">
        <v>3074</v>
      </c>
      <c r="D8" s="3191">
        <v>338.4</v>
      </c>
      <c r="E8" s="3191"/>
      <c r="F8" s="3190"/>
      <c r="G8" s="3190"/>
      <c r="J8" s="3190" t="s">
        <v>3107</v>
      </c>
      <c r="K8" s="3190">
        <f>G5</f>
        <v>129.08000000000175</v>
      </c>
      <c r="L8">
        <f>'比较法-住宅、综合'!C49</f>
        <v>36095</v>
      </c>
      <c r="M8">
        <f>ROUND(K8*L8/10000,0)</f>
        <v>466</v>
      </c>
    </row>
    <row r="9" spans="1:14">
      <c r="A9" s="3191"/>
      <c r="B9" s="3191"/>
      <c r="C9" s="3190" t="s">
        <v>3066</v>
      </c>
      <c r="D9" s="3191"/>
      <c r="E9" s="3191">
        <v>2625.07</v>
      </c>
      <c r="F9" s="3190"/>
      <c r="G9" s="3190"/>
      <c r="J9" s="3190" t="s">
        <v>3060</v>
      </c>
      <c r="K9" s="3190">
        <v>26454.61</v>
      </c>
      <c r="L9">
        <f>'比较法-住宅、综合'!B65</f>
        <v>1805</v>
      </c>
      <c r="M9">
        <f>ROUND(K9*L9*0.25/10000,0)</f>
        <v>1194</v>
      </c>
    </row>
    <row r="10" spans="1:14">
      <c r="A10" s="3191"/>
      <c r="B10" s="3191"/>
      <c r="C10" s="3190" t="s">
        <v>3073</v>
      </c>
      <c r="D10" s="3191"/>
      <c r="E10" s="3191">
        <v>19864.560000000001</v>
      </c>
      <c r="F10" s="3190"/>
      <c r="G10" s="3190"/>
      <c r="J10" s="3190" t="s">
        <v>3076</v>
      </c>
      <c r="K10" s="3190">
        <v>1631.38</v>
      </c>
      <c r="L10">
        <f>'[1]比较法-住宅、综合'!$B$59</f>
        <v>2712</v>
      </c>
      <c r="M10">
        <f t="shared" ref="M10:M11" si="0">ROUND(K10*L10*0.25/10000,0)</f>
        <v>111</v>
      </c>
    </row>
    <row r="11" spans="1:14">
      <c r="A11" s="3190"/>
      <c r="B11" s="3191"/>
      <c r="C11" s="3191" t="s">
        <v>3068</v>
      </c>
      <c r="D11" s="3191">
        <v>150</v>
      </c>
      <c r="E11" s="3191">
        <v>284.77999999999997</v>
      </c>
      <c r="F11" s="3190"/>
      <c r="G11" s="3190"/>
      <c r="J11" s="3190" t="s">
        <v>3069</v>
      </c>
      <c r="K11" s="3190">
        <v>3440.91</v>
      </c>
      <c r="L11">
        <f>'比较法-住宅、综合'!B64</f>
        <v>2256</v>
      </c>
      <c r="M11">
        <f t="shared" si="0"/>
        <v>194</v>
      </c>
    </row>
    <row r="12" spans="1:14">
      <c r="A12" s="3190" t="s">
        <v>3079</v>
      </c>
      <c r="B12" s="3191"/>
      <c r="C12" s="3191"/>
      <c r="D12" s="3191"/>
      <c r="E12" s="3191"/>
      <c r="F12" s="3190"/>
      <c r="G12" s="3190"/>
      <c r="K12" s="3201">
        <f>SUM(K8:K11)</f>
        <v>31655.980000000003</v>
      </c>
      <c r="M12" s="3201">
        <f>SUM(M8:M11)</f>
        <v>1965</v>
      </c>
      <c r="N12">
        <f>ROUND(M12*(1+3.05%),0)</f>
        <v>2025</v>
      </c>
    </row>
    <row r="13" spans="1:14">
      <c r="A13" s="3191" t="s">
        <v>3060</v>
      </c>
      <c r="B13" s="3191">
        <v>10055</v>
      </c>
      <c r="C13" s="3191" t="s">
        <v>3070</v>
      </c>
      <c r="D13" s="3191">
        <v>29687.75</v>
      </c>
      <c r="E13" s="3191">
        <v>6821.86</v>
      </c>
      <c r="F13" s="3190">
        <f>D13+E13</f>
        <v>36509.61</v>
      </c>
      <c r="G13" s="3190">
        <f>F13-B13</f>
        <v>26454.61</v>
      </c>
    </row>
    <row r="14" spans="1:14">
      <c r="A14" s="3191" t="s">
        <v>3061</v>
      </c>
      <c r="B14" s="3191">
        <v>5443</v>
      </c>
      <c r="C14" s="3190" t="s">
        <v>3076</v>
      </c>
      <c r="D14" s="3191"/>
      <c r="E14" s="3191">
        <v>1631.38</v>
      </c>
      <c r="F14" s="3190">
        <f t="shared" ref="F14:F15" si="1">D14+E14</f>
        <v>1631.38</v>
      </c>
      <c r="G14" s="3190">
        <f>F14</f>
        <v>1631.38</v>
      </c>
    </row>
    <row r="15" spans="1:14">
      <c r="C15" s="3191" t="s">
        <v>3069</v>
      </c>
      <c r="D15" s="3191">
        <v>3440.91</v>
      </c>
      <c r="E15" s="3191"/>
      <c r="F15" s="3190">
        <f t="shared" si="1"/>
        <v>3440.91</v>
      </c>
      <c r="G15" s="3190">
        <f>F15</f>
        <v>3440.91</v>
      </c>
    </row>
    <row r="16" spans="1:14">
      <c r="C16" s="3191" t="s">
        <v>3071</v>
      </c>
      <c r="D16" s="3191">
        <f>1890+30+180+10277.9</f>
        <v>12377.9</v>
      </c>
      <c r="E16" s="3191">
        <f>719.69+403.93</f>
        <v>1123.6200000000001</v>
      </c>
    </row>
    <row r="19" spans="1:8" ht="15" thickBot="1"/>
    <row r="20" spans="1:8" ht="15" thickBot="1">
      <c r="A20" s="3282" t="s">
        <v>2988</v>
      </c>
      <c r="B20" s="3283"/>
      <c r="C20" s="3282" t="s">
        <v>1676</v>
      </c>
      <c r="D20" s="3283"/>
      <c r="E20" s="3282" t="s">
        <v>3110</v>
      </c>
      <c r="F20" s="3283"/>
      <c r="G20" s="3282" t="s">
        <v>980</v>
      </c>
      <c r="H20" s="3283"/>
    </row>
    <row r="21" spans="1:8" ht="15" thickBot="1">
      <c r="A21" s="3199" t="s">
        <v>3111</v>
      </c>
      <c r="B21" s="3199" t="s">
        <v>3112</v>
      </c>
      <c r="C21" s="3199" t="s">
        <v>3111</v>
      </c>
      <c r="D21" s="3199" t="s">
        <v>3112</v>
      </c>
      <c r="E21" s="3199" t="s">
        <v>3111</v>
      </c>
      <c r="F21" s="3199" t="s">
        <v>3112</v>
      </c>
      <c r="G21" s="3199" t="s">
        <v>3111</v>
      </c>
      <c r="H21" s="3199" t="s">
        <v>3112</v>
      </c>
    </row>
    <row r="22" spans="1:8" ht="27" thickBot="1">
      <c r="A22" s="3200" t="s">
        <v>1328</v>
      </c>
      <c r="B22" s="3200">
        <v>9200</v>
      </c>
      <c r="C22" s="3200" t="s">
        <v>1328</v>
      </c>
      <c r="D22" s="3200">
        <v>9170</v>
      </c>
      <c r="E22" s="3200" t="s">
        <v>1328</v>
      </c>
      <c r="F22" s="3200">
        <v>9450</v>
      </c>
      <c r="G22" s="3200" t="s">
        <v>3113</v>
      </c>
      <c r="H22" s="3200">
        <v>1800</v>
      </c>
    </row>
    <row r="71" ht="13.5" customHeight="1"/>
  </sheetData>
  <mergeCells count="4">
    <mergeCell ref="A20:B20"/>
    <mergeCell ref="C20:D20"/>
    <mergeCell ref="E20:F20"/>
    <mergeCell ref="G20:H20"/>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H37" sqref="H37"/>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93" t="s">
        <v>203</v>
      </c>
      <c r="B2" s="3293"/>
      <c r="C2" s="3293"/>
      <c r="D2" s="1956" t="s">
        <v>204</v>
      </c>
      <c r="E2" s="106" t="s">
        <v>205</v>
      </c>
      <c r="F2" s="1965"/>
      <c r="G2" s="1192"/>
      <c r="H2" s="1193"/>
      <c r="I2" s="1194" t="s">
        <v>856</v>
      </c>
      <c r="J2" s="1965"/>
      <c r="K2" s="1965"/>
      <c r="L2" s="1965"/>
    </row>
    <row r="3" spans="1:16" ht="15" thickBot="1">
      <c r="A3" s="3294" t="s">
        <v>206</v>
      </c>
      <c r="B3" s="3294"/>
      <c r="C3" s="3294"/>
      <c r="D3" s="107">
        <f>'数据-基础表'!AY6</f>
        <v>34964.49</v>
      </c>
      <c r="E3" s="107">
        <f>'数据-基础表'!AZ5</f>
        <v>109310.18</v>
      </c>
      <c r="F3" s="1965"/>
      <c r="G3" s="278" t="s">
        <v>857</v>
      </c>
      <c r="H3" s="273" t="s">
        <v>858</v>
      </c>
      <c r="I3" s="1957">
        <f>ROUND('数据-基础表'!B3/'数据-基础表'!A3,2)</f>
        <v>3.13</v>
      </c>
      <c r="J3" s="1965"/>
      <c r="K3" s="1965"/>
      <c r="L3" s="1965"/>
    </row>
    <row r="4" spans="1:16" ht="14.4">
      <c r="A4" s="3295"/>
      <c r="B4" s="3296"/>
      <c r="C4" s="3297"/>
      <c r="D4" s="108" t="s">
        <v>204</v>
      </c>
      <c r="E4" s="109" t="s">
        <v>205</v>
      </c>
      <c r="F4" s="1965"/>
      <c r="G4" s="1195"/>
      <c r="H4" s="273" t="s">
        <v>859</v>
      </c>
      <c r="I4" s="1957">
        <f>ROUND(SUMIF('数据-基础表'!I9:AS9,"地上",'数据-基础表'!I5:AS5)/'数据-基础表'!A3,2)</f>
        <v>1.82</v>
      </c>
      <c r="J4" s="1965"/>
      <c r="K4" s="1965"/>
      <c r="L4" s="1965"/>
    </row>
    <row r="5" spans="1:16" ht="14.4">
      <c r="A5" s="110" t="s">
        <v>207</v>
      </c>
      <c r="B5" s="3298" t="s">
        <v>230</v>
      </c>
      <c r="C5" s="3298"/>
      <c r="D5" s="111">
        <f>ROUND($D$3*E5/$E$3,2)</f>
        <v>20194.740000000002</v>
      </c>
      <c r="E5" s="112">
        <f>SUMIF('数据-基础表'!$11:$11,"住宅",'数据-基础表'!$5:$5)</f>
        <v>63135.22</v>
      </c>
      <c r="F5" s="1965"/>
      <c r="G5" s="278" t="s">
        <v>860</v>
      </c>
      <c r="H5" s="273" t="s">
        <v>858</v>
      </c>
      <c r="I5" s="1957">
        <f>ROUND(E31/D31,2)</f>
        <v>3.13</v>
      </c>
      <c r="J5" s="1965"/>
      <c r="K5" s="1965"/>
      <c r="L5" s="1965"/>
    </row>
    <row r="6" spans="1:16" ht="15" thickBot="1">
      <c r="A6" s="113"/>
      <c r="B6" s="3298" t="s">
        <v>208</v>
      </c>
      <c r="C6" s="3298"/>
      <c r="D6" s="111">
        <f>ROUND($D$3*E6/$E$3,2)</f>
        <v>14769.75</v>
      </c>
      <c r="E6" s="112">
        <f>E3-E5</f>
        <v>46174.959999999992</v>
      </c>
      <c r="F6" s="1965"/>
      <c r="G6" s="1195"/>
      <c r="H6" s="273" t="s">
        <v>859</v>
      </c>
      <c r="I6" s="1957">
        <f>ROUND(F31/D31,2)</f>
        <v>1.82</v>
      </c>
      <c r="J6" s="1965"/>
      <c r="K6" s="1965"/>
      <c r="L6" s="1965"/>
    </row>
    <row r="7" spans="1:16" ht="14.4">
      <c r="A7" s="3290"/>
      <c r="B7" s="3291"/>
      <c r="C7" s="3292"/>
      <c r="D7" s="108" t="s">
        <v>204</v>
      </c>
      <c r="E7" s="114" t="s">
        <v>231</v>
      </c>
      <c r="F7" s="1965"/>
      <c r="G7" s="1150" t="s">
        <v>1644</v>
      </c>
      <c r="H7" s="1151"/>
      <c r="I7" s="1827">
        <v>4</v>
      </c>
      <c r="J7" s="1965"/>
      <c r="K7" s="1965"/>
      <c r="L7" s="1965"/>
    </row>
    <row r="8" spans="1:16" ht="14.4">
      <c r="A8" s="110" t="s">
        <v>209</v>
      </c>
      <c r="B8" s="115" t="s">
        <v>210</v>
      </c>
      <c r="C8" s="111" t="s">
        <v>211</v>
      </c>
      <c r="D8" s="111">
        <f t="shared" ref="D8:D15" si="0">ROUND($D$3*E8/$E$3,2)</f>
        <v>20302.98</v>
      </c>
      <c r="E8" s="116">
        <f>SUMIF('数据-基础表'!BB10:BK10,"地上",'数据-基础表'!BB5:BK5)</f>
        <v>63473.62</v>
      </c>
      <c r="F8" s="1965"/>
      <c r="G8" s="1967"/>
      <c r="H8" s="1967"/>
      <c r="I8" s="1965"/>
      <c r="J8" s="1965"/>
      <c r="K8" s="1965"/>
      <c r="L8" s="1965"/>
    </row>
    <row r="9" spans="1:16" ht="14.4">
      <c r="A9" s="117"/>
      <c r="B9" s="118"/>
      <c r="C9" s="111" t="s">
        <v>212</v>
      </c>
      <c r="D9" s="111">
        <f t="shared" si="0"/>
        <v>57.58</v>
      </c>
      <c r="E9" s="119">
        <f>'数据-基础表'!AH13</f>
        <v>180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1100.6300000000001</v>
      </c>
      <c r="E12" s="116">
        <f>SUMPRODUCT(('数据-基础表'!BB10:BK10="地下")*('数据-基础表'!BB11:BK11="仓储")*('数据-基础表'!BB5:BK5))</f>
        <v>3440.91</v>
      </c>
      <c r="F12" s="1965"/>
      <c r="G12" s="1967"/>
      <c r="H12" s="1967"/>
      <c r="I12" s="1965"/>
      <c r="J12" s="1965"/>
      <c r="K12" s="1965"/>
      <c r="L12" s="1965"/>
    </row>
    <row r="13" spans="1:16" ht="14.4">
      <c r="A13" s="117"/>
      <c r="B13" s="118"/>
      <c r="C13" s="2312" t="s">
        <v>2331</v>
      </c>
      <c r="D13" s="111">
        <f t="shared" si="0"/>
        <v>9496.07</v>
      </c>
      <c r="E13" s="116">
        <f>SUMPRODUCT(('数据-基础表'!BB10:BK10="地下")*('数据-基础表'!BB11:BK11="车库")*('数据-基础表'!BB5:BK5))</f>
        <v>29687.75</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30957.260000000002</v>
      </c>
      <c r="E16" s="120">
        <f>SUM(E8:E15)</f>
        <v>96782.28</v>
      </c>
      <c r="F16" s="1965"/>
      <c r="G16" s="1967"/>
      <c r="H16" s="966" t="s">
        <v>219</v>
      </c>
      <c r="I16" s="967"/>
      <c r="J16" s="1965"/>
      <c r="K16" s="3284" t="s">
        <v>2563</v>
      </c>
      <c r="L16" s="3285"/>
      <c r="M16" s="3285"/>
      <c r="N16" s="3285"/>
      <c r="O16" s="3285"/>
      <c r="P16" s="3286"/>
    </row>
    <row r="17" spans="1:19" ht="14.4">
      <c r="A17" s="121" t="s">
        <v>216</v>
      </c>
      <c r="B17" s="122" t="s">
        <v>217</v>
      </c>
      <c r="C17" s="2279" t="s">
        <v>2310</v>
      </c>
      <c r="D17" s="108" t="s">
        <v>204</v>
      </c>
      <c r="E17" s="124" t="s">
        <v>205</v>
      </c>
      <c r="F17" s="125"/>
      <c r="G17" s="1359"/>
      <c r="H17" s="968" t="s">
        <v>218</v>
      </c>
      <c r="I17" s="969" t="s">
        <v>2309</v>
      </c>
      <c r="J17" s="1965"/>
      <c r="K17" s="3287" t="s">
        <v>2564</v>
      </c>
      <c r="L17" s="3288"/>
      <c r="M17" s="3289"/>
      <c r="N17" s="3287" t="s">
        <v>2565</v>
      </c>
      <c r="O17" s="3288"/>
      <c r="P17" s="3289"/>
      <c r="R17" s="2280" t="s">
        <v>2308</v>
      </c>
      <c r="S17" s="144"/>
    </row>
    <row r="18" spans="1:19" ht="14.4">
      <c r="A18" s="117"/>
      <c r="B18" s="128"/>
      <c r="C18" s="129"/>
      <c r="D18" s="2602"/>
      <c r="E18" s="130" t="s">
        <v>220</v>
      </c>
      <c r="F18" s="131" t="s">
        <v>221</v>
      </c>
      <c r="G18" s="1360" t="s">
        <v>222</v>
      </c>
      <c r="H18" s="970" t="s">
        <v>223</v>
      </c>
      <c r="I18" s="971" t="s">
        <v>224</v>
      </c>
      <c r="J18" s="1965"/>
      <c r="K18" s="2565" t="s">
        <v>2566</v>
      </c>
      <c r="L18" s="2566" t="s">
        <v>2567</v>
      </c>
      <c r="M18" s="2567" t="s">
        <v>2568</v>
      </c>
      <c r="N18" s="2565" t="s">
        <v>2566</v>
      </c>
      <c r="O18" s="2566" t="s">
        <v>2567</v>
      </c>
      <c r="P18" s="2567" t="s">
        <v>2568</v>
      </c>
      <c r="R18" s="2281" t="s">
        <v>2306</v>
      </c>
      <c r="S18" s="2281" t="s">
        <v>2307</v>
      </c>
    </row>
    <row r="19" spans="1:19" ht="14.4">
      <c r="A19" s="133"/>
      <c r="B19" s="115" t="s">
        <v>225</v>
      </c>
      <c r="C19" s="2973" t="str">
        <f>'数据-基础表'!C13</f>
        <v>住宅</v>
      </c>
      <c r="D19" s="111">
        <f t="shared" ref="D19:D26" si="1">ROUND($D$3*E19/$E$3,2)</f>
        <v>20194.740000000002</v>
      </c>
      <c r="E19" s="134">
        <f t="shared" ref="E19:E26" si="2">SUM(F19:G19)</f>
        <v>63135.22</v>
      </c>
      <c r="F19" s="135">
        <f>'数据-基础表'!I13</f>
        <v>63135.22</v>
      </c>
      <c r="G19" s="135"/>
      <c r="H19" s="972">
        <f>ROUND($D$3*I19/$E$3,2)</f>
        <v>2676.54</v>
      </c>
      <c r="I19" s="116">
        <f>IF($I$17="自定义",P19,M19)</f>
        <v>8367.7099999999991</v>
      </c>
      <c r="J19" s="1965"/>
      <c r="K19" s="2568">
        <f t="shared" ref="K19:K26" si="3">ROUND(E$28*E19/E$27,2)</f>
        <v>8187.71</v>
      </c>
      <c r="L19" s="273">
        <f t="shared" ref="L19:L26" si="4">ROUND(IF(COUNTIF(C19,"*住宅*")&gt;0,E$29*E19/E$32,0),2)</f>
        <v>180</v>
      </c>
      <c r="M19" s="2569">
        <f>K19+L19</f>
        <v>8367.7099999999991</v>
      </c>
      <c r="N19" s="2570"/>
      <c r="O19" s="2571"/>
      <c r="P19" s="2572">
        <f>N19+O19</f>
        <v>0</v>
      </c>
      <c r="R19" s="273">
        <f t="shared" ref="R19:S26" si="5">D19+H19</f>
        <v>22871.280000000002</v>
      </c>
      <c r="S19" s="2282">
        <f t="shared" si="5"/>
        <v>71502.929999999993</v>
      </c>
    </row>
    <row r="20" spans="1:19" ht="14.4">
      <c r="A20" s="138"/>
      <c r="B20" s="115" t="s">
        <v>226</v>
      </c>
      <c r="C20" s="2973" t="str">
        <f>'数据-基础表'!C14</f>
        <v>商业</v>
      </c>
      <c r="D20" s="111">
        <f t="shared" si="1"/>
        <v>108.24</v>
      </c>
      <c r="E20" s="134">
        <f t="shared" si="2"/>
        <v>338.4</v>
      </c>
      <c r="F20" s="135">
        <f>'数据-基础表'!K14</f>
        <v>338.4</v>
      </c>
      <c r="G20" s="135"/>
      <c r="H20" s="972">
        <f t="shared" ref="H20:H26" si="6">ROUND($D$3*I20/$E$3,2)</f>
        <v>14.04</v>
      </c>
      <c r="I20" s="116">
        <f t="shared" ref="I20:I26" si="7">IF($I$17="自定义",P20,M20)</f>
        <v>43.89</v>
      </c>
      <c r="J20" s="1965"/>
      <c r="K20" s="2568">
        <f t="shared" si="3"/>
        <v>43.89</v>
      </c>
      <c r="L20" s="273">
        <f t="shared" si="4"/>
        <v>0</v>
      </c>
      <c r="M20" s="2569">
        <f t="shared" ref="M20:M26" si="8">K20+L20</f>
        <v>43.89</v>
      </c>
      <c r="N20" s="2570"/>
      <c r="O20" s="2571"/>
      <c r="P20" s="2572">
        <f t="shared" ref="P20:P26" si="9">N20+O20</f>
        <v>0</v>
      </c>
      <c r="R20" s="273">
        <f t="shared" si="5"/>
        <v>122.28</v>
      </c>
      <c r="S20" s="2282">
        <f t="shared" si="5"/>
        <v>382.28999999999996</v>
      </c>
    </row>
    <row r="21" spans="1:19" ht="14.4">
      <c r="A21" s="138"/>
      <c r="B21" s="115" t="s">
        <v>226</v>
      </c>
      <c r="C21" s="2973" t="str">
        <f>'数据-基础表'!C15</f>
        <v>地下仓储</v>
      </c>
      <c r="D21" s="111">
        <f t="shared" si="1"/>
        <v>1100.6300000000001</v>
      </c>
      <c r="E21" s="134">
        <f t="shared" si="2"/>
        <v>3440.91</v>
      </c>
      <c r="F21" s="135"/>
      <c r="G21" s="135">
        <f>'数据-基础表'!M15</f>
        <v>3440.91</v>
      </c>
      <c r="H21" s="972">
        <f t="shared" si="6"/>
        <v>142.74</v>
      </c>
      <c r="I21" s="116">
        <f t="shared" si="7"/>
        <v>446.24</v>
      </c>
      <c r="J21" s="1965"/>
      <c r="K21" s="2568">
        <f t="shared" si="3"/>
        <v>446.24</v>
      </c>
      <c r="L21" s="273">
        <f t="shared" si="4"/>
        <v>0</v>
      </c>
      <c r="M21" s="2569">
        <f t="shared" si="8"/>
        <v>446.24</v>
      </c>
      <c r="N21" s="2570"/>
      <c r="O21" s="2571"/>
      <c r="P21" s="2572">
        <f t="shared" si="9"/>
        <v>0</v>
      </c>
      <c r="R21" s="273">
        <f t="shared" si="5"/>
        <v>1243.3700000000001</v>
      </c>
      <c r="S21" s="2282">
        <f t="shared" si="5"/>
        <v>3887.1499999999996</v>
      </c>
    </row>
    <row r="22" spans="1:19" ht="14.4">
      <c r="A22" s="138"/>
      <c r="B22" s="115" t="s">
        <v>226</v>
      </c>
      <c r="C22" s="2973" t="str">
        <f>'数据-基础表'!C16</f>
        <v>地下车库</v>
      </c>
      <c r="D22" s="111">
        <f t="shared" si="1"/>
        <v>9496.07</v>
      </c>
      <c r="E22" s="134">
        <f t="shared" si="2"/>
        <v>29687.75</v>
      </c>
      <c r="F22" s="135"/>
      <c r="G22" s="135">
        <f>'数据-基础表'!O16</f>
        <v>29687.75</v>
      </c>
      <c r="H22" s="972">
        <f t="shared" si="6"/>
        <v>1231.5</v>
      </c>
      <c r="I22" s="116">
        <f t="shared" si="7"/>
        <v>3850.07</v>
      </c>
      <c r="J22" s="1965"/>
      <c r="K22" s="2568">
        <f t="shared" si="3"/>
        <v>3850.07</v>
      </c>
      <c r="L22" s="273">
        <f t="shared" si="4"/>
        <v>0</v>
      </c>
      <c r="M22" s="2569">
        <f t="shared" si="8"/>
        <v>3850.07</v>
      </c>
      <c r="N22" s="2570"/>
      <c r="O22" s="2571"/>
      <c r="P22" s="2572">
        <f t="shared" si="9"/>
        <v>0</v>
      </c>
      <c r="R22" s="273">
        <f t="shared" si="5"/>
        <v>10727.57</v>
      </c>
      <c r="S22" s="2282">
        <f t="shared" si="5"/>
        <v>33537.82</v>
      </c>
    </row>
    <row r="23" spans="1:19" ht="14.4" hidden="1">
      <c r="A23" s="138"/>
      <c r="B23" s="115" t="s">
        <v>226</v>
      </c>
      <c r="C23" s="139"/>
      <c r="D23" s="111">
        <f>ROUND($D$3*E23/$E$3,2)</f>
        <v>0</v>
      </c>
      <c r="E23" s="134">
        <f>SUM(F23:G23)</f>
        <v>0</v>
      </c>
      <c r="F23" s="140"/>
      <c r="G23" s="1361"/>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ht="14.4" hidden="1">
      <c r="A24" s="138"/>
      <c r="B24" s="115" t="s">
        <v>226</v>
      </c>
      <c r="C24" s="139"/>
      <c r="D24" s="111">
        <f>ROUND($D$3*E24/$E$3,2)</f>
        <v>0</v>
      </c>
      <c r="E24" s="134">
        <f>SUM(F24:G24)</f>
        <v>0</v>
      </c>
      <c r="F24" s="140"/>
      <c r="G24" s="1361"/>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ht="14.4" hidden="1">
      <c r="A25" s="138"/>
      <c r="B25" s="115" t="s">
        <v>226</v>
      </c>
      <c r="C25" s="139"/>
      <c r="D25" s="111">
        <f t="shared" si="1"/>
        <v>0</v>
      </c>
      <c r="E25" s="134">
        <f t="shared" si="2"/>
        <v>0</v>
      </c>
      <c r="F25" s="140"/>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ht="14.4" hidden="1">
      <c r="A26" s="138"/>
      <c r="B26" s="115" t="s">
        <v>226</v>
      </c>
      <c r="C26" s="142"/>
      <c r="D26" s="111">
        <f t="shared" si="1"/>
        <v>0</v>
      </c>
      <c r="E26" s="134">
        <f t="shared" si="2"/>
        <v>0</v>
      </c>
      <c r="F26" s="140"/>
      <c r="G26" s="1361"/>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8.2" thickBot="1">
      <c r="A27" s="138"/>
      <c r="B27" s="111"/>
      <c r="C27" s="127" t="s">
        <v>215</v>
      </c>
      <c r="D27" s="134">
        <f>SUM(D19:D26)</f>
        <v>30899.680000000004</v>
      </c>
      <c r="E27" s="143">
        <f>IF(SUM(E19:E26)='数据-基础表'!BA5,SUM(E19:E26),IF(F27="地上面积有误","面积有误","地下面积有误"))</f>
        <v>96602.28</v>
      </c>
      <c r="F27" s="134">
        <f>IF(SUM(F19:F26)=E8,SUM(F19:F26),"地上面积有误")</f>
        <v>63473.62</v>
      </c>
      <c r="G27" s="112">
        <f>SUM(G19:G26)</f>
        <v>33128.660000000003</v>
      </c>
      <c r="H27" s="973">
        <f>SUM(H19:H26)</f>
        <v>4064.8199999999997</v>
      </c>
      <c r="I27" s="974">
        <f>SUM(I19:I26)</f>
        <v>12707.909999999998</v>
      </c>
      <c r="J27" s="1965"/>
      <c r="K27" s="2577">
        <f>SUM(K19:K26)</f>
        <v>12527.91</v>
      </c>
      <c r="L27" s="2578">
        <f>SUM(L19:L26)</f>
        <v>180</v>
      </c>
      <c r="M27" s="2579">
        <f>SUM(M19:M26)</f>
        <v>12707.909999999998</v>
      </c>
      <c r="N27" s="2577">
        <f t="shared" ref="N27:O27" si="10">SUM(N19:N26)</f>
        <v>0</v>
      </c>
      <c r="O27" s="2578">
        <f t="shared" si="10"/>
        <v>0</v>
      </c>
      <c r="P27" s="2580">
        <f>SUM(P19:P26)</f>
        <v>0</v>
      </c>
      <c r="R27" s="2286" t="str">
        <f>IF(SUM(R19:R26)=$D$3,SUM(R19:R26),SUM(R19:R26)&amp;"误差"&amp;ROUND(SUM(R19:R26)-$D$3,2))</f>
        <v>34964.5误差0.01</v>
      </c>
      <c r="S27" s="273" t="str">
        <f>IF(SUM(S19:S26)=$E$3,SUM(S19:S26),SUM(S19:S26)&amp;"误差"&amp;ROUND(SUM(S19:S26)-E3,2))</f>
        <v>109310.19误差0.01</v>
      </c>
    </row>
    <row r="28" spans="1:19" ht="14.4">
      <c r="A28" s="138"/>
      <c r="B28" s="115" t="s">
        <v>227</v>
      </c>
      <c r="C28" s="136" t="s">
        <v>228</v>
      </c>
      <c r="D28" s="111">
        <f>ROUND($D$3*E28/$E$3,2)</f>
        <v>4007.24</v>
      </c>
      <c r="E28" s="134">
        <f>SUM(F28:G28)</f>
        <v>12527.9</v>
      </c>
      <c r="F28" s="144">
        <f>'数据-基础表'!BQ5+'数据-基础表'!BS5</f>
        <v>150</v>
      </c>
      <c r="G28" s="145">
        <f>'数据-基础表'!BR5+'数据-基础表'!BT5</f>
        <v>12377.9</v>
      </c>
      <c r="H28" s="1965"/>
      <c r="I28" s="1965"/>
      <c r="J28" s="1965"/>
      <c r="K28" s="1965"/>
      <c r="L28" s="1965"/>
    </row>
    <row r="29" spans="1:19" ht="14.4">
      <c r="A29" s="138"/>
      <c r="B29" s="115" t="s">
        <v>227</v>
      </c>
      <c r="C29" s="2294" t="s">
        <v>2317</v>
      </c>
      <c r="D29" s="111">
        <f>ROUND($D$3*E29/$E$3,2)</f>
        <v>57.58</v>
      </c>
      <c r="E29" s="134">
        <f>SUM(F29:G29)</f>
        <v>180</v>
      </c>
      <c r="F29" s="144">
        <f>'数据-基础表'!BM5+'数据-基础表'!BO5</f>
        <v>180</v>
      </c>
      <c r="G29" s="146">
        <f>'数据-基础表'!BN5+'数据-基础表'!BP5</f>
        <v>0</v>
      </c>
      <c r="H29" s="1965"/>
      <c r="I29" s="1965"/>
      <c r="J29" s="1965"/>
      <c r="K29" s="1965"/>
      <c r="L29" s="1965"/>
    </row>
    <row r="30" spans="1:19" ht="14.4">
      <c r="A30" s="138"/>
      <c r="B30" s="111"/>
      <c r="C30" s="147" t="s">
        <v>215</v>
      </c>
      <c r="D30" s="134">
        <f>SUM(D28:D29)</f>
        <v>4064.8199999999997</v>
      </c>
      <c r="E30" s="134">
        <f>SUM(E28:E29)</f>
        <v>12707.9</v>
      </c>
      <c r="F30" s="134">
        <f>SUM(F28:F29)</f>
        <v>330</v>
      </c>
      <c r="G30" s="112">
        <f>SUM(G28:G29)</f>
        <v>12377.9</v>
      </c>
      <c r="H30" s="1965"/>
      <c r="I30" s="1965"/>
      <c r="J30" s="1965"/>
      <c r="K30" s="1965"/>
      <c r="L30" s="1965"/>
    </row>
    <row r="31" spans="1:19" ht="32.25" customHeight="1" thickBot="1">
      <c r="A31" s="1362"/>
      <c r="B31" s="1363" t="s">
        <v>229</v>
      </c>
      <c r="C31" s="2311" t="s">
        <v>2319</v>
      </c>
      <c r="D31" s="1364">
        <f>D27+D30</f>
        <v>34964.5</v>
      </c>
      <c r="E31" s="1364">
        <f>E27+E30</f>
        <v>109310.18</v>
      </c>
      <c r="F31" s="1365">
        <f>F27+F30</f>
        <v>63803.62</v>
      </c>
      <c r="G31" s="1366">
        <f>G27+G30</f>
        <v>45506.560000000005</v>
      </c>
      <c r="H31" s="1965"/>
      <c r="I31" s="1965"/>
      <c r="J31" s="1965"/>
      <c r="K31" s="1965"/>
      <c r="L31" s="1965"/>
    </row>
    <row r="32" spans="1:19" ht="14.4">
      <c r="A32" s="1965"/>
      <c r="B32" s="2323" t="s">
        <v>2318</v>
      </c>
      <c r="C32" s="2607"/>
      <c r="D32" s="1195"/>
      <c r="E32" s="1195">
        <f>SUMIF(C19:C26,"*住宅*",E19:E26)</f>
        <v>63135.22</v>
      </c>
      <c r="F32" s="1195"/>
      <c r="G32" s="1195"/>
    </row>
    <row r="33" spans="4:7">
      <c r="D33" s="1969"/>
    </row>
    <row r="38" spans="4:7">
      <c r="F38" s="3202">
        <f>F31+'[1]数据-汇总表'!$F$31</f>
        <v>86933.08</v>
      </c>
      <c r="G38" s="1966">
        <v>42443.6</v>
      </c>
    </row>
    <row r="39" spans="4:7">
      <c r="G39" s="1966">
        <f>F38/G38</f>
        <v>2.0482023202555864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6" sqref="O26"/>
    </sheetView>
  </sheetViews>
  <sheetFormatPr defaultColWidth="13.77734375" defaultRowHeight="13.2"/>
  <cols>
    <col min="1" max="1" width="20.88671875" style="1210" customWidth="1"/>
    <col min="2" max="3" width="12" style="1197" customWidth="1"/>
    <col min="4" max="4" width="9.109375" style="1211" customWidth="1"/>
    <col min="5" max="5" width="17.109375" style="1197"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235</v>
      </c>
      <c r="B2" s="2319">
        <f>项目基本情况!D3</f>
        <v>43832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7.6">
      <c r="A5" s="2285"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2825</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922</v>
      </c>
      <c r="D6" s="2289">
        <f>SUMIF(项目基本情况!D$15:I$15,C6,项目基本情况!D$18:I$18)</f>
        <v>70</v>
      </c>
      <c r="E6" s="2290">
        <f>IF(B6="","",SUMIF(项目基本情况!D$15:I$15,C6,项目基本情况!D$17:I$17))</f>
        <v>63511</v>
      </c>
      <c r="F6" s="174">
        <f>SUMIF(项目基本情况!D$15:I$15,C6,项目基本情况!D$19:I$19)</f>
        <v>53.91</v>
      </c>
      <c r="G6" s="175">
        <f>IF(ISERROR(ROUND(POWER(1+H6,D6-F6)*(POWER(1+H6,F6)-1)/(POWER(1+H6,D6)-1),3)),0,ROUND(POWER(1+H6,D6-F6)*(POWER(1+H6,F6)-1)/(POWER(1+H6,D6)-1),3))</f>
        <v>0.95</v>
      </c>
      <c r="H6" s="3205">
        <v>4.4999999999999998E-2</v>
      </c>
      <c r="I6" s="3205">
        <v>0.05</v>
      </c>
      <c r="J6" s="3205">
        <v>8.5000000000000006E-2</v>
      </c>
      <c r="K6" s="179">
        <f>SUMIF('数据-汇总表'!C$19:C$33,'数据-取费表'!A6,'数据-汇总表'!E$19:E$33)</f>
        <v>63135.22</v>
      </c>
      <c r="L6" s="3204">
        <v>4000</v>
      </c>
      <c r="M6" s="177">
        <f t="shared" ref="M6:M14" si="0">ROUND(K6*L6/10000,0)</f>
        <v>25254</v>
      </c>
      <c r="N6" s="2975">
        <v>0</v>
      </c>
      <c r="O6" s="177">
        <f>IF($N$5="成新度","——",ROUND(M6*N6,0))</f>
        <v>0</v>
      </c>
      <c r="P6" s="178">
        <f>IF($N$5="成新度","——",M6-O6)</f>
        <v>25254</v>
      </c>
      <c r="Q6" s="2976">
        <v>0.2</v>
      </c>
      <c r="R6" s="179">
        <f>SUMIF('数据-汇总表'!C$19:C$33,A6,'数据-汇总表'!R$19:R$33)</f>
        <v>22871.280000000002</v>
      </c>
      <c r="S6" s="132">
        <f>IF('数据-汇总表'!$I$17="按面积比例",SUMIF('数据-汇总表'!C$19:C$33,A6,'数据-汇总表'!K$19:K$33),SUMIF('数据-汇总表'!C$19:C$33,A6,'数据-汇总表'!N$19:N$33))</f>
        <v>8187.71</v>
      </c>
      <c r="T6" s="2215">
        <f>IF($T$4="按面积比例",IF(ISERROR(ROUND($M$14*S6/S$16,0)),"0",ROUND($M$14*S6/S$16,0)),"需自行计算录入")</f>
        <v>2047</v>
      </c>
      <c r="U6" s="180"/>
      <c r="V6" s="181"/>
      <c r="W6" s="181"/>
      <c r="X6" s="2302"/>
      <c r="Y6" s="182"/>
      <c r="Z6" s="183"/>
      <c r="AA6" s="176"/>
      <c r="AB6" s="176"/>
      <c r="AC6" s="2305"/>
      <c r="AD6" s="184"/>
      <c r="AE6" s="970">
        <f ca="1">IF(AN6="",0,SUMIF(INDIRECT("'"&amp;AN6&amp;"'"&amp;"!E:E"),$AE$5,INDIRECT("'"&amp;AN6&amp;"'"&amp;"!F:F")))</f>
        <v>0</v>
      </c>
      <c r="AF6" s="141"/>
      <c r="AG6" s="1207">
        <f>IF(AF6="",0,AE6-AF6)</f>
        <v>0</v>
      </c>
      <c r="AH6" s="141"/>
      <c r="AI6" s="187">
        <v>365</v>
      </c>
      <c r="AJ6" s="188"/>
      <c r="AK6" s="189">
        <v>1.4999999999999999E-2</v>
      </c>
      <c r="AL6" s="190">
        <v>1.5E-3</v>
      </c>
      <c r="AM6" s="2987">
        <v>0.01</v>
      </c>
      <c r="AN6" s="2352"/>
      <c r="AO6" s="1981"/>
      <c r="AP6" s="1198">
        <f>ROUND(1-1/(1+H6)^F6,3)</f>
        <v>0.90700000000000003</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商业</v>
      </c>
      <c r="B7" s="2318" t="str">
        <f t="shared" ref="B7:B13" si="1">IF(A7=0,"","经营性")</f>
        <v>经营性</v>
      </c>
      <c r="C7" s="173" t="s">
        <v>2988</v>
      </c>
      <c r="D7" s="2289">
        <f>SUMIF(项目基本情况!D$15:I$15,C7,项目基本情况!D$18:I$18)</f>
        <v>40</v>
      </c>
      <c r="E7" s="2290">
        <f>IF(B7="","",SUMIF(项目基本情况!D$15:I$15,C7,项目基本情况!D$17:I$17))</f>
        <v>52553</v>
      </c>
      <c r="F7" s="174">
        <f>SUMIF(项目基本情况!D$15:I$15,C7,项目基本情况!D$19:I$19)</f>
        <v>23.89</v>
      </c>
      <c r="G7" s="175">
        <f t="shared" ref="G7:G11" si="2">IF(ISERROR(ROUND(POWER(1+H7,D7-F7)*(POWER(1+H7,F7)-1)/(POWER(1+H7,D7)-1),3)),0,ROUND(POWER(1+H7,D7-F7)*(POWER(1+H7,F7)-1)/(POWER(1+H7,D7)-1),3))</f>
        <v>0.80200000000000005</v>
      </c>
      <c r="H7" s="3205">
        <v>0.05</v>
      </c>
      <c r="I7" s="3205">
        <v>5.5E-2</v>
      </c>
      <c r="J7" s="3205">
        <v>8.5000000000000006E-2</v>
      </c>
      <c r="K7" s="179">
        <f>SUMIF('数据-汇总表'!C$19:C$33,'数据-取费表'!A7,'数据-汇总表'!E$19:E$33)</f>
        <v>338.4</v>
      </c>
      <c r="L7" s="3204">
        <v>3000</v>
      </c>
      <c r="M7" s="177">
        <f t="shared" si="0"/>
        <v>102</v>
      </c>
      <c r="N7" s="2975">
        <v>0</v>
      </c>
      <c r="O7" s="177">
        <f t="shared" ref="O7:O14" si="3">IF($N$5="成新度","——",ROUND(M7*N7,0))</f>
        <v>0</v>
      </c>
      <c r="P7" s="178">
        <f t="shared" ref="P7:P14" si="4">IF($N$5="成新度","——",M7-O7)</f>
        <v>102</v>
      </c>
      <c r="Q7" s="3208">
        <v>0.2</v>
      </c>
      <c r="R7" s="179">
        <f>SUMIF('数据-汇总表'!C$19:C$33,A7,'数据-汇总表'!R$19:R$33)</f>
        <v>122.28</v>
      </c>
      <c r="S7" s="132">
        <f>IF('数据-汇总表'!$I$17="按面积比例",SUMIF('数据-汇总表'!C$19:C$33,A7,'数据-汇总表'!K$19:K$33),SUMIF('数据-汇总表'!C$19:C$33,A7,'数据-汇总表'!N$19:N$33))</f>
        <v>43.89</v>
      </c>
      <c r="T7" s="2215">
        <f t="shared" ref="T7:T13" si="5">IF($T$4="按面积比例",IF(ISERROR(ROUND($M$14*S7/S$16,0)),"0",ROUND($M$14*S7/S$16,0)),"需自行计算录入")</f>
        <v>11</v>
      </c>
      <c r="U7" s="180">
        <v>6</v>
      </c>
      <c r="V7" s="181">
        <v>0.03</v>
      </c>
      <c r="W7" s="181">
        <v>0.1</v>
      </c>
      <c r="X7" s="2302"/>
      <c r="Y7" s="182">
        <v>1</v>
      </c>
      <c r="Z7" s="183"/>
      <c r="AA7" s="176"/>
      <c r="AB7" s="176"/>
      <c r="AC7" s="2305"/>
      <c r="AD7" s="184"/>
      <c r="AE7" s="970">
        <f t="shared" ref="AE7:AE13" ca="1" si="6">IF(AN7="",0,SUMIF(INDIRECT("'"&amp;AN7&amp;"'"&amp;"!E:E"),$AE$5,INDIRECT("'"&amp;AN7&amp;"'"&amp;"!F:F")))</f>
        <v>21.39</v>
      </c>
      <c r="AF7" s="141"/>
      <c r="AG7" s="1207">
        <f t="shared" ref="AG7:AG13" si="7">IF(AF7="",0,AE7-AF7)</f>
        <v>0</v>
      </c>
      <c r="AH7" s="141"/>
      <c r="AI7" s="187">
        <v>365</v>
      </c>
      <c r="AJ7" s="188"/>
      <c r="AK7" s="189">
        <v>1.4999999999999999E-2</v>
      </c>
      <c r="AL7" s="190">
        <v>1.5E-3</v>
      </c>
      <c r="AM7" s="2987">
        <v>0.01</v>
      </c>
      <c r="AN7" s="2352" t="s">
        <v>3039</v>
      </c>
      <c r="AO7" s="1981"/>
      <c r="AP7" s="1198">
        <f t="shared" ref="AP7:AP13" si="8">ROUND(1-1/(1+H7)^F7,3)</f>
        <v>0.68799999999999994</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地下仓储</v>
      </c>
      <c r="B8" s="2318" t="str">
        <f t="shared" si="1"/>
        <v>经营性</v>
      </c>
      <c r="C8" s="173" t="s">
        <v>2990</v>
      </c>
      <c r="D8" s="2289">
        <f>SUMIF(项目基本情况!D$15:I$15,C8,项目基本情况!D$18:I$18)</f>
        <v>50</v>
      </c>
      <c r="E8" s="2290">
        <f>IF(B8="","",SUMIF(项目基本情况!D$15:I$15,C8,项目基本情况!D$17:I$17))</f>
        <v>56206</v>
      </c>
      <c r="F8" s="174">
        <f>SUMIF(项目基本情况!D$15:I$15,C8,项目基本情况!D$19:I$19)</f>
        <v>33.9</v>
      </c>
      <c r="G8" s="175">
        <f t="shared" si="2"/>
        <v>0.872</v>
      </c>
      <c r="H8" s="2974">
        <v>4.4999999999999998E-2</v>
      </c>
      <c r="I8" s="2974">
        <v>0.05</v>
      </c>
      <c r="J8" s="2974">
        <v>8.5000000000000006E-2</v>
      </c>
      <c r="K8" s="179">
        <f>SUMIF('数据-汇总表'!C$19:C$33,'数据-取费表'!A8,'数据-汇总表'!E$19:E$33)</f>
        <v>3440.91</v>
      </c>
      <c r="L8" s="3204">
        <v>2500</v>
      </c>
      <c r="M8" s="177">
        <f>ROUND(K8*L8/10000,0)</f>
        <v>860</v>
      </c>
      <c r="N8" s="2975">
        <v>0</v>
      </c>
      <c r="O8" s="177">
        <f t="shared" si="3"/>
        <v>0</v>
      </c>
      <c r="P8" s="178">
        <f t="shared" si="4"/>
        <v>860</v>
      </c>
      <c r="Q8" s="2976">
        <v>0.03</v>
      </c>
      <c r="R8" s="179">
        <f>SUMIF('数据-汇总表'!C$19:C$33,A8,'数据-汇总表'!R$19:R$33)</f>
        <v>1243.3700000000001</v>
      </c>
      <c r="S8" s="132">
        <f>IF('数据-汇总表'!$I$17="按面积比例",SUMIF('数据-汇总表'!C$19:C$33,A8,'数据-汇总表'!K$19:K$33),SUMIF('数据-汇总表'!C$19:C$33,A8,'数据-汇总表'!N$19:N$33))</f>
        <v>446.24</v>
      </c>
      <c r="T8" s="2215">
        <f t="shared" si="5"/>
        <v>112</v>
      </c>
      <c r="U8" s="180">
        <v>2</v>
      </c>
      <c r="V8" s="181">
        <v>2.5000000000000001E-2</v>
      </c>
      <c r="W8" s="181">
        <v>0.1</v>
      </c>
      <c r="X8" s="2302"/>
      <c r="Y8" s="182">
        <v>1</v>
      </c>
      <c r="Z8" s="183"/>
      <c r="AA8" s="176"/>
      <c r="AB8" s="176"/>
      <c r="AC8" s="2305"/>
      <c r="AD8" s="184"/>
      <c r="AE8" s="970">
        <f t="shared" ca="1" si="6"/>
        <v>31.4</v>
      </c>
      <c r="AF8" s="141"/>
      <c r="AG8" s="1207">
        <f t="shared" si="7"/>
        <v>0</v>
      </c>
      <c r="AH8" s="141"/>
      <c r="AI8" s="187">
        <v>365</v>
      </c>
      <c r="AJ8" s="188"/>
      <c r="AK8" s="189">
        <v>1.4999999999999999E-2</v>
      </c>
      <c r="AL8" s="190">
        <v>1.5E-3</v>
      </c>
      <c r="AM8" s="2987">
        <v>0.01</v>
      </c>
      <c r="AN8" s="2352" t="s">
        <v>3043</v>
      </c>
      <c r="AO8" s="1981"/>
      <c r="AP8" s="1198">
        <f t="shared" si="8"/>
        <v>0.77500000000000002</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2989</v>
      </c>
      <c r="D9" s="2289">
        <f>SUMIF(项目基本情况!D$15:I$15,C9,项目基本情况!D$18:I$18)</f>
        <v>50</v>
      </c>
      <c r="E9" s="2290">
        <f>IF(B9="","",SUMIF(项目基本情况!D$15:I$15,C9,项目基本情况!D$17:I$17))</f>
        <v>56206</v>
      </c>
      <c r="F9" s="174">
        <f>SUMIF(项目基本情况!D$15:I$15,C9,项目基本情况!D$19:I$19)</f>
        <v>33.9</v>
      </c>
      <c r="G9" s="175">
        <f t="shared" si="2"/>
        <v>0.872</v>
      </c>
      <c r="H9" s="2974">
        <v>4.4999999999999998E-2</v>
      </c>
      <c r="I9" s="2974">
        <v>0.05</v>
      </c>
      <c r="J9" s="2974">
        <v>8.5000000000000006E-2</v>
      </c>
      <c r="K9" s="179">
        <f>SUMIF('数据-汇总表'!C$19:C$33,'数据-取费表'!A9,'数据-汇总表'!E$19:E$33)</f>
        <v>29687.75</v>
      </c>
      <c r="L9" s="3204">
        <v>2500</v>
      </c>
      <c r="M9" s="177">
        <f t="shared" si="0"/>
        <v>7422</v>
      </c>
      <c r="N9" s="2975">
        <v>0</v>
      </c>
      <c r="O9" s="177">
        <f t="shared" si="3"/>
        <v>0</v>
      </c>
      <c r="P9" s="178">
        <f t="shared" si="4"/>
        <v>7422</v>
      </c>
      <c r="Q9" s="2976">
        <v>0.03</v>
      </c>
      <c r="R9" s="179">
        <f>SUMIF('数据-汇总表'!C$19:C$33,A9,'数据-汇总表'!R$19:R$33)</f>
        <v>10727.57</v>
      </c>
      <c r="S9" s="132">
        <f>IF('数据-汇总表'!$I$17="按面积比例",SUMIF('数据-汇总表'!C$19:C$33,A9,'数据-汇总表'!K$19:K$33),SUMIF('数据-汇总表'!C$19:C$33,A9,'数据-汇总表'!N$19:N$33))</f>
        <v>3850.07</v>
      </c>
      <c r="T9" s="2215">
        <f t="shared" si="5"/>
        <v>963</v>
      </c>
      <c r="U9" s="180"/>
      <c r="V9" s="181"/>
      <c r="W9" s="181"/>
      <c r="X9" s="2302"/>
      <c r="Y9" s="182">
        <v>1</v>
      </c>
      <c r="Z9" s="183"/>
      <c r="AA9" s="176"/>
      <c r="AB9" s="176"/>
      <c r="AC9" s="2305"/>
      <c r="AD9" s="184"/>
      <c r="AE9" s="970">
        <f t="shared" ca="1" si="6"/>
        <v>31.4</v>
      </c>
      <c r="AF9" s="141"/>
      <c r="AG9" s="1207">
        <f t="shared" si="7"/>
        <v>0</v>
      </c>
      <c r="AH9" s="141">
        <v>947</v>
      </c>
      <c r="AI9" s="187">
        <v>12</v>
      </c>
      <c r="AJ9" s="188"/>
      <c r="AK9" s="189">
        <v>1.4999999999999999E-2</v>
      </c>
      <c r="AL9" s="190">
        <v>1.5E-3</v>
      </c>
      <c r="AM9" s="2987">
        <v>0.01</v>
      </c>
      <c r="AN9" s="2352" t="s">
        <v>3041</v>
      </c>
      <c r="AO9" s="1981"/>
      <c r="AP9" s="1198">
        <f t="shared" si="8"/>
        <v>0.77500000000000002</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04">
        <v>2500</v>
      </c>
      <c r="M10" s="177">
        <f t="shared" si="0"/>
        <v>0</v>
      </c>
      <c r="N10" s="297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04">
        <v>2500</v>
      </c>
      <c r="M11" s="177">
        <f t="shared" si="0"/>
        <v>0</v>
      </c>
      <c r="N11" s="297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70">
        <f t="shared" ca="1" si="6"/>
        <v>0</v>
      </c>
      <c r="AF11" s="141"/>
      <c r="AG11" s="1207">
        <f t="shared" si="7"/>
        <v>0</v>
      </c>
      <c r="AH11" s="141"/>
      <c r="AI11" s="187"/>
      <c r="AJ11" s="188"/>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04">
        <v>2500</v>
      </c>
      <c r="M12" s="177">
        <f>ROUND(K12*L12/10000,0)</f>
        <v>0</v>
      </c>
      <c r="N12" s="297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70">
        <f t="shared" ca="1" si="6"/>
        <v>0</v>
      </c>
      <c r="AF12" s="141"/>
      <c r="AG12" s="1207">
        <f t="shared" si="7"/>
        <v>0</v>
      </c>
      <c r="AH12" s="141"/>
      <c r="AI12" s="187"/>
      <c r="AJ12" s="188"/>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04">
        <v>2500</v>
      </c>
      <c r="M13" s="177">
        <f>ROUND(K13*L13/10000,0)</f>
        <v>0</v>
      </c>
      <c r="N13" s="297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2311</v>
      </c>
      <c r="B14" s="2287" t="s">
        <v>1678</v>
      </c>
      <c r="C14" s="2288" t="s">
        <v>2311</v>
      </c>
      <c r="D14" s="2289"/>
      <c r="E14" s="2290"/>
      <c r="F14" s="174"/>
      <c r="G14" s="175"/>
      <c r="H14" s="2291"/>
      <c r="I14" s="2291"/>
      <c r="J14" s="2291"/>
      <c r="K14" s="179">
        <f>SUMIF('数据-汇总表'!C$19:C$33,'数据-取费表'!A14,'数据-汇总表'!E$19:E$33)</f>
        <v>12527.9</v>
      </c>
      <c r="L14" s="3204">
        <v>2500</v>
      </c>
      <c r="M14" s="177">
        <f t="shared" si="0"/>
        <v>3132</v>
      </c>
      <c r="N14" s="2975">
        <v>0</v>
      </c>
      <c r="O14" s="177">
        <f t="shared" si="3"/>
        <v>0</v>
      </c>
      <c r="P14" s="178">
        <f t="shared" si="4"/>
        <v>3132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2313</v>
      </c>
      <c r="B15" s="2287" t="s">
        <v>1678</v>
      </c>
      <c r="C15" s="2288" t="s">
        <v>2312</v>
      </c>
      <c r="D15" s="2289"/>
      <c r="E15" s="2290"/>
      <c r="F15" s="174"/>
      <c r="G15" s="175"/>
      <c r="H15" s="2291"/>
      <c r="I15" s="2291"/>
      <c r="J15" s="2291"/>
      <c r="K15" s="179">
        <f>SUMIF('数据-汇总表'!C$19:C$33,'数据-取费表'!A15,'数据-汇总表'!E$19:E$33)</f>
        <v>180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6" t="s">
        <v>262</v>
      </c>
      <c r="B16" s="197"/>
      <c r="C16" s="198"/>
      <c r="D16" s="199"/>
      <c r="E16" s="197"/>
      <c r="F16" s="197"/>
      <c r="G16" s="200">
        <f>ROUND(SUMPRODUCT(G6:G13,K6:K13)/SUMPRODUCT((G6:G13&gt;0)*(K6:K13)),3)</f>
        <v>0.92300000000000004</v>
      </c>
      <c r="H16" s="201">
        <f>ROUND(SUMPRODUCT(H6:H13,K6:K13)/SUMPRODUCT((H6:H13&gt;0)*(K6:K13)),3)</f>
        <v>4.4999999999999998E-2</v>
      </c>
      <c r="I16" s="202"/>
      <c r="J16" s="202"/>
      <c r="K16" s="203">
        <f>SUM(K6:K15)</f>
        <v>109310.18</v>
      </c>
      <c r="L16" s="204">
        <f>ROUND(M16*10000/SUM(K6:K14),0)</f>
        <v>3369</v>
      </c>
      <c r="M16" s="204">
        <f>SUM(M6:M14)</f>
        <v>36770</v>
      </c>
      <c r="N16" s="205">
        <f>ROUND(SUMPRODUCT(M6:M14,N6:N14)/M16,3)</f>
        <v>0</v>
      </c>
      <c r="O16" s="204">
        <f>SUM(O6:O14)</f>
        <v>0</v>
      </c>
      <c r="P16" s="204">
        <f>SUM(P6:P14)</f>
        <v>36770</v>
      </c>
      <c r="Q16" s="206">
        <f>ROUND(SUMPRODUCT(Q6:Q13,K6:K13)/SUMPRODUCT((Q6:Q13&gt;0)*(K6:K13)),2)</f>
        <v>0.14000000000000001</v>
      </c>
      <c r="R16" s="2292">
        <f>SUM(R6:R13)</f>
        <v>34964.5</v>
      </c>
      <c r="S16" s="207">
        <f>SUM(S6:S13)</f>
        <v>12527.91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0.86099999999999999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3206">
        <v>0.05</v>
      </c>
      <c r="I18" s="3206">
        <v>5.5E-2</v>
      </c>
      <c r="J18" s="3206">
        <v>8.5000000000000006E-2</v>
      </c>
      <c r="K18" s="1972"/>
      <c r="L18" s="1972">
        <v>4500</v>
      </c>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5" t="s">
        <v>264</v>
      </c>
      <c r="B19" s="216">
        <v>0</v>
      </c>
      <c r="C19" s="2324" t="s">
        <v>2333</v>
      </c>
      <c r="D19" s="1974"/>
      <c r="E19" s="1973"/>
      <c r="F19" s="1973"/>
      <c r="G19" s="1973"/>
      <c r="H19" s="3206">
        <v>5.5E-2</v>
      </c>
      <c r="I19" s="3206">
        <v>0.06</v>
      </c>
      <c r="J19" s="3206">
        <v>8.5000000000000006E-2</v>
      </c>
      <c r="K19" s="1972"/>
      <c r="L19" s="1972">
        <v>3000</v>
      </c>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7" t="s">
        <v>265</v>
      </c>
      <c r="B20" s="218">
        <v>2.5</v>
      </c>
      <c r="C20" s="2324" t="s">
        <v>2332</v>
      </c>
      <c r="D20" s="1974"/>
      <c r="E20" s="1973"/>
      <c r="F20" s="1973"/>
      <c r="G20" s="1973"/>
      <c r="H20" s="3206">
        <v>4.4999999999999998E-2</v>
      </c>
      <c r="I20" s="3206">
        <v>0.05</v>
      </c>
      <c r="J20" s="3206">
        <v>8.5000000000000006E-2</v>
      </c>
      <c r="K20" s="1972"/>
      <c r="L20" s="1972">
        <v>3000</v>
      </c>
      <c r="M20" s="1970"/>
      <c r="N20" s="1970"/>
      <c r="O20" s="1970"/>
      <c r="P20" s="1970"/>
      <c r="Q20" s="1970">
        <f>Q16/B20</f>
        <v>5.6000000000000008E-2</v>
      </c>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19" t="s">
        <v>266</v>
      </c>
      <c r="B21" s="218">
        <v>0</v>
      </c>
      <c r="C21" s="1973"/>
      <c r="D21" s="1974"/>
      <c r="E21" s="1973"/>
      <c r="F21" s="1973"/>
      <c r="G21" s="1973"/>
      <c r="H21" s="3206">
        <v>4.4999999999999998E-2</v>
      </c>
      <c r="I21" s="3206">
        <v>0.05</v>
      </c>
      <c r="J21" s="3206">
        <v>8.5000000000000006E-2</v>
      </c>
      <c r="K21" s="1972"/>
      <c r="L21" s="1972">
        <v>3000</v>
      </c>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7" t="s">
        <v>267</v>
      </c>
      <c r="B22" s="220">
        <f>B19+B20</f>
        <v>2.5</v>
      </c>
      <c r="C22" s="1973"/>
      <c r="D22" s="1974"/>
      <c r="E22" s="1973"/>
      <c r="F22" s="1973"/>
      <c r="G22" s="1973"/>
      <c r="H22" s="1973"/>
      <c r="I22" s="1973"/>
      <c r="J22" s="1973"/>
      <c r="K22" s="1972"/>
      <c r="L22" s="1972">
        <v>3000</v>
      </c>
      <c r="M22" s="1970"/>
      <c r="N22" s="1970"/>
      <c r="O22" s="1970"/>
      <c r="P22" s="1970"/>
      <c r="Q22" s="3207">
        <v>0.2</v>
      </c>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19" t="s">
        <v>268</v>
      </c>
      <c r="B23" s="220">
        <f>B19+B21</f>
        <v>0</v>
      </c>
      <c r="C23" s="1973"/>
      <c r="D23" s="1974"/>
      <c r="E23" s="1973"/>
      <c r="F23" s="1973"/>
      <c r="G23" s="1973"/>
      <c r="H23" s="1973"/>
      <c r="I23" s="1973"/>
      <c r="J23" s="1973"/>
      <c r="K23" s="1972"/>
      <c r="L23" s="1972">
        <v>3000</v>
      </c>
      <c r="M23" s="1970"/>
      <c r="N23" s="1970"/>
      <c r="O23" s="1970"/>
      <c r="P23" s="1970"/>
      <c r="Q23" s="3207">
        <v>0.25</v>
      </c>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3207">
        <v>0.03</v>
      </c>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3207">
        <v>0.03</v>
      </c>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4" t="s">
        <v>2335</v>
      </c>
      <c r="B27" s="225">
        <v>160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6" t="s">
        <v>2336</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29" t="s">
        <v>2334</v>
      </c>
      <c r="B29" s="230">
        <v>0</v>
      </c>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4" t="s">
        <v>278</v>
      </c>
      <c r="B33" s="1371">
        <v>0.05</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6" t="s">
        <v>279</v>
      </c>
      <c r="B34" s="231">
        <v>0.05</v>
      </c>
      <c r="C34" s="2325" t="s">
        <v>2891</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6" t="s">
        <v>276</v>
      </c>
      <c r="B35" s="227">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2893</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3" t="s">
        <v>280</v>
      </c>
      <c r="B37" s="234">
        <v>2.5000000000000001E-2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6" t="s">
        <v>281</v>
      </c>
      <c r="B38" s="231">
        <v>0.03</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283</v>
      </c>
      <c r="B42" s="238">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7" t="s">
        <v>285</v>
      </c>
      <c r="B44" s="240">
        <v>7.0000000000000007E-2</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3021"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3" t="s">
        <v>289</v>
      </c>
      <c r="B48" s="244">
        <v>0.03</v>
      </c>
      <c r="C48" s="3022"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2"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6" t="s">
        <v>294</v>
      </c>
      <c r="B53" s="249" t="s">
        <v>1408</v>
      </c>
      <c r="C53" s="3023" t="s">
        <v>2901</v>
      </c>
      <c r="D53" s="3024"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6" t="s">
        <v>2903</v>
      </c>
      <c r="B54" s="186">
        <v>30</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6" t="s">
        <v>2904</v>
      </c>
      <c r="B55" s="186">
        <v>24</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6" t="s">
        <v>2905</v>
      </c>
      <c r="B56" s="186">
        <v>18</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6" t="s">
        <v>2906</v>
      </c>
      <c r="B57" s="186">
        <v>12</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6" t="s">
        <v>2907</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6" t="s">
        <v>2908</v>
      </c>
      <c r="B59" s="186">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6"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6"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6"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99" t="s">
        <v>1662</v>
      </c>
      <c r="B1" s="3300"/>
      <c r="C1" s="3300"/>
      <c r="D1" s="3300"/>
      <c r="E1" s="3300"/>
      <c r="F1" s="3300"/>
      <c r="G1" s="3300"/>
      <c r="H1" s="1983"/>
      <c r="I1" s="1984"/>
      <c r="J1" s="1985"/>
      <c r="K1" s="1983"/>
      <c r="L1" s="1984"/>
      <c r="M1" s="1985"/>
      <c r="N1" s="1983"/>
      <c r="O1" s="1984"/>
      <c r="P1" s="1985"/>
      <c r="Q1" s="1986"/>
      <c r="R1" s="1987"/>
    </row>
    <row r="2" spans="1:18" ht="15" thickBot="1">
      <c r="A2" s="1215"/>
      <c r="B2" s="1216"/>
      <c r="C2" s="1217" t="s">
        <v>1663</v>
      </c>
      <c r="D2" s="1218"/>
      <c r="E2" s="1219"/>
      <c r="F2" s="1220"/>
      <c r="G2" s="1217" t="s">
        <v>1664</v>
      </c>
      <c r="H2" s="1989"/>
      <c r="I2" s="1989"/>
      <c r="J2" s="1989"/>
      <c r="K2" s="1989"/>
      <c r="L2" s="1989"/>
      <c r="M2" s="1989"/>
      <c r="N2" s="1989"/>
      <c r="O2" s="1989"/>
      <c r="P2" s="1989"/>
      <c r="Q2" s="1989"/>
      <c r="R2" s="1989"/>
    </row>
    <row r="3" spans="1:18" ht="28.8">
      <c r="A3" s="1221" t="s">
        <v>1665</v>
      </c>
      <c r="B3" s="1222" t="s">
        <v>1652</v>
      </c>
      <c r="C3" s="3028"/>
      <c r="D3" s="1990"/>
      <c r="E3" s="1223" t="s">
        <v>1665</v>
      </c>
      <c r="F3" s="1224" t="s">
        <v>1653</v>
      </c>
      <c r="G3" s="3032"/>
      <c r="H3" s="1989"/>
      <c r="I3" s="1989"/>
      <c r="J3" s="1989"/>
      <c r="K3" s="1989"/>
      <c r="L3" s="1989"/>
      <c r="M3" s="1989"/>
      <c r="N3" s="1989"/>
      <c r="O3" s="1989"/>
      <c r="P3" s="1989"/>
      <c r="Q3" s="1989"/>
      <c r="R3" s="1989"/>
    </row>
    <row r="4" spans="1:18">
      <c r="A4" s="1223"/>
      <c r="B4" s="1225" t="s">
        <v>1666</v>
      </c>
      <c r="C4" s="3029"/>
      <c r="D4" s="1990"/>
      <c r="E4" s="1226"/>
      <c r="F4" s="1227" t="s">
        <v>1667</v>
      </c>
      <c r="G4" s="3030"/>
      <c r="H4" s="1989"/>
      <c r="I4" s="1989"/>
      <c r="J4" s="1989"/>
      <c r="K4" s="1989"/>
      <c r="L4" s="1989"/>
      <c r="M4" s="1989"/>
      <c r="N4" s="1989"/>
      <c r="O4" s="1989"/>
      <c r="P4" s="1989"/>
      <c r="Q4" s="1989"/>
      <c r="R4" s="1989"/>
    </row>
    <row r="5" spans="1:18">
      <c r="A5" s="1223"/>
      <c r="B5" s="1225" t="s">
        <v>1668</v>
      </c>
      <c r="C5" s="3029"/>
      <c r="D5" s="1990"/>
      <c r="E5" s="1226"/>
      <c r="F5" s="1225" t="s">
        <v>2543</v>
      </c>
      <c r="G5" s="3030"/>
      <c r="H5" s="1989"/>
      <c r="I5" s="1989"/>
      <c r="J5" s="1989"/>
      <c r="K5" s="1989"/>
      <c r="L5" s="1989"/>
      <c r="M5" s="1989"/>
      <c r="N5" s="1989"/>
      <c r="O5" s="1989"/>
      <c r="P5" s="1989"/>
      <c r="Q5" s="1989"/>
      <c r="R5" s="1989"/>
    </row>
    <row r="6" spans="1:18">
      <c r="A6" s="1223"/>
      <c r="B6" s="1225" t="s">
        <v>1654</v>
      </c>
      <c r="C6" s="3030"/>
      <c r="D6" s="1990"/>
      <c r="E6" s="1226"/>
      <c r="F6" s="1225" t="s">
        <v>2544</v>
      </c>
      <c r="G6" s="3030"/>
      <c r="H6" s="1989"/>
      <c r="I6" s="1989"/>
      <c r="J6" s="1989"/>
      <c r="K6" s="1989"/>
      <c r="L6" s="1989"/>
      <c r="M6" s="1989"/>
      <c r="N6" s="1989"/>
      <c r="O6" s="1989"/>
      <c r="P6" s="1989"/>
      <c r="Q6" s="1989"/>
      <c r="R6" s="1989"/>
    </row>
    <row r="7" spans="1:18" ht="15" thickBot="1">
      <c r="A7" s="1223"/>
      <c r="B7" s="1225" t="s">
        <v>2543</v>
      </c>
      <c r="C7" s="3030"/>
      <c r="D7" s="1991"/>
      <c r="E7" s="1228"/>
      <c r="F7" s="1229" t="s">
        <v>1669</v>
      </c>
      <c r="G7" s="3033"/>
      <c r="H7" s="1989"/>
      <c r="I7" s="1989"/>
      <c r="J7" s="1989"/>
      <c r="K7" s="1989"/>
      <c r="L7" s="1989"/>
      <c r="M7" s="1989"/>
      <c r="N7" s="1989"/>
      <c r="O7" s="1989"/>
      <c r="P7" s="1989"/>
      <c r="Q7" s="1989"/>
      <c r="R7" s="1989"/>
    </row>
    <row r="8" spans="1:18">
      <c r="A8" s="1223"/>
      <c r="B8" s="1225" t="s">
        <v>2544</v>
      </c>
      <c r="C8" s="3030"/>
      <c r="D8" s="1991"/>
      <c r="E8" s="1991"/>
      <c r="F8" s="1536"/>
      <c r="G8" s="1536"/>
      <c r="H8" s="1989"/>
      <c r="I8" s="1989"/>
      <c r="J8" s="1989"/>
      <c r="K8" s="1989"/>
      <c r="L8" s="1989"/>
      <c r="M8" s="1989"/>
      <c r="N8" s="1989"/>
      <c r="O8" s="1989"/>
      <c r="P8" s="1989"/>
      <c r="Q8" s="1989"/>
      <c r="R8" s="1989"/>
    </row>
    <row r="9" spans="1:18">
      <c r="A9" s="1223"/>
      <c r="B9" s="1225" t="s">
        <v>1655</v>
      </c>
      <c r="C9" s="3029"/>
      <c r="D9" s="1990"/>
      <c r="E9" s="1991"/>
      <c r="F9" s="1536"/>
      <c r="G9" s="1536"/>
      <c r="H9" s="1989"/>
      <c r="I9" s="1989"/>
      <c r="J9" s="1989"/>
      <c r="K9" s="1989"/>
      <c r="L9" s="1989"/>
      <c r="M9" s="1989"/>
      <c r="N9" s="1989"/>
      <c r="O9" s="1989"/>
      <c r="P9" s="1989"/>
      <c r="Q9" s="1989"/>
      <c r="R9" s="1989"/>
    </row>
    <row r="10" spans="1:18" s="1997" customFormat="1" ht="15" thickBot="1">
      <c r="A10" s="1230"/>
      <c r="B10" s="1231" t="s">
        <v>1670</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1671</v>
      </c>
      <c r="B13" s="2538"/>
      <c r="C13" s="2538"/>
      <c r="D13" s="1218"/>
      <c r="E13" s="2538"/>
      <c r="F13" s="2538"/>
      <c r="G13" s="2538"/>
    </row>
    <row r="14" spans="1:18" ht="15" thickBot="1">
      <c r="A14" s="1232"/>
      <c r="B14" s="1233"/>
      <c r="C14" s="1234" t="s">
        <v>1663</v>
      </c>
      <c r="D14" s="1990"/>
      <c r="E14" s="1235"/>
      <c r="F14" s="1235"/>
      <c r="G14" s="1217" t="s">
        <v>1664</v>
      </c>
    </row>
    <row r="15" spans="1:18" ht="28.8">
      <c r="A15" s="2548" t="s">
        <v>1656</v>
      </c>
      <c r="B15" s="1236" t="s">
        <v>1652</v>
      </c>
      <c r="C15" s="1237">
        <f>C3</f>
        <v>0</v>
      </c>
      <c r="D15" s="1990"/>
      <c r="E15" s="2545" t="s">
        <v>1657</v>
      </c>
      <c r="F15" s="1236" t="s">
        <v>1672</v>
      </c>
      <c r="G15" s="1238">
        <f>G3</f>
        <v>0</v>
      </c>
    </row>
    <row r="16" spans="1:18">
      <c r="A16" s="2549"/>
      <c r="B16" s="1239" t="s">
        <v>1666</v>
      </c>
      <c r="C16" s="1240">
        <f>C4</f>
        <v>0</v>
      </c>
      <c r="D16" s="1990"/>
      <c r="E16" s="2546"/>
      <c r="F16" s="1241" t="s">
        <v>1667</v>
      </c>
      <c r="G16" s="1003">
        <f>G4</f>
        <v>0</v>
      </c>
    </row>
    <row r="17" spans="1:7">
      <c r="A17" s="2549"/>
      <c r="B17" s="1239" t="s">
        <v>1668</v>
      </c>
      <c r="C17" s="1240">
        <f>C5</f>
        <v>0</v>
      </c>
      <c r="D17" s="1991"/>
      <c r="E17" s="2546"/>
      <c r="F17" s="1241" t="s">
        <v>1673</v>
      </c>
      <c r="G17" s="2746"/>
    </row>
    <row r="18" spans="1:7">
      <c r="A18" s="2549"/>
      <c r="B18" s="1241" t="s">
        <v>1654</v>
      </c>
      <c r="C18" s="1003">
        <f>C6</f>
        <v>0</v>
      </c>
      <c r="D18" s="1991"/>
      <c r="E18" s="2546"/>
      <c r="F18" s="1241" t="s">
        <v>1669</v>
      </c>
      <c r="G18" s="1003">
        <f>G7</f>
        <v>0</v>
      </c>
    </row>
    <row r="19" spans="1:7">
      <c r="A19" s="2549"/>
      <c r="B19" s="1241" t="s">
        <v>1658</v>
      </c>
      <c r="C19" s="2746"/>
      <c r="D19" s="1990"/>
      <c r="E19" s="2546"/>
      <c r="F19" s="1225" t="s">
        <v>2543</v>
      </c>
      <c r="G19" s="1003">
        <f>G5</f>
        <v>0</v>
      </c>
    </row>
    <row r="20" spans="1:7">
      <c r="A20" s="2549"/>
      <c r="B20" s="1241" t="s">
        <v>1659</v>
      </c>
      <c r="C20" s="1240">
        <f>C9</f>
        <v>0</v>
      </c>
      <c r="D20" s="1991"/>
      <c r="E20" s="2546"/>
      <c r="F20" s="1225" t="s">
        <v>2544</v>
      </c>
      <c r="G20" s="1003">
        <f>G6</f>
        <v>0</v>
      </c>
    </row>
    <row r="21" spans="1:7">
      <c r="A21" s="2549"/>
      <c r="B21" s="1225" t="s">
        <v>2543</v>
      </c>
      <c r="C21" s="1003">
        <f>C7</f>
        <v>0</v>
      </c>
      <c r="D21" s="1990"/>
      <c r="E21" s="2546"/>
      <c r="F21" s="1241" t="s">
        <v>1660</v>
      </c>
      <c r="G21" s="3034"/>
    </row>
    <row r="22" spans="1:7">
      <c r="A22" s="2549"/>
      <c r="B22" s="1225" t="s">
        <v>2544</v>
      </c>
      <c r="C22" s="1003">
        <f>C8</f>
        <v>0</v>
      </c>
      <c r="D22" s="1990"/>
      <c r="E22" s="2546"/>
      <c r="F22" s="1241" t="s">
        <v>1670</v>
      </c>
      <c r="G22" s="2746"/>
    </row>
    <row r="23" spans="1:7" ht="15" thickBot="1">
      <c r="A23" s="2549"/>
      <c r="B23" s="1241" t="s">
        <v>1660</v>
      </c>
      <c r="C23" s="3034"/>
      <c r="E23" s="2547"/>
      <c r="F23" s="1242" t="s">
        <v>1674</v>
      </c>
      <c r="G23" s="3035"/>
    </row>
    <row r="24" spans="1:7" ht="15" thickBot="1">
      <c r="A24" s="2550"/>
      <c r="B24" s="1242" t="s">
        <v>1661</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4" sqref="D24"/>
    </sheetView>
  </sheetViews>
  <sheetFormatPr defaultColWidth="14.6640625" defaultRowHeight="14.4"/>
  <cols>
    <col min="1" max="1" width="24.33203125" customWidth="1"/>
  </cols>
  <sheetData>
    <row r="1" spans="1:9" ht="15.6">
      <c r="A1" s="2992" t="s">
        <v>2841</v>
      </c>
      <c r="B1" s="2992">
        <f>SUM(B14:B23)</f>
        <v>142016.5</v>
      </c>
      <c r="C1" s="2993"/>
      <c r="D1" s="2993"/>
      <c r="E1" s="2993"/>
      <c r="F1" s="2993"/>
    </row>
    <row r="2" spans="1:9" ht="15.6">
      <c r="A2" s="2992" t="s">
        <v>2842</v>
      </c>
      <c r="B2" s="2992">
        <f>SUM(C14:C23)</f>
        <v>41724.46</v>
      </c>
      <c r="C2" s="2993"/>
      <c r="D2" s="2993"/>
      <c r="E2" s="2993"/>
      <c r="F2" s="2993"/>
    </row>
    <row r="3" spans="1:9" ht="15.6">
      <c r="A3" s="2992" t="s">
        <v>2843</v>
      </c>
      <c r="B3" s="2994">
        <f>项目基本情况!D3</f>
        <v>43832</v>
      </c>
      <c r="C3" s="2993"/>
      <c r="D3" s="2993"/>
      <c r="E3" s="2993"/>
      <c r="F3" s="2993"/>
    </row>
    <row r="4" spans="1:9" ht="31.2">
      <c r="A4" s="2992" t="s">
        <v>2844</v>
      </c>
      <c r="B4" s="2992" t="s">
        <v>2845</v>
      </c>
      <c r="C4" s="2992" t="s">
        <v>2846</v>
      </c>
      <c r="D4" s="2992" t="s">
        <v>2847</v>
      </c>
      <c r="E4" s="2993"/>
      <c r="F4" s="2993"/>
    </row>
    <row r="5" spans="1:9" ht="15.6">
      <c r="A5" s="2992" t="s">
        <v>2848</v>
      </c>
      <c r="B5" s="2992">
        <f ca="1">SUM(D14:D23)</f>
        <v>292071</v>
      </c>
      <c r="C5" s="2992">
        <f ca="1">ROUND(B5*10000/$B$1,0)</f>
        <v>20566</v>
      </c>
      <c r="D5" s="2992">
        <f ca="1">ROUND(B5*10000/$B$2,0)</f>
        <v>70000</v>
      </c>
      <c r="E5" s="2993"/>
      <c r="F5" s="2993"/>
    </row>
    <row r="6" spans="1:9" ht="15.6">
      <c r="A6" s="2992" t="s">
        <v>2849</v>
      </c>
      <c r="B6" s="2992">
        <f>SUM(G14:G23)</f>
        <v>0</v>
      </c>
      <c r="C6" s="2992">
        <f t="shared" ref="C6:C8" si="0">ROUND(B6*10000/$B$1,0)</f>
        <v>0</v>
      </c>
      <c r="D6" s="2992">
        <f t="shared" ref="D6:D8" si="1">ROUND(B6*10000/$B$2,0)</f>
        <v>0</v>
      </c>
      <c r="E6" s="2993"/>
      <c r="F6" s="2993"/>
    </row>
    <row r="7" spans="1:9" ht="15.6">
      <c r="A7" s="2992" t="s">
        <v>2850</v>
      </c>
      <c r="B7" s="2992">
        <f ca="1">SUM(H14:H23)</f>
        <v>290046</v>
      </c>
      <c r="C7" s="2992">
        <f t="shared" ca="1" si="0"/>
        <v>20423</v>
      </c>
      <c r="D7" s="2992">
        <f t="shared" ca="1" si="1"/>
        <v>69515</v>
      </c>
      <c r="E7" s="2993"/>
      <c r="F7" s="2993"/>
    </row>
    <row r="8" spans="1:9" ht="15.6">
      <c r="A8" s="2992" t="s">
        <v>2851</v>
      </c>
      <c r="B8" s="2992">
        <f>SUM(I14:I23)</f>
        <v>0</v>
      </c>
      <c r="C8" s="2992">
        <f t="shared" si="0"/>
        <v>0</v>
      </c>
      <c r="D8" s="2992">
        <f t="shared" si="1"/>
        <v>0</v>
      </c>
      <c r="E8" s="2993"/>
      <c r="F8" s="2993"/>
    </row>
    <row r="9" spans="1:9" ht="15.6">
      <c r="A9" s="2992" t="s">
        <v>2852</v>
      </c>
      <c r="B9" s="2995"/>
      <c r="C9" s="2993"/>
      <c r="D9" s="2993"/>
      <c r="E9" s="2993"/>
      <c r="F9" s="2993"/>
    </row>
    <row r="10" spans="1:9" ht="15.6">
      <c r="A10" s="2992" t="s">
        <v>2853</v>
      </c>
      <c r="B10" s="2995"/>
      <c r="C10" s="2993"/>
      <c r="D10" s="2993"/>
      <c r="E10" s="2993"/>
      <c r="F10" s="2993"/>
    </row>
    <row r="11" spans="1:9" ht="15.6">
      <c r="A11" s="2992" t="s">
        <v>2870</v>
      </c>
      <c r="B11" s="2995"/>
      <c r="C11" s="2993"/>
      <c r="D11" s="2993"/>
      <c r="E11" s="2993"/>
      <c r="F11" s="2993"/>
    </row>
    <row r="12" spans="1:9" ht="15.6">
      <c r="A12" s="2993"/>
      <c r="B12" s="2993"/>
      <c r="C12" s="2993"/>
      <c r="D12" s="2993"/>
      <c r="E12" s="2993"/>
      <c r="F12" s="2993"/>
    </row>
    <row r="13" spans="1:9" ht="31.2">
      <c r="A13" s="2998" t="s">
        <v>2869</v>
      </c>
      <c r="B13" s="2996" t="s">
        <v>2841</v>
      </c>
      <c r="C13" s="2996" t="s">
        <v>2842</v>
      </c>
      <c r="D13" s="2996" t="s">
        <v>2854</v>
      </c>
      <c r="E13" s="2992" t="s">
        <v>2868</v>
      </c>
      <c r="F13" s="2992" t="s">
        <v>2847</v>
      </c>
      <c r="G13" s="2996" t="s">
        <v>2855</v>
      </c>
      <c r="H13" s="2996" t="s">
        <v>2856</v>
      </c>
      <c r="I13" s="2996" t="s">
        <v>2857</v>
      </c>
    </row>
    <row r="14" spans="1:9" ht="15.6">
      <c r="A14" s="2999" t="s">
        <v>2867</v>
      </c>
      <c r="B14" s="2996">
        <f>结果表!L38</f>
        <v>109310.18</v>
      </c>
      <c r="C14" s="2996">
        <f>结果表!K38</f>
        <v>34964.49</v>
      </c>
      <c r="D14" s="2996">
        <f ca="1">结果表!C42</f>
        <v>255958</v>
      </c>
      <c r="E14" s="2996">
        <f ca="1">ROUND(D14*10000/B14,0)</f>
        <v>23416</v>
      </c>
      <c r="F14" s="2996">
        <f ca="1">ROUND(D14*10000/C14,0)</f>
        <v>73205</v>
      </c>
      <c r="G14" s="2996" t="str">
        <f>结果表!C44</f>
        <v>——</v>
      </c>
      <c r="H14" s="2996">
        <f ca="1">结果表!C45</f>
        <v>253933</v>
      </c>
      <c r="I14" s="2996" t="str">
        <f>结果表!C46</f>
        <v>——</v>
      </c>
    </row>
    <row r="15" spans="1:9" ht="15.6">
      <c r="A15" s="2999" t="s">
        <v>2858</v>
      </c>
      <c r="B15" s="3197">
        <f>[1]系统读取表!$B$14</f>
        <v>32706.320000000003</v>
      </c>
      <c r="C15" s="3197">
        <f>[1]系统读取表!$C$14</f>
        <v>6759.97</v>
      </c>
      <c r="D15" s="3197">
        <f>[2]结果表!$G$19</f>
        <v>36113</v>
      </c>
      <c r="E15" s="3198">
        <f t="shared" ref="E15:E23" si="2">ROUND(D15*10000/B15,0)</f>
        <v>11042</v>
      </c>
      <c r="F15" s="3198">
        <f t="shared" ref="F15:F23" si="3">ROUND(D15*10000/C15,0)</f>
        <v>53422</v>
      </c>
      <c r="G15" s="3197"/>
      <c r="H15" s="3197">
        <f>D15</f>
        <v>36113</v>
      </c>
      <c r="I15" s="3000"/>
    </row>
    <row r="16" spans="1:9" ht="15.6">
      <c r="A16" s="2999" t="s">
        <v>2859</v>
      </c>
      <c r="B16" s="3000"/>
      <c r="C16" s="3000"/>
      <c r="D16" s="3000"/>
      <c r="E16" s="2996" t="e">
        <f t="shared" si="2"/>
        <v>#DIV/0!</v>
      </c>
      <c r="F16" s="2996" t="e">
        <f t="shared" si="3"/>
        <v>#DIV/0!</v>
      </c>
      <c r="G16" s="2997"/>
      <c r="H16" s="2997"/>
      <c r="I16" s="3000"/>
    </row>
    <row r="17" spans="1:9" ht="15.6">
      <c r="A17" s="2999" t="s">
        <v>2860</v>
      </c>
      <c r="B17" s="3000"/>
      <c r="C17" s="3000"/>
      <c r="D17" s="3000"/>
      <c r="E17" s="2996" t="e">
        <f t="shared" si="2"/>
        <v>#DIV/0!</v>
      </c>
      <c r="F17" s="2996" t="e">
        <f t="shared" si="3"/>
        <v>#DIV/0!</v>
      </c>
      <c r="G17" s="2997"/>
      <c r="H17" s="2997"/>
      <c r="I17" s="3000"/>
    </row>
    <row r="18" spans="1:9" ht="15.6">
      <c r="A18" s="2999" t="s">
        <v>2861</v>
      </c>
      <c r="B18" s="3000"/>
      <c r="C18" s="3000"/>
      <c r="D18" s="3000"/>
      <c r="E18" s="2996" t="e">
        <f t="shared" si="2"/>
        <v>#DIV/0!</v>
      </c>
      <c r="F18" s="2996" t="e">
        <f t="shared" si="3"/>
        <v>#DIV/0!</v>
      </c>
      <c r="G18" s="3000"/>
      <c r="H18" s="3000"/>
      <c r="I18" s="3000"/>
    </row>
    <row r="19" spans="1:9" ht="15.6">
      <c r="A19" s="2999" t="s">
        <v>2862</v>
      </c>
      <c r="B19" s="3000"/>
      <c r="C19" s="3000"/>
      <c r="D19" s="3000"/>
      <c r="E19" s="2996" t="e">
        <f t="shared" si="2"/>
        <v>#DIV/0!</v>
      </c>
      <c r="F19" s="2996" t="e">
        <f t="shared" si="3"/>
        <v>#DIV/0!</v>
      </c>
      <c r="G19" s="3000"/>
      <c r="H19" s="3000"/>
      <c r="I19" s="3000"/>
    </row>
    <row r="20" spans="1:9" ht="15.6">
      <c r="A20" s="2999" t="s">
        <v>2863</v>
      </c>
      <c r="B20" s="3000"/>
      <c r="C20" s="3000"/>
      <c r="D20" s="3000"/>
      <c r="E20" s="2996" t="e">
        <f t="shared" si="2"/>
        <v>#DIV/0!</v>
      </c>
      <c r="F20" s="2996" t="e">
        <f t="shared" si="3"/>
        <v>#DIV/0!</v>
      </c>
      <c r="G20" s="3000"/>
      <c r="H20" s="3000"/>
      <c r="I20" s="3000"/>
    </row>
    <row r="21" spans="1:9" ht="15.6">
      <c r="A21" s="2999" t="s">
        <v>2864</v>
      </c>
      <c r="B21" s="3000"/>
      <c r="C21" s="3000"/>
      <c r="D21" s="3000"/>
      <c r="E21" s="2996" t="e">
        <f t="shared" si="2"/>
        <v>#DIV/0!</v>
      </c>
      <c r="F21" s="2996" t="e">
        <f t="shared" si="3"/>
        <v>#DIV/0!</v>
      </c>
      <c r="G21" s="3000"/>
      <c r="H21" s="3000"/>
      <c r="I21" s="3000"/>
    </row>
    <row r="22" spans="1:9" ht="15.6">
      <c r="A22" s="2999" t="s">
        <v>2865</v>
      </c>
      <c r="B22" s="3000"/>
      <c r="C22" s="3000"/>
      <c r="D22" s="3000"/>
      <c r="E22" s="2996" t="e">
        <f t="shared" si="2"/>
        <v>#DIV/0!</v>
      </c>
      <c r="F22" s="2996" t="e">
        <f t="shared" si="3"/>
        <v>#DIV/0!</v>
      </c>
      <c r="G22" s="3000"/>
      <c r="H22" s="3000"/>
      <c r="I22" s="3000"/>
    </row>
    <row r="23" spans="1:9" ht="15.6">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49" sqref="H49"/>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4"/>
  </cols>
  <sheetData>
    <row r="1" spans="1:22" ht="21.75" customHeight="1" thickBot="1">
      <c r="A1" s="1757" t="s">
        <v>2052</v>
      </c>
      <c r="B1" s="1758"/>
      <c r="C1" s="1786" t="s">
        <v>2053</v>
      </c>
      <c r="D1" s="1787" t="s">
        <v>3033</v>
      </c>
      <c r="E1" s="1786" t="s">
        <v>2054</v>
      </c>
      <c r="F1" s="1788" t="s">
        <v>3034</v>
      </c>
      <c r="G1" s="309"/>
      <c r="H1" s="309"/>
      <c r="I1" s="309"/>
      <c r="J1" s="2010"/>
      <c r="K1" s="2010"/>
      <c r="L1" s="2010"/>
      <c r="M1" s="2010"/>
      <c r="N1" s="2010"/>
      <c r="O1" s="2010"/>
      <c r="P1" s="2010"/>
      <c r="Q1" s="2010"/>
      <c r="R1" s="2010"/>
      <c r="S1" s="2010"/>
      <c r="T1" s="2010"/>
      <c r="U1" s="2010"/>
      <c r="V1" s="2010"/>
    </row>
    <row r="2" spans="1:22" ht="21.75" customHeight="1" thickBot="1">
      <c r="A2" s="3337" t="str">
        <f>项目基本情况!K2</f>
        <v>出让国有建设用地使用权</v>
      </c>
      <c r="B2" s="3338"/>
      <c r="C2" s="3339"/>
      <c r="D2" s="3339"/>
      <c r="E2" s="3339"/>
      <c r="F2" s="3339"/>
      <c r="G2" s="3338"/>
      <c r="H2" s="3338"/>
      <c r="I2" s="3340"/>
      <c r="J2" s="2011"/>
      <c r="K2" s="2010"/>
      <c r="L2" s="2010"/>
      <c r="M2" s="2010"/>
      <c r="N2" s="2010"/>
      <c r="O2" s="2010"/>
      <c r="P2" s="2010"/>
      <c r="Q2" s="2010"/>
      <c r="R2" s="2010"/>
      <c r="S2" s="2010"/>
      <c r="T2" s="2010"/>
      <c r="U2" s="2010"/>
      <c r="V2" s="2010"/>
    </row>
    <row r="3" spans="1:22" ht="13.8">
      <c r="A3" s="3330" t="s">
        <v>298</v>
      </c>
      <c r="B3" s="3331"/>
      <c r="C3" s="3331"/>
      <c r="D3" s="3331"/>
      <c r="E3" s="3331"/>
      <c r="F3" s="3331"/>
      <c r="G3" s="3331"/>
      <c r="H3" s="3331"/>
      <c r="I3" s="3331"/>
      <c r="J3" s="2011"/>
      <c r="K3" s="2010"/>
      <c r="L3" s="2010"/>
      <c r="M3" s="2010"/>
      <c r="N3" s="2010"/>
      <c r="O3" s="2010"/>
      <c r="P3" s="2010"/>
      <c r="Q3" s="2010"/>
      <c r="R3" s="2010"/>
      <c r="S3" s="2010"/>
      <c r="T3" s="2010"/>
      <c r="U3" s="2010"/>
      <c r="V3" s="2010"/>
    </row>
    <row r="4" spans="1:22" ht="14.4">
      <c r="A4" s="256" t="s">
        <v>299</v>
      </c>
      <c r="B4" s="257" t="s">
        <v>300</v>
      </c>
      <c r="C4" s="258" t="s">
        <v>3031</v>
      </c>
      <c r="D4" s="258" t="s">
        <v>3032</v>
      </c>
      <c r="E4" s="3302" t="s">
        <v>301</v>
      </c>
      <c r="F4" s="3303"/>
      <c r="G4" s="3303"/>
      <c r="H4" s="3303"/>
      <c r="I4" s="3332"/>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01" t="s">
        <v>302</v>
      </c>
      <c r="B5" s="3327">
        <v>25</v>
      </c>
      <c r="C5" s="3325"/>
      <c r="D5" s="3329"/>
      <c r="E5" s="259" t="s">
        <v>303</v>
      </c>
      <c r="F5" s="260"/>
      <c r="G5" s="260"/>
      <c r="H5" s="260"/>
      <c r="I5" s="261"/>
      <c r="J5" s="2011"/>
      <c r="K5" s="2010"/>
      <c r="L5" s="2010"/>
      <c r="M5" s="2010"/>
      <c r="N5" s="2010"/>
      <c r="O5" s="2010"/>
      <c r="P5" s="2010"/>
      <c r="Q5" s="2010"/>
      <c r="R5" s="2010"/>
      <c r="S5" s="2010"/>
      <c r="T5" s="2010"/>
      <c r="U5" s="2010"/>
      <c r="V5" s="2010"/>
    </row>
    <row r="6" spans="1:22" ht="13.8">
      <c r="A6" s="3301"/>
      <c r="B6" s="3327"/>
      <c r="C6" s="3328"/>
      <c r="D6" s="3329"/>
      <c r="E6" s="259" t="s">
        <v>304</v>
      </c>
      <c r="F6" s="260"/>
      <c r="G6" s="260"/>
      <c r="H6" s="260"/>
      <c r="I6" s="261"/>
      <c r="J6" s="2011"/>
      <c r="K6" s="2010"/>
      <c r="L6" s="2010"/>
      <c r="M6" s="2010"/>
      <c r="N6" s="2010"/>
      <c r="O6" s="2010"/>
      <c r="P6" s="2010"/>
      <c r="Q6" s="2010"/>
      <c r="R6" s="2010"/>
      <c r="S6" s="2010"/>
      <c r="T6" s="2010"/>
      <c r="U6" s="2010"/>
      <c r="V6" s="2010"/>
    </row>
    <row r="7" spans="1:22" ht="13.8">
      <c r="A7" s="3301"/>
      <c r="B7" s="3327"/>
      <c r="C7" s="3326"/>
      <c r="D7" s="3329"/>
      <c r="E7" s="259" t="s">
        <v>305</v>
      </c>
      <c r="F7" s="260"/>
      <c r="G7" s="260"/>
      <c r="H7" s="260"/>
      <c r="I7" s="261"/>
      <c r="J7" s="2011"/>
      <c r="K7" s="2010"/>
      <c r="L7" s="2010"/>
      <c r="M7" s="2010"/>
      <c r="N7" s="2010"/>
      <c r="O7" s="2010"/>
      <c r="P7" s="2010"/>
      <c r="Q7" s="2010"/>
      <c r="R7" s="2010"/>
      <c r="S7" s="2010"/>
      <c r="T7" s="2010"/>
      <c r="U7" s="2010"/>
      <c r="V7" s="2010"/>
    </row>
    <row r="8" spans="1:22" ht="13.8">
      <c r="A8" s="3301" t="s">
        <v>306</v>
      </c>
      <c r="B8" s="3327">
        <v>15</v>
      </c>
      <c r="C8" s="3325"/>
      <c r="D8" s="3329"/>
      <c r="E8" s="259" t="s">
        <v>307</v>
      </c>
      <c r="F8" s="260"/>
      <c r="G8" s="260"/>
      <c r="H8" s="260"/>
      <c r="I8" s="261"/>
      <c r="J8" s="2011"/>
      <c r="K8" s="2010"/>
      <c r="L8" s="2010"/>
      <c r="M8" s="2010"/>
      <c r="N8" s="2010"/>
      <c r="O8" s="2010"/>
      <c r="P8" s="2010"/>
      <c r="Q8" s="2010"/>
      <c r="R8" s="2010"/>
      <c r="S8" s="2010"/>
      <c r="T8" s="2010"/>
      <c r="U8" s="2010"/>
      <c r="V8" s="2010"/>
    </row>
    <row r="9" spans="1:22" ht="13.8">
      <c r="A9" s="3301"/>
      <c r="B9" s="3327"/>
      <c r="C9" s="3326"/>
      <c r="D9" s="3329"/>
      <c r="E9" s="259" t="s">
        <v>308</v>
      </c>
      <c r="F9" s="260"/>
      <c r="G9" s="260"/>
      <c r="H9" s="260"/>
      <c r="I9" s="261"/>
      <c r="J9" s="2011"/>
      <c r="K9" s="2010"/>
      <c r="L9" s="2010"/>
      <c r="M9" s="2010"/>
      <c r="N9" s="2010"/>
      <c r="O9" s="2010"/>
      <c r="P9" s="2010"/>
      <c r="Q9" s="2010"/>
      <c r="R9" s="2010"/>
      <c r="S9" s="2010"/>
      <c r="T9" s="2010"/>
      <c r="U9" s="2010"/>
      <c r="V9" s="2010"/>
    </row>
    <row r="10" spans="1:22" ht="13.8">
      <c r="A10" s="3301" t="s">
        <v>309</v>
      </c>
      <c r="B10" s="3327">
        <v>15</v>
      </c>
      <c r="C10" s="3325"/>
      <c r="D10" s="3329"/>
      <c r="E10" s="259" t="s">
        <v>310</v>
      </c>
      <c r="F10" s="260"/>
      <c r="G10" s="260"/>
      <c r="H10" s="260"/>
      <c r="I10" s="261"/>
      <c r="J10" s="2011"/>
      <c r="K10" s="2010"/>
      <c r="L10" s="2010"/>
      <c r="M10" s="2010"/>
      <c r="N10" s="2010"/>
      <c r="O10" s="2010"/>
      <c r="P10" s="2010"/>
      <c r="Q10" s="2010"/>
      <c r="R10" s="2010"/>
      <c r="S10" s="2010"/>
      <c r="T10" s="2010"/>
      <c r="U10" s="2010"/>
      <c r="V10" s="2010"/>
    </row>
    <row r="11" spans="1:22" ht="13.8">
      <c r="A11" s="3301"/>
      <c r="B11" s="3327"/>
      <c r="C11" s="3326"/>
      <c r="D11" s="3329"/>
      <c r="E11" s="259" t="s">
        <v>311</v>
      </c>
      <c r="F11" s="260"/>
      <c r="G11" s="260"/>
      <c r="H11" s="260"/>
      <c r="I11" s="261"/>
      <c r="J11" s="2011"/>
      <c r="K11" s="2010"/>
      <c r="L11" s="2010"/>
      <c r="M11" s="2010"/>
      <c r="N11" s="2010"/>
      <c r="O11" s="2010"/>
      <c r="P11" s="2010"/>
      <c r="Q11" s="2010"/>
      <c r="R11" s="2010"/>
      <c r="S11" s="2010"/>
      <c r="T11" s="2010"/>
      <c r="U11" s="2010"/>
      <c r="V11" s="2010"/>
    </row>
    <row r="12" spans="1:22" ht="13.8">
      <c r="A12" s="3301" t="s">
        <v>312</v>
      </c>
      <c r="B12" s="3327">
        <v>15</v>
      </c>
      <c r="C12" s="3325"/>
      <c r="D12" s="3329"/>
      <c r="E12" s="259" t="s">
        <v>313</v>
      </c>
      <c r="F12" s="260"/>
      <c r="G12" s="260"/>
      <c r="H12" s="260"/>
      <c r="I12" s="261"/>
      <c r="J12" s="2011"/>
      <c r="K12" s="2010"/>
      <c r="L12" s="2010"/>
      <c r="M12" s="2010"/>
      <c r="N12" s="2010"/>
      <c r="O12" s="2010"/>
      <c r="P12" s="2010"/>
      <c r="Q12" s="2010"/>
      <c r="R12" s="2010"/>
      <c r="S12" s="2010"/>
      <c r="T12" s="2010"/>
      <c r="U12" s="2010"/>
      <c r="V12" s="2010"/>
    </row>
    <row r="13" spans="1:22" ht="13.8">
      <c r="A13" s="3301"/>
      <c r="B13" s="3327"/>
      <c r="C13" s="3326"/>
      <c r="D13" s="3329"/>
      <c r="E13" s="259" t="s">
        <v>314</v>
      </c>
      <c r="F13" s="260"/>
      <c r="G13" s="260"/>
      <c r="H13" s="260"/>
      <c r="I13" s="261"/>
      <c r="J13" s="2011"/>
      <c r="K13" s="2010"/>
      <c r="L13" s="2010"/>
      <c r="M13" s="2010"/>
      <c r="N13" s="2010"/>
      <c r="O13" s="2010"/>
      <c r="P13" s="2010"/>
      <c r="Q13" s="2010"/>
      <c r="R13" s="2010"/>
      <c r="S13" s="2010"/>
      <c r="T13" s="2010"/>
      <c r="U13" s="2010"/>
      <c r="V13" s="2010"/>
    </row>
    <row r="14" spans="1:22" ht="13.8">
      <c r="A14" s="3301" t="s">
        <v>315</v>
      </c>
      <c r="B14" s="3327">
        <v>30</v>
      </c>
      <c r="C14" s="3325">
        <v>5</v>
      </c>
      <c r="D14" s="3329">
        <v>5</v>
      </c>
      <c r="E14" s="259" t="s">
        <v>316</v>
      </c>
      <c r="F14" s="260"/>
      <c r="G14" s="260"/>
      <c r="H14" s="260"/>
      <c r="I14" s="261"/>
      <c r="J14" s="2011"/>
      <c r="K14" s="2010"/>
      <c r="L14" s="2010"/>
      <c r="M14" s="2010"/>
      <c r="N14" s="2010"/>
      <c r="O14" s="2010"/>
      <c r="P14" s="2010"/>
      <c r="Q14" s="2010"/>
      <c r="R14" s="2010"/>
      <c r="S14" s="2010"/>
      <c r="T14" s="2010"/>
      <c r="U14" s="2010"/>
      <c r="V14" s="2010"/>
    </row>
    <row r="15" spans="1:22" ht="13.8">
      <c r="A15" s="3301"/>
      <c r="B15" s="3327"/>
      <c r="C15" s="3328"/>
      <c r="D15" s="3329"/>
      <c r="E15" s="259" t="s">
        <v>317</v>
      </c>
      <c r="F15" s="260"/>
      <c r="G15" s="260"/>
      <c r="H15" s="260"/>
      <c r="I15" s="261"/>
      <c r="J15" s="2011"/>
      <c r="K15" s="2010"/>
      <c r="L15" s="2010"/>
      <c r="M15" s="2010"/>
      <c r="N15" s="2010"/>
      <c r="O15" s="2010"/>
      <c r="P15" s="2010"/>
      <c r="Q15" s="2010"/>
      <c r="R15" s="2010"/>
      <c r="S15" s="2010"/>
      <c r="T15" s="2010"/>
      <c r="U15" s="2010"/>
      <c r="V15" s="2010"/>
    </row>
    <row r="16" spans="1:22" ht="13.8">
      <c r="A16" s="3301"/>
      <c r="B16" s="3327"/>
      <c r="C16" s="3326"/>
      <c r="D16" s="3329"/>
      <c r="E16" s="259" t="s">
        <v>318</v>
      </c>
      <c r="F16" s="260"/>
      <c r="G16" s="260"/>
      <c r="H16" s="260"/>
      <c r="I16" s="261"/>
      <c r="J16" s="2011"/>
      <c r="K16" s="2010"/>
      <c r="L16" s="2010"/>
      <c r="M16" s="2010"/>
      <c r="N16" s="2010"/>
      <c r="O16" s="2010"/>
      <c r="P16" s="2010"/>
      <c r="Q16" s="2010"/>
      <c r="R16" s="2010"/>
      <c r="S16" s="2010"/>
      <c r="T16" s="2010"/>
      <c r="U16" s="2010"/>
      <c r="V16" s="2010"/>
    </row>
    <row r="17" spans="1:26" ht="14.4">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4.4">
      <c r="A19" s="266" t="s">
        <v>321</v>
      </c>
      <c r="B19" s="267" t="s">
        <v>322</v>
      </c>
      <c r="C19" s="268">
        <f ca="1">SUMIF(INDIRECT("'"&amp;C4&amp;"'"&amp;"!A:A"),结果表!B19,INDIRECT("'"&amp;C4&amp;"'"&amp;"!B:B"))</f>
        <v>235893</v>
      </c>
      <c r="D19" s="269">
        <f ca="1">SUMIF(INDIRECT("'"&amp;D4&amp;"'"&amp;"!A:A"),结果表!B19,INDIRECT("'"&amp;D4&amp;"'"&amp;"!B:B"))</f>
        <v>276022</v>
      </c>
      <c r="E19" s="266" t="s">
        <v>323</v>
      </c>
      <c r="F19" s="267" t="s">
        <v>322</v>
      </c>
      <c r="G19" s="270">
        <f ca="1">ROUND(C19*$C$18+D19*$D$18,0)</f>
        <v>255958</v>
      </c>
      <c r="H19" s="271" t="s">
        <v>324</v>
      </c>
      <c r="I19" s="309"/>
      <c r="J19" s="2010"/>
      <c r="K19" s="2010"/>
      <c r="L19" s="2010"/>
      <c r="M19" s="2010"/>
      <c r="N19" s="2010"/>
      <c r="O19" s="2010"/>
      <c r="P19" s="2010"/>
      <c r="Q19" s="2010"/>
      <c r="R19" s="2010"/>
      <c r="S19" s="2010"/>
      <c r="T19" s="2010"/>
      <c r="U19" s="2010"/>
      <c r="V19" s="2010"/>
    </row>
    <row r="20" spans="1:26" ht="14.4">
      <c r="A20" s="272"/>
      <c r="B20" s="273" t="s">
        <v>325</v>
      </c>
      <c r="C20" s="274">
        <f ca="1">SUMIF(INDIRECT("'"&amp;C4&amp;"'"&amp;"!A:A"),结果表!B20,INDIRECT("'"&amp;C4&amp;"'"&amp;"!B:B"))</f>
        <v>21580</v>
      </c>
      <c r="D20" s="275">
        <f ca="1">SUMIF(INDIRECT("'"&amp;D4&amp;"'"&amp;"!A:A"),结果表!B20,INDIRECT("'"&amp;D4&amp;"'"&amp;"!B:B"))</f>
        <v>25251</v>
      </c>
      <c r="E20" s="272"/>
      <c r="F20" s="273" t="s">
        <v>325</v>
      </c>
      <c r="G20" s="276">
        <f ca="1">ROUND(C20*$C$18+D20*$D$18,0)</f>
        <v>23416</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67466</v>
      </c>
      <c r="D21" s="151">
        <f ca="1">SUMIF(INDIRECT("'"&amp;D4&amp;"'"&amp;"!A:A"),结果表!B21,INDIRECT("'"&amp;D4&amp;"'"&amp;"!B:B"))</f>
        <v>78944</v>
      </c>
      <c r="E21" s="272"/>
      <c r="F21" s="278" t="s">
        <v>327</v>
      </c>
      <c r="G21" s="280">
        <f ca="1">ROUND(C21*$C$18+D21*$D$18,0)</f>
        <v>73205</v>
      </c>
      <c r="H21" s="1245" t="s">
        <v>326</v>
      </c>
      <c r="I21" s="309"/>
      <c r="J21" s="2010"/>
      <c r="K21" s="2010"/>
      <c r="L21" s="2010"/>
      <c r="M21" s="2010"/>
      <c r="N21" s="2010"/>
      <c r="O21" s="2010"/>
      <c r="P21" s="2010"/>
      <c r="Q21" s="2010"/>
      <c r="R21" s="2010"/>
      <c r="S21" s="2010"/>
      <c r="T21" s="2010"/>
      <c r="U21" s="2010"/>
      <c r="V21" s="2010"/>
    </row>
    <row r="22" spans="1:26" ht="15" thickBot="1">
      <c r="A22" s="126" t="s">
        <v>328</v>
      </c>
      <c r="B22" s="1246"/>
      <c r="C22" s="1247"/>
      <c r="D22" s="281">
        <f ca="1">IF(C19&lt;D19,D19/C19-1,C19/D19-1)</f>
        <v>0.17011526412398847</v>
      </c>
      <c r="E22" s="282"/>
      <c r="F22" s="283"/>
      <c r="G22" s="284">
        <f ca="1">ROUND(G19/('数据-汇总表'!D3/666.67),0)</f>
        <v>4880</v>
      </c>
      <c r="H22" s="285" t="s">
        <v>329</v>
      </c>
      <c r="I22" s="309"/>
      <c r="J22" s="2010"/>
      <c r="K22" s="2010"/>
      <c r="L22" s="2010"/>
      <c r="M22" s="2010"/>
      <c r="N22" s="2010"/>
      <c r="O22" s="2010"/>
      <c r="P22" s="2010"/>
      <c r="Q22" s="2010"/>
      <c r="R22" s="2010"/>
      <c r="S22" s="2010"/>
      <c r="T22" s="2010"/>
      <c r="U22" s="2010"/>
      <c r="V22" s="2010"/>
    </row>
    <row r="23" spans="1:26" ht="13.8"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07"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7.399999999999999">
      <c r="A25" s="3308"/>
      <c r="B25" s="1315" t="s">
        <v>331</v>
      </c>
      <c r="C25" s="288">
        <f>IF(B30=0,0,C30)</f>
        <v>0</v>
      </c>
      <c r="D25" s="289"/>
      <c r="E25" s="309"/>
      <c r="F25" s="309"/>
      <c r="G25" s="309"/>
      <c r="H25" s="309"/>
      <c r="I25" s="309"/>
      <c r="J25" s="2010"/>
      <c r="K25" s="1249" t="str">
        <f ca="1">项目基本情况!B16&amp;"国有建设用地使用权价格："&amp;O38&amp;"万元"</f>
        <v>出让国有建设用地使用权价格：255958万元</v>
      </c>
      <c r="L25" s="1250"/>
      <c r="M25" s="1250"/>
      <c r="N25" s="1250"/>
      <c r="O25" s="1251"/>
      <c r="P25" s="2010"/>
      <c r="Q25" s="2010"/>
      <c r="R25" s="2010"/>
      <c r="S25" s="2010"/>
      <c r="T25" s="2010"/>
      <c r="U25" s="2010"/>
      <c r="V25" s="2010"/>
    </row>
    <row r="26" spans="1:26" s="1248" customFormat="1" ht="17.399999999999999">
      <c r="A26" s="291" t="s">
        <v>332</v>
      </c>
      <c r="B26" s="292" t="s">
        <v>333</v>
      </c>
      <c r="C26" s="292" t="s">
        <v>334</v>
      </c>
      <c r="D26" s="293" t="s">
        <v>335</v>
      </c>
      <c r="E26" s="309"/>
      <c r="F26" s="309"/>
      <c r="G26" s="309"/>
      <c r="H26" s="309"/>
      <c r="I26" s="309"/>
      <c r="J26" s="2010"/>
      <c r="K26" s="1252" t="str">
        <f ca="1">"大写金额：人民币"&amp;NUMBERSTRING(INT(O38*10000),2)&amp;"元整"</f>
        <v>大写金额：人民币贰拾伍亿伍仟玖佰伍拾捌万元整</v>
      </c>
      <c r="L26" s="1246"/>
      <c r="M26" s="1246"/>
      <c r="N26" s="1246"/>
      <c r="O26" s="1245"/>
      <c r="P26" s="2010"/>
      <c r="Q26" s="2010"/>
      <c r="R26" s="2010"/>
      <c r="S26" s="2010"/>
      <c r="T26" s="2010"/>
      <c r="U26" s="2010"/>
      <c r="V26" s="2010"/>
      <c r="W26" s="290"/>
      <c r="X26" s="290"/>
      <c r="Y26" s="290"/>
      <c r="Z26" s="290"/>
    </row>
    <row r="27" spans="1:26" ht="17.399999999999999">
      <c r="A27" s="291"/>
      <c r="B27" s="292"/>
      <c r="C27" s="292"/>
      <c r="D27" s="293">
        <f ca="1">G19*10000/'数据-汇总表'!F31</f>
        <v>40116.532572916709</v>
      </c>
      <c r="E27" s="309"/>
      <c r="F27" s="309"/>
      <c r="G27" s="309"/>
      <c r="H27" s="309"/>
      <c r="I27" s="309"/>
      <c r="J27" s="2010"/>
      <c r="K27" s="1252" t="str">
        <f ca="1">"单位面积地价："&amp;M38&amp;"元/平方米"</f>
        <v>单位面积地价：73205元/平方米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楼面地价：23416元/平方米</v>
      </c>
      <c r="L28" s="1246"/>
      <c r="M28" s="1246"/>
      <c r="N28" s="1246"/>
      <c r="O28" s="1245"/>
      <c r="P28" s="2010"/>
      <c r="V28" s="2010"/>
    </row>
    <row r="29" spans="1:26" ht="17.399999999999999">
      <c r="A29" s="291"/>
      <c r="B29" s="292"/>
      <c r="C29" s="292"/>
      <c r="D29" s="293"/>
      <c r="E29" s="309"/>
      <c r="F29" s="309"/>
      <c r="G29" s="309"/>
      <c r="H29" s="309"/>
      <c r="I29" s="309"/>
      <c r="J29" s="2010"/>
      <c r="K29" s="1252" t="str">
        <f>IF(OR(项目基本情况!E8="抵押价格",项目基本情况!E8="已注销及未注销"),"抵押价格："&amp;O39&amp;"万元","——")</f>
        <v>——</v>
      </c>
      <c r="L29" s="1246"/>
      <c r="M29" s="1246"/>
      <c r="N29" s="1246"/>
      <c r="O29" s="1245"/>
      <c r="P29" s="2010"/>
      <c r="V29" s="2010"/>
    </row>
    <row r="30" spans="1:26" ht="18" thickBot="1">
      <c r="A30" s="3077" t="s">
        <v>336</v>
      </c>
      <c r="B30" s="307"/>
      <c r="C30" s="307"/>
      <c r="D30" s="308"/>
      <c r="E30" s="3078" t="s">
        <v>2956</v>
      </c>
      <c r="F30" s="309"/>
      <c r="G30" s="309"/>
      <c r="H30" s="309"/>
      <c r="I30" s="309"/>
      <c r="J30" s="2010"/>
      <c r="K30" s="1252" t="str">
        <f>IF(K29="——","——","大写金额：人民币"&amp;NUMBERSTRING(INT(O39*10000),2)&amp;"元整")</f>
        <v>——</v>
      </c>
      <c r="L30" s="1246"/>
      <c r="M30" s="1246"/>
      <c r="N30" s="1246"/>
      <c r="O30" s="1245"/>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抵押担保权已注销时的抵押价格：253933万元</v>
      </c>
      <c r="L31" s="2425"/>
      <c r="M31" s="2425"/>
      <c r="N31" s="2425"/>
      <c r="O31" s="2426"/>
      <c r="P31" s="2010"/>
      <c r="V31" s="2010"/>
    </row>
    <row r="32" spans="1:26" ht="18" thickBot="1">
      <c r="A32" s="266" t="s">
        <v>337</v>
      </c>
      <c r="B32" s="1374" t="s">
        <v>1687</v>
      </c>
      <c r="C32" s="1375">
        <f ca="1">G19-C24</f>
        <v>255958</v>
      </c>
      <c r="D32" s="1376" t="s">
        <v>1688</v>
      </c>
      <c r="E32" s="309"/>
      <c r="F32" s="309"/>
      <c r="G32" s="309"/>
      <c r="H32" s="309"/>
      <c r="I32" s="309"/>
      <c r="J32" s="2010"/>
      <c r="K32" s="2424" t="str">
        <f ca="1">IF(K31="——","——","大写金额：人民币"&amp;NUMBERSTRING(INT(O40*10000),2)&amp;"元整")</f>
        <v>大写金额：人民币贰拾伍亿叁仟玖佰叁拾叁万元整</v>
      </c>
      <c r="L32" s="2427"/>
      <c r="M32" s="2427"/>
      <c r="N32" s="2427"/>
      <c r="O32" s="2428"/>
      <c r="P32" s="2010"/>
      <c r="V32" s="2010"/>
    </row>
    <row r="33" spans="1:26" ht="18" thickBot="1">
      <c r="A33" s="296" t="s">
        <v>340</v>
      </c>
      <c r="B33" s="1377" t="s">
        <v>1689</v>
      </c>
      <c r="C33" s="262">
        <f ca="1">ROUND(C32*10000/'数据-汇总表'!E3,0)</f>
        <v>23416</v>
      </c>
      <c r="D33" s="1378" t="s">
        <v>1690</v>
      </c>
      <c r="E33" s="3307" t="s">
        <v>338</v>
      </c>
      <c r="F33" s="294" t="s">
        <v>339</v>
      </c>
      <c r="G33" s="295"/>
      <c r="H33" s="978"/>
      <c r="I33" s="1253"/>
      <c r="J33" s="2010"/>
      <c r="K33" s="1252" t="str">
        <f>IF(项目基本情况!E9="——","——","抵押净值："&amp;C46&amp;"万元")</f>
        <v>——</v>
      </c>
      <c r="L33" s="1246"/>
      <c r="M33" s="1246"/>
      <c r="N33" s="1246"/>
      <c r="O33" s="1245"/>
      <c r="P33" s="2010"/>
      <c r="V33" s="2010"/>
    </row>
    <row r="34" spans="1:26" s="1248" customFormat="1" ht="18" thickBot="1">
      <c r="A34" s="298"/>
      <c r="B34" s="1379" t="s">
        <v>1691</v>
      </c>
      <c r="C34" s="262">
        <f ca="1">ROUND(C32*10000/'数据-汇总表'!D3,0)</f>
        <v>73205</v>
      </c>
      <c r="D34" s="1380" t="s">
        <v>1690</v>
      </c>
      <c r="E34" s="3348"/>
      <c r="F34" s="127" t="s">
        <v>341</v>
      </c>
      <c r="G34" s="297"/>
      <c r="H34" s="105"/>
      <c r="I34" s="309"/>
      <c r="J34" s="2010"/>
      <c r="K34" s="1255" t="str">
        <f>IF(K33="——","——","大写金额：人民币"&amp;NUMBERSTRING(INT(O41*10000),2)&amp;"元整")</f>
        <v>——</v>
      </c>
      <c r="L34" s="1256"/>
      <c r="M34" s="1256"/>
      <c r="N34" s="1256"/>
      <c r="O34" s="1257"/>
      <c r="P34" s="2010"/>
      <c r="Q34" s="290"/>
      <c r="R34" s="290"/>
      <c r="S34" s="290"/>
      <c r="T34" s="290"/>
      <c r="U34" s="290"/>
      <c r="V34" s="2010"/>
      <c r="W34" s="290"/>
      <c r="X34" s="290"/>
      <c r="Y34" s="290"/>
      <c r="Z34" s="290"/>
    </row>
    <row r="35" spans="1:26" ht="15" thickBot="1">
      <c r="A35" s="282"/>
      <c r="B35" s="1381"/>
      <c r="C35" s="1382">
        <f ca="1">ROUND(C32/('数据-汇总表'!D3/666.67),0)</f>
        <v>4880</v>
      </c>
      <c r="D35" s="1383" t="s">
        <v>1692</v>
      </c>
      <c r="E35" s="3349"/>
      <c r="F35" s="299" t="s">
        <v>342</v>
      </c>
      <c r="G35" s="980">
        <f>面积及出让金计算!N12</f>
        <v>2025</v>
      </c>
      <c r="H35" s="979" t="s">
        <v>343</v>
      </c>
      <c r="I35" s="309"/>
      <c r="J35" s="2010"/>
      <c r="K35" s="3322" t="s">
        <v>350</v>
      </c>
      <c r="L35" s="3322" t="s">
        <v>351</v>
      </c>
      <c r="M35" s="1258" t="s">
        <v>352</v>
      </c>
      <c r="N35" s="3322" t="s">
        <v>353</v>
      </c>
      <c r="O35" s="3322" t="s">
        <v>354</v>
      </c>
      <c r="P35" s="2010"/>
      <c r="V35" s="2010"/>
    </row>
    <row r="36" spans="1:26" ht="16.5" customHeight="1">
      <c r="A36" s="301" t="s">
        <v>344</v>
      </c>
      <c r="B36" s="302" t="s">
        <v>333</v>
      </c>
      <c r="C36" s="303" t="s">
        <v>345</v>
      </c>
      <c r="D36" s="303" t="s">
        <v>346</v>
      </c>
      <c r="E36" s="304" t="s">
        <v>347</v>
      </c>
      <c r="F36" s="309"/>
      <c r="G36" s="309"/>
      <c r="H36" s="309"/>
      <c r="I36" s="309"/>
      <c r="J36" s="2012"/>
      <c r="K36" s="3323"/>
      <c r="L36" s="3323"/>
      <c r="M36" s="1260" t="s">
        <v>355</v>
      </c>
      <c r="N36" s="3323"/>
      <c r="O36" s="3323"/>
      <c r="P36" s="2010"/>
      <c r="V36" s="2010"/>
    </row>
    <row r="37" spans="1:26" ht="16.5" customHeight="1" thickBot="1">
      <c r="A37" s="1254" t="s">
        <v>348</v>
      </c>
      <c r="B37" s="305"/>
      <c r="C37" s="292"/>
      <c r="D37" s="292"/>
      <c r="E37" s="293"/>
      <c r="F37" s="309"/>
      <c r="G37" s="309"/>
      <c r="H37" s="309"/>
      <c r="I37" s="309"/>
      <c r="J37" s="2012"/>
      <c r="K37" s="3324"/>
      <c r="L37" s="3324"/>
      <c r="M37" s="1261"/>
      <c r="N37" s="3324"/>
      <c r="O37" s="3324"/>
      <c r="P37" s="2010"/>
      <c r="V37" s="2010"/>
    </row>
    <row r="38" spans="1:26" ht="16.5" customHeight="1" thickBot="1">
      <c r="A38" s="1254" t="s">
        <v>349</v>
      </c>
      <c r="B38" s="305"/>
      <c r="C38" s="292"/>
      <c r="D38" s="292"/>
      <c r="E38" s="293"/>
      <c r="F38" s="309"/>
      <c r="G38" s="309"/>
      <c r="H38" s="309"/>
      <c r="I38" s="309"/>
      <c r="J38" s="2012"/>
      <c r="K38" s="1262">
        <f>'数据-汇总表'!D3</f>
        <v>34964.49</v>
      </c>
      <c r="L38" s="1263">
        <f>'数据-汇总表'!E3</f>
        <v>109310.18</v>
      </c>
      <c r="M38" s="1263">
        <f ca="1">C34</f>
        <v>73205</v>
      </c>
      <c r="N38" s="1263">
        <f ca="1">C33</f>
        <v>23416</v>
      </c>
      <c r="O38" s="1264">
        <f ca="1">C32</f>
        <v>255958</v>
      </c>
      <c r="P38" s="2010"/>
      <c r="V38" s="2010"/>
    </row>
    <row r="39" spans="1:26" ht="16.5" customHeight="1" thickBot="1">
      <c r="A39" s="1259"/>
      <c r="B39" s="306"/>
      <c r="C39" s="307"/>
      <c r="D39" s="307"/>
      <c r="E39" s="308"/>
      <c r="F39" s="309"/>
      <c r="G39" s="309"/>
      <c r="H39" s="309"/>
      <c r="I39" s="309"/>
      <c r="J39" s="2012"/>
      <c r="K39" s="3367" t="str">
        <f>MID(A44,3,LEN(A44)-2)</f>
        <v/>
      </c>
      <c r="L39" s="3368"/>
      <c r="M39" s="3368"/>
      <c r="N39" s="3369"/>
      <c r="O39" s="1385" t="str">
        <f>C44</f>
        <v>——</v>
      </c>
      <c r="P39" s="2010"/>
      <c r="V39" s="2010"/>
    </row>
    <row r="40" spans="1:26" ht="18" thickBot="1">
      <c r="A40" s="104" t="s">
        <v>872</v>
      </c>
      <c r="B40" s="309"/>
      <c r="C40" s="309"/>
      <c r="D40" s="309"/>
      <c r="E40" s="309"/>
      <c r="F40" s="309"/>
      <c r="G40" s="309"/>
      <c r="H40" s="309"/>
      <c r="I40" s="309"/>
      <c r="J40" s="2012"/>
      <c r="K40" s="3367" t="str">
        <f t="shared" ref="K40:K41" si="0">MID(A45,3,LEN(A45)-2)</f>
        <v>抵押担保权已注销时的抵押价格</v>
      </c>
      <c r="L40" s="3368"/>
      <c r="M40" s="3368"/>
      <c r="N40" s="3369"/>
      <c r="O40" s="1385">
        <f ca="1">C45</f>
        <v>253933</v>
      </c>
      <c r="P40" s="2010"/>
      <c r="V40" s="2010"/>
    </row>
    <row r="41" spans="1:26" ht="16.2" thickBot="1">
      <c r="A41" s="310" t="s">
        <v>356</v>
      </c>
      <c r="B41" s="311"/>
      <c r="C41" s="312" t="s">
        <v>357</v>
      </c>
      <c r="D41" s="313" t="s">
        <v>358</v>
      </c>
      <c r="E41" s="313" t="s">
        <v>359</v>
      </c>
      <c r="F41" s="314" t="s">
        <v>360</v>
      </c>
      <c r="G41" s="309"/>
      <c r="H41" s="309"/>
      <c r="I41" s="309"/>
      <c r="J41" s="2012"/>
      <c r="K41" s="3367" t="str">
        <f t="shared" si="0"/>
        <v/>
      </c>
      <c r="L41" s="3368"/>
      <c r="M41" s="3368"/>
      <c r="N41" s="3369"/>
      <c r="O41" s="1385" t="str">
        <f>C46</f>
        <v>——</v>
      </c>
      <c r="P41" s="2010"/>
      <c r="V41" s="2010"/>
    </row>
    <row r="42" spans="1:26" ht="31.2">
      <c r="A42" s="3309" t="s">
        <v>2064</v>
      </c>
      <c r="B42" s="3310"/>
      <c r="C42" s="262">
        <f ca="1">C32</f>
        <v>255958</v>
      </c>
      <c r="D42" s="315">
        <f ca="1">C33</f>
        <v>23416</v>
      </c>
      <c r="E42" s="315">
        <f ca="1">C34</f>
        <v>73205</v>
      </c>
      <c r="F42" s="316">
        <f ca="1">C35</f>
        <v>4880</v>
      </c>
      <c r="G42" s="309"/>
      <c r="H42" s="309"/>
      <c r="I42" s="317"/>
      <c r="J42" s="2012"/>
      <c r="K42" s="1265" t="s">
        <v>361</v>
      </c>
      <c r="L42" s="2029" t="s">
        <v>362</v>
      </c>
      <c r="M42" s="1266" t="s">
        <v>363</v>
      </c>
      <c r="N42" s="2030" t="s">
        <v>364</v>
      </c>
      <c r="O42" s="2031" t="s">
        <v>365</v>
      </c>
      <c r="P42" s="2010"/>
      <c r="V42" s="2010"/>
    </row>
    <row r="43" spans="1:26" ht="30">
      <c r="A43" s="3320" t="s">
        <v>2727</v>
      </c>
      <c r="B43" s="3321"/>
      <c r="C43" s="262">
        <f>IF(H33="正常操作",G33+G34+G35,G34+G35)</f>
        <v>2025</v>
      </c>
      <c r="D43" s="315" t="s">
        <v>43</v>
      </c>
      <c r="E43" s="315" t="s">
        <v>44</v>
      </c>
      <c r="F43" s="316" t="s">
        <v>44</v>
      </c>
      <c r="G43" s="2818" t="s">
        <v>951</v>
      </c>
      <c r="H43" s="309"/>
      <c r="I43" s="317"/>
      <c r="J43" s="2012"/>
      <c r="K43" s="1267" t="str">
        <f>C4</f>
        <v>比较法-住宅、综合</v>
      </c>
      <c r="L43" s="1268">
        <f ca="1">IF(L42="估价结果/万元",C19,C20)</f>
        <v>235893</v>
      </c>
      <c r="M43" s="1269">
        <f>C18</f>
        <v>0.5</v>
      </c>
      <c r="N43" s="1270">
        <f ca="1">IF(N42="测算结果/万元",G19,G20)</f>
        <v>255958</v>
      </c>
      <c r="O43" s="1271">
        <f ca="1">IF(O42="最终结果/万元",C32,C33)</f>
        <v>255958</v>
      </c>
      <c r="P43" s="2010"/>
      <c r="V43" s="2010"/>
    </row>
    <row r="44" spans="1:26" ht="30.6" thickBot="1">
      <c r="A44" s="3309" t="str">
        <f>IF(OR(项目基本情况!E8="抵押价格",项目基本情况!E8="已注销及未注销"),"3.抵押价格","——")</f>
        <v>——</v>
      </c>
      <c r="B44" s="3310"/>
      <c r="C44" s="262" t="str">
        <f>IF(A44="——","——",C42-C43)</f>
        <v>——</v>
      </c>
      <c r="D44" s="315" t="e">
        <f>ROUND(C44*10000/'数据-汇总表'!E3,0)</f>
        <v>#VALUE!</v>
      </c>
      <c r="E44" s="315" t="e">
        <f>ROUND(C44*10000/'数据-汇总表'!D3,0)</f>
        <v>#VALUE!</v>
      </c>
      <c r="F44" s="316" t="e">
        <f>ROUND(C44/('数据-汇总表'!D3/666.67),0)</f>
        <v>#VALUE!</v>
      </c>
      <c r="G44" s="309"/>
      <c r="H44" s="309"/>
      <c r="I44" s="317"/>
      <c r="J44" s="2012"/>
      <c r="K44" s="1272" t="str">
        <f>D4</f>
        <v>剩余法-待开发</v>
      </c>
      <c r="L44" s="1273">
        <f ca="1">IF(L42="估价结果/万元",D19,D20)</f>
        <v>276022</v>
      </c>
      <c r="M44" s="1274">
        <f>D18</f>
        <v>0.5</v>
      </c>
      <c r="N44" s="1275"/>
      <c r="O44" s="1276"/>
      <c r="P44" s="2010"/>
      <c r="V44" s="2010"/>
    </row>
    <row r="45" spans="1:26" ht="13.8">
      <c r="A45" s="3315" t="str">
        <f>IF(项目基本情况!E8="已注销及未注销","4.抵押担保权已注销时的抵押价格",IF(项目基本情况!E8="已注销","3.抵押担保权已注销时的抵押价格","——"))</f>
        <v>3.抵押担保权已注销时的抵押价格</v>
      </c>
      <c r="B45" s="3316"/>
      <c r="C45" s="1785">
        <f ca="1">IF(A45="——","——",IF(项目基本情况!E8="抵押价格","——",C32-G34-G35))</f>
        <v>253933</v>
      </c>
      <c r="D45" s="315">
        <f ca="1">ROUND(C45*10000/'数据-汇总表'!E3,0)</f>
        <v>23230</v>
      </c>
      <c r="E45" s="315">
        <f ca="1">ROUND(C45*10000/'数据-汇总表'!D3,0)</f>
        <v>72626</v>
      </c>
      <c r="F45" s="316">
        <f ca="1">ROUND(C45/('数据-汇总表'!D3/666.67),0)</f>
        <v>4842</v>
      </c>
      <c r="G45" s="309"/>
      <c r="H45" s="309"/>
      <c r="I45" s="317"/>
      <c r="J45" s="2012"/>
      <c r="K45" s="2010"/>
      <c r="L45" s="2010"/>
      <c r="M45" s="2010"/>
      <c r="N45" s="2010"/>
      <c r="O45" s="2010"/>
      <c r="P45" s="2010"/>
      <c r="V45" s="2010"/>
    </row>
    <row r="46" spans="1:26" ht="14.4" thickBot="1">
      <c r="A46" s="3311" t="str">
        <f>IF(项目基本情况!E9="抵押净值",IF(A45="——","4.抵押净值","5.抵押净值"),"——")</f>
        <v>——</v>
      </c>
      <c r="B46" s="3312"/>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6">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本次评估估价师知悉的法定优先受偿款为人民币2025万元整。</v>
      </c>
      <c r="L47" s="2010"/>
      <c r="M47" s="2010"/>
      <c r="N47" s="2010"/>
      <c r="O47" s="2010"/>
      <c r="P47" s="2010"/>
      <c r="Q47" s="2010"/>
      <c r="R47" s="2010"/>
      <c r="S47" s="2010"/>
      <c r="T47" s="2010"/>
      <c r="U47" s="2010"/>
      <c r="V47" s="2010"/>
    </row>
    <row r="48" spans="1:26" ht="13.2">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3.2">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3.2">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3.2">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3.2">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3.2">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3.2">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3.2">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3.2">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3.2">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3.2">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3.2">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3.2">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3.2">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7.399999999999999">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56" t="s">
        <v>374</v>
      </c>
      <c r="B63" s="3357"/>
      <c r="C63" s="3358"/>
      <c r="D63" s="339">
        <f ca="1">ROUND(C42*F63,0)</f>
        <v>153575</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17" t="s">
        <v>378</v>
      </c>
      <c r="B64" s="3318"/>
      <c r="C64" s="3318"/>
      <c r="D64" s="3318"/>
      <c r="E64" s="3318"/>
      <c r="F64" s="3318"/>
      <c r="G64" s="3319"/>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6.4">
      <c r="A66" s="3313" t="s">
        <v>386</v>
      </c>
      <c r="B66" s="3314"/>
      <c r="C66" s="3314"/>
      <c r="D66" s="259">
        <f ca="1">IF(H66="情况1",0,IF(H66="情况2",D70,IF(H66="情况3",D71,IF(H66="情况4",D72))))</f>
        <v>8191</v>
      </c>
      <c r="E66" s="991" t="str">
        <f>IF(H66="情况4","(销售额-原购置价)×税（费）率","销售额×税（费）率")</f>
        <v>销售额×税（费）率</v>
      </c>
      <c r="F66" s="348">
        <f>IF(H66="情况1","免征",'数据-取费表'!B41)</f>
        <v>5.6000000000000001E-2</v>
      </c>
      <c r="G66" s="349" t="s">
        <v>387</v>
      </c>
      <c r="H66" s="191" t="s">
        <v>388</v>
      </c>
      <c r="I66" s="1282"/>
      <c r="J66" s="2016"/>
      <c r="K66" s="1285">
        <v>1</v>
      </c>
      <c r="L66" s="3371" t="s">
        <v>385</v>
      </c>
      <c r="M66" s="3372"/>
      <c r="N66" s="2419"/>
      <c r="O66" s="2420"/>
      <c r="P66" s="2421"/>
      <c r="Q66" s="2010"/>
      <c r="R66" s="2010"/>
      <c r="S66" s="2010"/>
      <c r="T66" s="2010"/>
      <c r="U66" s="2010"/>
      <c r="V66" s="2010"/>
    </row>
    <row r="67" spans="1:22" ht="25.5" customHeight="1">
      <c r="A67" s="350" t="s">
        <v>390</v>
      </c>
      <c r="B67" s="3304" t="s">
        <v>391</v>
      </c>
      <c r="C67" s="3304"/>
      <c r="D67" s="351">
        <v>0</v>
      </c>
      <c r="E67" s="41" t="s">
        <v>392</v>
      </c>
      <c r="F67" s="62" t="s">
        <v>21</v>
      </c>
      <c r="G67" s="3359"/>
      <c r="H67" s="309"/>
      <c r="I67" s="1286"/>
      <c r="J67" s="2017"/>
      <c r="K67" s="1958">
        <v>2</v>
      </c>
      <c r="L67" s="3370" t="s">
        <v>389</v>
      </c>
      <c r="M67" s="3370"/>
      <c r="N67" s="1319">
        <f>'数据-取费表'!B2</f>
        <v>43832</v>
      </c>
      <c r="O67" s="1319"/>
      <c r="P67" s="1319"/>
      <c r="Q67" s="2010"/>
      <c r="R67" s="2010"/>
      <c r="S67" s="2010"/>
      <c r="T67" s="2010"/>
      <c r="U67" s="2010"/>
      <c r="V67" s="2010"/>
    </row>
    <row r="68" spans="1:22" ht="25.5" customHeight="1">
      <c r="A68" s="352"/>
      <c r="B68" s="3304" t="s">
        <v>394</v>
      </c>
      <c r="C68" s="3304"/>
      <c r="D68" s="353"/>
      <c r="E68" s="77"/>
      <c r="F68" s="354"/>
      <c r="G68" s="3360"/>
      <c r="H68" s="309"/>
      <c r="I68" s="1286"/>
      <c r="J68" s="2017"/>
      <c r="K68" s="1958">
        <v>3</v>
      </c>
      <c r="L68" s="3370" t="s">
        <v>393</v>
      </c>
      <c r="M68" s="3370"/>
      <c r="N68" s="1287">
        <f ca="1">C42</f>
        <v>255958</v>
      </c>
      <c r="O68" s="1287"/>
      <c r="P68" s="1287"/>
      <c r="Q68" s="2010"/>
      <c r="R68" s="2010"/>
      <c r="S68" s="2010"/>
      <c r="T68" s="2010"/>
      <c r="U68" s="2010"/>
      <c r="V68" s="2010"/>
    </row>
    <row r="69" spans="1:22" ht="12" customHeight="1">
      <c r="A69" s="355"/>
      <c r="B69" s="3304" t="s">
        <v>395</v>
      </c>
      <c r="C69" s="3304"/>
      <c r="D69" s="356"/>
      <c r="E69" s="73"/>
      <c r="F69" s="354"/>
      <c r="G69" s="3361"/>
      <c r="H69" s="309"/>
      <c r="I69" s="1286"/>
      <c r="J69" s="2017"/>
      <c r="K69" s="1288">
        <v>4</v>
      </c>
      <c r="L69" s="3375" t="s">
        <v>2880</v>
      </c>
      <c r="M69" s="3376"/>
      <c r="N69" s="1289" t="str">
        <f>C44</f>
        <v>——</v>
      </c>
      <c r="O69" s="1289"/>
      <c r="P69" s="1289"/>
      <c r="Q69" s="2010"/>
      <c r="R69" s="2010"/>
      <c r="S69" s="2010"/>
      <c r="T69" s="2010"/>
      <c r="U69" s="2010"/>
      <c r="V69" s="2010"/>
    </row>
    <row r="70" spans="1:22" ht="24" customHeight="1">
      <c r="A70" s="357" t="s">
        <v>396</v>
      </c>
      <c r="B70" s="3304" t="s">
        <v>397</v>
      </c>
      <c r="C70" s="3304"/>
      <c r="D70" s="356">
        <f ca="1">ROUND(D63*'数据-取费表'!B41/(1+'数据-取费表'!C42),0)</f>
        <v>8191</v>
      </c>
      <c r="E70" s="17" t="s">
        <v>398</v>
      </c>
      <c r="F70" s="358">
        <f>'数据-取费表'!B41</f>
        <v>5.6000000000000001E-2</v>
      </c>
      <c r="G70" s="359"/>
      <c r="H70" s="309"/>
      <c r="I70" s="1286"/>
      <c r="J70" s="2017"/>
      <c r="K70" s="3009"/>
      <c r="L70" s="3010"/>
      <c r="M70" s="3010"/>
      <c r="N70" s="3011" t="s">
        <v>2885</v>
      </c>
      <c r="O70" s="3010"/>
      <c r="P70" s="3012"/>
      <c r="Q70" s="2010"/>
      <c r="R70" s="2010"/>
      <c r="S70" s="2010"/>
      <c r="T70" s="2010"/>
      <c r="U70" s="2010"/>
      <c r="V70" s="2010"/>
    </row>
    <row r="71" spans="1:22" ht="12" customHeight="1">
      <c r="A71" s="357" t="s">
        <v>404</v>
      </c>
      <c r="B71" s="3305" t="s">
        <v>405</v>
      </c>
      <c r="C71" s="3306"/>
      <c r="D71" s="356">
        <f ca="1">ROUND(D63*'数据-取费表'!B41/(1+'数据-取费表'!C42),0)</f>
        <v>8191</v>
      </c>
      <c r="E71" s="17" t="s">
        <v>398</v>
      </c>
      <c r="F71" s="358">
        <f>'数据-取费表'!B41</f>
        <v>5.6000000000000001E-2</v>
      </c>
      <c r="G71" s="359"/>
      <c r="H71" s="309"/>
      <c r="I71" s="1286"/>
      <c r="J71" s="2017"/>
      <c r="K71" s="3008" t="s">
        <v>399</v>
      </c>
      <c r="L71" s="3377" t="s">
        <v>400</v>
      </c>
      <c r="M71" s="3377"/>
      <c r="N71" s="3008" t="s">
        <v>401</v>
      </c>
      <c r="O71" s="3008" t="s">
        <v>402</v>
      </c>
      <c r="P71" s="3008" t="s">
        <v>403</v>
      </c>
      <c r="Q71" s="2010"/>
      <c r="R71" s="2010"/>
      <c r="S71" s="2010"/>
      <c r="T71" s="2010"/>
      <c r="U71" s="2010"/>
      <c r="V71" s="2010"/>
    </row>
    <row r="72" spans="1:22" ht="12" customHeight="1">
      <c r="A72" s="357" t="s">
        <v>407</v>
      </c>
      <c r="B72" s="3305" t="s">
        <v>408</v>
      </c>
      <c r="C72" s="3306"/>
      <c r="D72" s="356">
        <f ca="1">C86</f>
        <v>8079</v>
      </c>
      <c r="E72" s="73" t="s">
        <v>409</v>
      </c>
      <c r="F72" s="358">
        <f>'数据-取费表'!B41</f>
        <v>5.6000000000000001E-2</v>
      </c>
      <c r="G72" s="359"/>
      <c r="H72" s="1292"/>
      <c r="I72" s="1286"/>
      <c r="J72" s="2017"/>
      <c r="K72" s="1958">
        <v>1</v>
      </c>
      <c r="L72" s="3352" t="s">
        <v>406</v>
      </c>
      <c r="M72" s="3352"/>
      <c r="N72" s="1290">
        <f ca="1">D66</f>
        <v>8191</v>
      </c>
      <c r="O72" s="1841" t="str">
        <f>E66</f>
        <v>销售额×税（费）率</v>
      </c>
      <c r="P72" s="1291">
        <f>F66</f>
        <v>5.6000000000000001E-2</v>
      </c>
      <c r="Q72" s="2010"/>
      <c r="R72" s="2010"/>
      <c r="S72" s="2010"/>
      <c r="T72" s="2010"/>
      <c r="U72" s="2010"/>
      <c r="V72" s="2010"/>
    </row>
    <row r="73" spans="1:22" ht="24" customHeight="1">
      <c r="A73" s="3346" t="s">
        <v>411</v>
      </c>
      <c r="B73" s="3314"/>
      <c r="C73" s="3314"/>
      <c r="D73" s="360">
        <f>IF(H73="个人住宅",0,ROUND(D63*I73,0))</f>
        <v>0</v>
      </c>
      <c r="E73" s="17" t="s">
        <v>412</v>
      </c>
      <c r="F73" s="358" t="str">
        <f>IF(H73="正常",I73,"免征")</f>
        <v>免征</v>
      </c>
      <c r="G73" s="359"/>
      <c r="H73" s="191" t="s">
        <v>2452</v>
      </c>
      <c r="I73" s="358">
        <f>'数据-取费表'!B49</f>
        <v>5.0000000000000001E-4</v>
      </c>
      <c r="J73" s="2017"/>
      <c r="K73" s="1958">
        <v>2</v>
      </c>
      <c r="L73" s="3352" t="s">
        <v>410</v>
      </c>
      <c r="M73" s="3352"/>
      <c r="N73" s="1290">
        <f t="shared" ref="N73:P74" si="1">D73</f>
        <v>0</v>
      </c>
      <c r="O73" s="1841" t="str">
        <f t="shared" si="1"/>
        <v>销售额×税（费）率</v>
      </c>
      <c r="P73" s="1291" t="str">
        <f t="shared" si="1"/>
        <v>免征</v>
      </c>
      <c r="Q73" s="2010"/>
      <c r="R73" s="2010"/>
      <c r="S73" s="2010"/>
      <c r="T73" s="2010"/>
      <c r="U73" s="2010"/>
      <c r="V73" s="2010"/>
    </row>
    <row r="74" spans="1:22" ht="25.2">
      <c r="A74" s="3346" t="s">
        <v>415</v>
      </c>
      <c r="B74" s="3314"/>
      <c r="C74" s="3314"/>
      <c r="D74" s="360">
        <f ca="1">IF(H74="个人住宅",D75,D76)</f>
        <v>86268</v>
      </c>
      <c r="E74" s="17" t="s">
        <v>416</v>
      </c>
      <c r="F74" s="358" t="str">
        <f>IF(H74="正常",F76,"免征")</f>
        <v>——</v>
      </c>
      <c r="G74" s="981" t="s">
        <v>417</v>
      </c>
      <c r="H74" s="361" t="s">
        <v>413</v>
      </c>
      <c r="I74" s="42"/>
      <c r="J74" s="2017"/>
      <c r="K74" s="1958">
        <v>3</v>
      </c>
      <c r="L74" s="3352" t="s">
        <v>414</v>
      </c>
      <c r="M74" s="3352"/>
      <c r="N74" s="1290">
        <f t="shared" ca="1" si="1"/>
        <v>86268</v>
      </c>
      <c r="O74" s="1841" t="str">
        <f t="shared" si="1"/>
        <v>增值额×税（费）率</v>
      </c>
      <c r="P74" s="1293" t="str">
        <f t="shared" si="1"/>
        <v>——</v>
      </c>
      <c r="Q74" s="2010"/>
      <c r="R74" s="2010"/>
      <c r="S74" s="2010"/>
      <c r="T74" s="2010"/>
      <c r="U74" s="2010"/>
      <c r="V74" s="2010"/>
    </row>
    <row r="75" spans="1:22" ht="24">
      <c r="A75" s="357" t="s">
        <v>418</v>
      </c>
      <c r="B75" s="3302" t="s">
        <v>419</v>
      </c>
      <c r="C75" s="3332"/>
      <c r="D75" s="362">
        <v>0</v>
      </c>
      <c r="E75" s="41" t="s">
        <v>420</v>
      </c>
      <c r="F75" s="363"/>
      <c r="G75" s="359"/>
      <c r="H75" s="42"/>
      <c r="I75" s="42"/>
      <c r="J75" s="2017"/>
      <c r="K75" s="3001">
        <f>IF(H77="非个人房产","",4)</f>
        <v>4</v>
      </c>
      <c r="L75" s="3352" t="str">
        <f>IF(H77="非个人房产","——","个人所得税")</f>
        <v>个人所得税</v>
      </c>
      <c r="M75" s="3352"/>
      <c r="N75" s="1294">
        <f ca="1">D77</f>
        <v>1536</v>
      </c>
      <c r="O75" s="1854" t="str">
        <f>E77</f>
        <v>销售额×税（费）率</v>
      </c>
      <c r="P75" s="1295">
        <f>F77</f>
        <v>0.01</v>
      </c>
      <c r="Q75" s="2010"/>
      <c r="R75" s="2010"/>
      <c r="S75" s="2010"/>
      <c r="T75" s="2010"/>
      <c r="U75" s="2010"/>
      <c r="V75" s="2010"/>
    </row>
    <row r="76" spans="1:22" ht="25.2">
      <c r="A76" s="357" t="s">
        <v>396</v>
      </c>
      <c r="B76" s="3302" t="s">
        <v>422</v>
      </c>
      <c r="C76" s="3303"/>
      <c r="D76" s="360">
        <f ca="1">IF(H76="转让取得",C99,C115)</f>
        <v>86268</v>
      </c>
      <c r="E76" s="17" t="s">
        <v>423</v>
      </c>
      <c r="F76" s="53" t="s">
        <v>21</v>
      </c>
      <c r="G76" s="359"/>
      <c r="H76" s="361" t="s">
        <v>424</v>
      </c>
      <c r="I76" s="42"/>
      <c r="J76" s="2017"/>
      <c r="K76" s="3001" t="str">
        <f>IF(项目基本情况!K6="上海银行",IF(K75="",4,K75+1),"")</f>
        <v/>
      </c>
      <c r="L76" s="3363" t="str">
        <f>IF(项目基本情况!K6="上海银行","其他处置费用","")</f>
        <v/>
      </c>
      <c r="M76" s="3364"/>
      <c r="N76" s="1290" t="str">
        <f>IF(项目基本情况!K6="上海银行",N89,"")</f>
        <v/>
      </c>
      <c r="O76" s="3365" t="str">
        <f>IF(项目基本情况!K6="上海银行","包含处置中涉及的律师、诉讼、拍卖、评估等费用","")</f>
        <v/>
      </c>
      <c r="P76" s="3366"/>
      <c r="Q76" s="2010"/>
      <c r="R76" s="2010"/>
      <c r="S76" s="2010"/>
      <c r="T76" s="2010"/>
      <c r="U76" s="2010"/>
      <c r="V76" s="2010"/>
    </row>
    <row r="77" spans="1:22" ht="27" thickBot="1">
      <c r="A77" s="3354" t="s">
        <v>426</v>
      </c>
      <c r="B77" s="3355"/>
      <c r="C77" s="3355"/>
      <c r="D77" s="364">
        <f ca="1">IF(H77="非个人房产","——",IF(H77="个人住宅",0,ROUND(D63*I77,0)))</f>
        <v>1536</v>
      </c>
      <c r="E77" s="365" t="str">
        <f>IF(H77="非个人房产","——","销售额×税（费）率")</f>
        <v>销售额×税（费）率</v>
      </c>
      <c r="F77" s="366">
        <f>IF(H77="非个人房产","——",IF(H77="个人住宅","免征",I77))</f>
        <v>0.01</v>
      </c>
      <c r="G77" s="982" t="s">
        <v>417</v>
      </c>
      <c r="H77" s="361" t="s">
        <v>2881</v>
      </c>
      <c r="I77" s="367">
        <v>0.01</v>
      </c>
      <c r="J77" s="2017"/>
      <c r="K77" s="3353">
        <f>IF(AND(K75="",K76=""),4,IF(项目基本情况!K6="上海银行",K76+1,K75+1))</f>
        <v>5</v>
      </c>
      <c r="L77" s="3352" t="s">
        <v>2882</v>
      </c>
      <c r="M77" s="3007" t="s">
        <v>421</v>
      </c>
      <c r="N77" s="1296"/>
      <c r="O77" s="1297">
        <f ca="1">SUMIF(N72:N76,"&lt;9e307")</f>
        <v>95995</v>
      </c>
      <c r="P77" s="1298"/>
      <c r="Q77" s="3005" t="e">
        <f ca="1">O77/N69</f>
        <v>#VALUE!</v>
      </c>
      <c r="R77" s="2010"/>
      <c r="S77" s="2010"/>
      <c r="T77" s="2010"/>
      <c r="U77" s="2010"/>
      <c r="V77" s="2010"/>
    </row>
    <row r="78" spans="1:22" ht="12" customHeight="1">
      <c r="A78" s="1299"/>
      <c r="B78" s="309"/>
      <c r="C78" s="309"/>
      <c r="D78" s="309"/>
      <c r="E78" s="42"/>
      <c r="F78" s="42"/>
      <c r="G78" s="42"/>
      <c r="H78" s="1001"/>
      <c r="I78" s="309"/>
      <c r="J78" s="2017"/>
      <c r="K78" s="3353"/>
      <c r="L78" s="3352"/>
      <c r="M78" s="3007" t="s">
        <v>425</v>
      </c>
      <c r="N78" s="1296"/>
      <c r="O78" s="1297" t="str">
        <f ca="1">NUMBERSTRING(INT(O77*10000),2)&amp;"元整"</f>
        <v>玖亿伍仟玖佰玖拾伍万元整</v>
      </c>
      <c r="P78" s="1298"/>
      <c r="Q78" s="2010"/>
      <c r="R78" s="2010"/>
      <c r="S78" s="2010"/>
      <c r="T78" s="2010"/>
      <c r="U78" s="2010"/>
      <c r="V78" s="2010"/>
    </row>
    <row r="79" spans="1:22" ht="13.8" thickBot="1">
      <c r="A79" s="3347" t="s">
        <v>427</v>
      </c>
      <c r="B79" s="3347"/>
      <c r="C79" s="3347"/>
      <c r="D79" s="3347"/>
      <c r="E79" s="3347"/>
      <c r="F79" s="42"/>
      <c r="G79" s="42"/>
      <c r="H79" s="1001"/>
      <c r="I79" s="309"/>
      <c r="J79" s="2017"/>
      <c r="K79" s="3373">
        <f>K77+1</f>
        <v>6</v>
      </c>
      <c r="L79" s="3352" t="s">
        <v>2883</v>
      </c>
      <c r="M79" s="3007" t="s">
        <v>421</v>
      </c>
      <c r="N79" s="1296"/>
      <c r="O79" s="1297" t="e">
        <f ca="1">N69-O77</f>
        <v>#VALUE!</v>
      </c>
      <c r="P79" s="1298"/>
      <c r="Q79" s="2010"/>
      <c r="R79" s="2010"/>
      <c r="S79" s="2010"/>
      <c r="T79" s="2010"/>
      <c r="U79" s="2010"/>
      <c r="V79" s="2010"/>
    </row>
    <row r="80" spans="1:22" ht="13.2">
      <c r="A80" s="3342" t="s">
        <v>428</v>
      </c>
      <c r="B80" s="3343"/>
      <c r="C80" s="992"/>
      <c r="D80" s="992" t="s">
        <v>429</v>
      </c>
      <c r="E80" s="368" t="s">
        <v>430</v>
      </c>
      <c r="F80" s="42"/>
      <c r="G80" s="42"/>
      <c r="H80" s="1001"/>
      <c r="I80" s="309"/>
      <c r="J80" s="2010"/>
      <c r="K80" s="3374"/>
      <c r="L80" s="3352"/>
      <c r="M80" s="3007" t="s">
        <v>425</v>
      </c>
      <c r="N80" s="1296"/>
      <c r="O80" s="1297" t="e">
        <f ca="1">NUMBERSTRING(INT(O79*10000),2)&amp;"元整"</f>
        <v>#VALUE!</v>
      </c>
      <c r="P80" s="1298"/>
      <c r="Q80" s="2010"/>
      <c r="R80" s="2010"/>
      <c r="S80" s="2010"/>
      <c r="T80" s="2010"/>
      <c r="U80" s="2010"/>
      <c r="V80" s="2010"/>
    </row>
    <row r="81" spans="1:26" ht="13.8" thickBot="1">
      <c r="A81" s="379" t="s">
        <v>1822</v>
      </c>
      <c r="B81" s="369" t="s">
        <v>431</v>
      </c>
      <c r="C81" s="370">
        <f ca="1">ROUND((C82+C83)/(1+'数据-取费表'!C42),0)</f>
        <v>146262</v>
      </c>
      <c r="D81" s="371"/>
      <c r="E81" s="372"/>
      <c r="F81" s="42"/>
      <c r="G81" s="42"/>
      <c r="H81" s="1001"/>
      <c r="I81" s="309"/>
      <c r="J81" s="2010"/>
      <c r="K81" s="3001">
        <f>K79+1</f>
        <v>7</v>
      </c>
      <c r="L81" s="3350" t="s">
        <v>2884</v>
      </c>
      <c r="M81" s="3351"/>
      <c r="N81" s="1300"/>
      <c r="O81" s="1301" t="e">
        <f ca="1">ROUND(O79*10000/'数据-汇总表'!E3,0)</f>
        <v>#VALUE!</v>
      </c>
      <c r="P81" s="1302"/>
      <c r="Q81" s="2010"/>
      <c r="R81" s="2010"/>
      <c r="S81" s="2010"/>
      <c r="T81" s="2010"/>
      <c r="U81" s="2010"/>
      <c r="V81" s="2010"/>
    </row>
    <row r="82" spans="1:26" ht="13.8" thickTop="1">
      <c r="A82" s="373" t="s">
        <v>1823</v>
      </c>
      <c r="B82" s="374" t="s">
        <v>432</v>
      </c>
      <c r="C82" s="375">
        <f ca="1">D63</f>
        <v>153575</v>
      </c>
      <c r="D82" s="376" t="s">
        <v>19</v>
      </c>
      <c r="E82" s="377"/>
      <c r="F82" s="42"/>
      <c r="G82" s="42"/>
      <c r="H82" s="1001"/>
      <c r="I82" s="309"/>
      <c r="J82" s="2010"/>
      <c r="K82" s="2010"/>
      <c r="L82" s="2010"/>
      <c r="M82" s="2010"/>
      <c r="N82" s="2010"/>
      <c r="O82" s="2010"/>
      <c r="P82" s="2010"/>
      <c r="Q82" s="2010"/>
      <c r="R82" s="2010"/>
      <c r="S82" s="2010"/>
      <c r="T82" s="2010"/>
      <c r="U82" s="2010"/>
      <c r="V82" s="2010"/>
    </row>
    <row r="83" spans="1:26" ht="13.2">
      <c r="A83" s="373" t="s">
        <v>1824</v>
      </c>
      <c r="B83" s="374" t="s">
        <v>433</v>
      </c>
      <c r="C83" s="378">
        <v>0</v>
      </c>
      <c r="D83" s="376"/>
      <c r="E83" s="377"/>
      <c r="F83" s="42"/>
      <c r="G83" s="42"/>
      <c r="H83" s="1001"/>
      <c r="I83" s="309"/>
      <c r="J83" s="2010"/>
      <c r="K83" s="3362" t="s">
        <v>2871</v>
      </c>
      <c r="L83" s="3013" t="s">
        <v>2872</v>
      </c>
      <c r="M83" s="3003" t="e">
        <f>IF(N69&gt;10000,N69*0.5%,IF(AND(N69&gt;1000,N69&lt;=10000),N69*1%,IF(AND(N69&gt;100,N69&lt;=1000),N69*3%,IF(AND(N69&gt;10,N69&lt;=100),N69*5%,N69*8%))))</f>
        <v>#VALUE!</v>
      </c>
      <c r="N83" s="53" t="e">
        <f>ROUND(M83,1)</f>
        <v>#VALUE!</v>
      </c>
      <c r="O83" s="3006"/>
      <c r="P83" s="2010"/>
      <c r="Q83" s="2010"/>
      <c r="R83" s="2010"/>
      <c r="S83" s="2010"/>
      <c r="T83" s="2010"/>
      <c r="U83" s="2010"/>
      <c r="V83" s="2010"/>
    </row>
    <row r="84" spans="1:26" ht="25.2">
      <c r="A84" s="379" t="s">
        <v>1825</v>
      </c>
      <c r="B84" s="380" t="s">
        <v>434</v>
      </c>
      <c r="C84" s="381">
        <v>2000</v>
      </c>
      <c r="D84" s="382" t="s">
        <v>19</v>
      </c>
      <c r="E84" s="3048" t="s">
        <v>2929</v>
      </c>
      <c r="F84" s="42"/>
      <c r="G84" s="42"/>
      <c r="H84" s="1001"/>
      <c r="I84" s="309"/>
      <c r="J84" s="2010"/>
      <c r="K84" s="3362"/>
      <c r="L84" s="3013" t="s">
        <v>2873</v>
      </c>
      <c r="M84" s="300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2874</v>
      </c>
      <c r="P84" s="2010"/>
      <c r="Q84" s="2010"/>
      <c r="R84" s="2010"/>
      <c r="S84" s="2010"/>
      <c r="T84" s="2010"/>
      <c r="U84" s="2010"/>
      <c r="V84" s="2010"/>
    </row>
    <row r="85" spans="1:26" ht="13.2">
      <c r="A85" s="379" t="s">
        <v>1826</v>
      </c>
      <c r="B85" s="380" t="s">
        <v>435</v>
      </c>
      <c r="C85" s="383">
        <f ca="1">C81-C84</f>
        <v>144262</v>
      </c>
      <c r="D85" s="376" t="s">
        <v>19</v>
      </c>
      <c r="E85" s="377"/>
      <c r="F85" s="42"/>
      <c r="G85" s="42"/>
      <c r="H85" s="1001"/>
      <c r="I85" s="309"/>
      <c r="J85" s="2010"/>
      <c r="K85" s="3362"/>
      <c r="L85" s="3013" t="s">
        <v>2875</v>
      </c>
      <c r="M85" s="3003" t="e">
        <f>IF(N69&gt;1000,N69*0.1%,IF(AND(N69&gt;500,N69&lt;=1000),N69*0.5%,IF(AND(N69&gt;50,N69&lt;=500),N69*1%,IF(AND(N69&gt;1,N69&lt;=50),N69*1.5%))))</f>
        <v>#VALUE!</v>
      </c>
      <c r="N85" s="53" t="e">
        <f t="shared" si="2"/>
        <v>#VALUE!</v>
      </c>
      <c r="O85" s="2010" t="s">
        <v>2874</v>
      </c>
      <c r="P85" s="2010"/>
      <c r="Q85" s="2010"/>
      <c r="R85" s="2010"/>
      <c r="S85" s="2010"/>
      <c r="T85" s="2010"/>
      <c r="U85" s="2010"/>
      <c r="V85" s="2010"/>
    </row>
    <row r="86" spans="1:26" ht="13.8" thickBot="1">
      <c r="A86" s="384" t="s">
        <v>1827</v>
      </c>
      <c r="B86" s="385" t="s">
        <v>436</v>
      </c>
      <c r="C86" s="386">
        <f ca="1">IF(C85&lt;=0,0,ROUND(C85*D86,0))</f>
        <v>8079</v>
      </c>
      <c r="D86" s="387">
        <f>'数据-取费表'!B41</f>
        <v>5.6000000000000001E-2</v>
      </c>
      <c r="E86" s="388"/>
      <c r="F86" s="42"/>
      <c r="G86" s="42"/>
      <c r="H86" s="1001"/>
      <c r="I86" s="309"/>
      <c r="J86" s="2010"/>
      <c r="K86" s="3362"/>
      <c r="L86" s="3013" t="s">
        <v>2876</v>
      </c>
      <c r="M86" s="3003" t="e">
        <f>N69*0.5%</f>
        <v>#VALUE!</v>
      </c>
      <c r="N86" s="53" t="e">
        <f>IF(M86&gt;0.5,0.5,ROUND(M86,0))</f>
        <v>#VALUE!</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362"/>
      <c r="L87" s="3013" t="s">
        <v>2878</v>
      </c>
      <c r="M87" s="300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6"/>
      <c r="P87" s="309"/>
      <c r="Q87" s="2010"/>
      <c r="R87" s="2010"/>
      <c r="S87" s="2010"/>
      <c r="T87" s="2010"/>
      <c r="U87" s="2010"/>
      <c r="V87" s="2010"/>
      <c r="W87" s="290"/>
      <c r="X87" s="290"/>
      <c r="Y87" s="290"/>
      <c r="Z87" s="290"/>
    </row>
    <row r="88" spans="1:26" s="1308" customFormat="1" ht="14.4" thickBot="1">
      <c r="A88" s="3344" t="s">
        <v>437</v>
      </c>
      <c r="B88" s="3345"/>
      <c r="C88" s="3345"/>
      <c r="D88" s="3345"/>
      <c r="E88" s="3345"/>
      <c r="F88" s="3345"/>
      <c r="G88" s="3345"/>
      <c r="H88" s="3345"/>
      <c r="I88" s="1309"/>
      <c r="J88" s="2018"/>
      <c r="K88" s="3362"/>
      <c r="L88" s="3013" t="s">
        <v>2879</v>
      </c>
      <c r="M88" s="3003" t="e">
        <f>IF(N69&gt;10000,N69*0.5%,IF(AND(N69&gt;5000,N69&lt;=10000),N69*1%,IF(AND(N69&gt;1000,N69&lt;=5000),N69*2%,IF(AND(N69&gt;200,N69&lt;=1000),N69*3%,N69*5%))))</f>
        <v>#VALUE!</v>
      </c>
      <c r="N88" s="53" t="e">
        <f>ROUND(M88,1)</f>
        <v>#VALUE!</v>
      </c>
      <c r="O88" s="3006"/>
      <c r="P88" s="11"/>
      <c r="Q88" s="2015"/>
      <c r="R88" s="2015"/>
      <c r="S88" s="2015"/>
      <c r="T88" s="2015"/>
      <c r="U88" s="2015"/>
      <c r="V88" s="2015"/>
      <c r="W88" s="2019"/>
      <c r="X88" s="2019"/>
      <c r="Y88" s="2019"/>
      <c r="Z88" s="2019"/>
    </row>
    <row r="89" spans="1:26" s="1308" customFormat="1" ht="13.8">
      <c r="A89" s="3342" t="s">
        <v>428</v>
      </c>
      <c r="B89" s="3343"/>
      <c r="C89" s="992"/>
      <c r="D89" s="992" t="s">
        <v>429</v>
      </c>
      <c r="E89" s="389" t="s">
        <v>438</v>
      </c>
      <c r="F89" s="390"/>
      <c r="G89" s="390"/>
      <c r="H89" s="391"/>
      <c r="I89" s="1310"/>
      <c r="J89" s="2020"/>
      <c r="K89" s="3362"/>
      <c r="L89" s="3013" t="s">
        <v>27</v>
      </c>
      <c r="M89" s="3004"/>
      <c r="N89" s="53" t="e">
        <f>ROUND(SUM(N83:N88),0)</f>
        <v>#VALUE!</v>
      </c>
      <c r="O89" s="3014" t="e">
        <f>N89/N69</f>
        <v>#VALUE!</v>
      </c>
      <c r="P89" s="2015"/>
      <c r="Q89" s="2015"/>
      <c r="R89" s="2015"/>
      <c r="S89" s="2015"/>
      <c r="T89" s="2015"/>
      <c r="U89" s="2015"/>
      <c r="V89" s="2015"/>
      <c r="W89" s="2019"/>
      <c r="X89" s="2019"/>
      <c r="Y89" s="2019"/>
      <c r="Z89" s="2019"/>
    </row>
    <row r="90" spans="1:26" s="1308" customFormat="1" ht="13.8">
      <c r="A90" s="379" t="s">
        <v>1822</v>
      </c>
      <c r="B90" s="380" t="s">
        <v>439</v>
      </c>
      <c r="C90" s="383">
        <f ca="1">ROUND(D63/(1+'数据-取费表'!C42),0)</f>
        <v>146262</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79" t="s">
        <v>1828</v>
      </c>
      <c r="B91" s="346" t="s">
        <v>440</v>
      </c>
      <c r="C91" s="383">
        <f ca="1">C92+C96</f>
        <v>3439</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1829</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1831</v>
      </c>
      <c r="B94" s="398" t="s">
        <v>446</v>
      </c>
      <c r="C94" s="376">
        <f>IF(F93="购房发票",ROUND(C93*H93*5%,0),0)</f>
        <v>500</v>
      </c>
      <c r="D94" s="399">
        <v>0.05</v>
      </c>
      <c r="E94" s="3305" t="s">
        <v>447</v>
      </c>
      <c r="F94" s="3304"/>
      <c r="G94" s="3304"/>
      <c r="H94" s="3341"/>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1833</v>
      </c>
      <c r="B96" s="374" t="s">
        <v>450</v>
      </c>
      <c r="C96" s="403">
        <f ca="1">ROUND(D63*D96/(1+'数据-取费表'!C42),0)</f>
        <v>878</v>
      </c>
      <c r="D96" s="404">
        <f>'数据-取费表'!B43</f>
        <v>6.000000000000001E-3</v>
      </c>
      <c r="E96" s="3333" t="s">
        <v>2425</v>
      </c>
      <c r="F96" s="3334"/>
      <c r="G96" s="3334"/>
      <c r="H96" s="3335"/>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1834</v>
      </c>
      <c r="B97" s="380" t="s">
        <v>451</v>
      </c>
      <c r="C97" s="383">
        <f ca="1">C90-C91</f>
        <v>142823</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1835</v>
      </c>
      <c r="B98" s="380" t="s">
        <v>452</v>
      </c>
      <c r="C98" s="405">
        <f ca="1">IF(C97&lt;=0,0,C97/C91)</f>
        <v>41.530386740331494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1836</v>
      </c>
      <c r="B99" s="385" t="s">
        <v>453</v>
      </c>
      <c r="C99" s="406">
        <f ca="1">ROUND(IF(C97&lt;=0,0,IF(C98&gt;=200%,C97*60%-C91*35%,IF(C98&gt;=100%,C97*50%-C91*15%,IF(C98&gt;=50%,C97*40%-C91*5%,IF(C98&lt;50%,C97*30%,0))))),0)</f>
        <v>84490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344" t="s">
        <v>454</v>
      </c>
      <c r="B101" s="3345"/>
      <c r="C101" s="3345"/>
      <c r="D101" s="3345"/>
      <c r="E101" s="3345"/>
      <c r="F101" s="3345"/>
      <c r="G101" s="3345"/>
      <c r="H101" s="3345"/>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42" t="s">
        <v>428</v>
      </c>
      <c r="B102" s="3343"/>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79" t="s">
        <v>1822</v>
      </c>
      <c r="B103" s="380" t="s">
        <v>439</v>
      </c>
      <c r="C103" s="383">
        <f ca="1">ROUND(D63/(1+'数据-取费表'!C42),0)</f>
        <v>146262</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79" t="s">
        <v>1828</v>
      </c>
      <c r="B104" s="346" t="s">
        <v>440</v>
      </c>
      <c r="C104" s="383">
        <f ca="1">IF(H106="仅含出让金",C105+C108+C109+C110+C111+C112,C105+C109+C110+C111+C112)</f>
        <v>1568</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3" t="s">
        <v>1829</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3" t="s">
        <v>1830</v>
      </c>
      <c r="B106" s="374" t="s">
        <v>456</v>
      </c>
      <c r="C106" s="414">
        <v>555</v>
      </c>
      <c r="D106" s="404"/>
      <c r="E106" s="415" t="s">
        <v>457</v>
      </c>
      <c r="F106" s="984"/>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3" t="s">
        <v>1831</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3" t="s">
        <v>1833</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1837</v>
      </c>
      <c r="B109" s="374" t="s">
        <v>461</v>
      </c>
      <c r="C109" s="403">
        <f>IF(H109="——",IF(F1="现房",'剩余法-现房'!C18,'剩余法-待开发'!C18),I109)</f>
        <v>55</v>
      </c>
      <c r="D109" s="404"/>
      <c r="E109" s="3336" t="s">
        <v>462</v>
      </c>
      <c r="F109" s="3334"/>
      <c r="G109" s="3334"/>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1838</v>
      </c>
      <c r="B110" s="374" t="s">
        <v>463</v>
      </c>
      <c r="C110" s="403">
        <f>ROUND((C105+C108+C109)*D110,0)</f>
        <v>63</v>
      </c>
      <c r="D110" s="404">
        <v>0.1</v>
      </c>
      <c r="E110" s="3336" t="s">
        <v>464</v>
      </c>
      <c r="F110" s="3334"/>
      <c r="G110" s="3334"/>
      <c r="H110" s="3335"/>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1839</v>
      </c>
      <c r="B111" s="374" t="s">
        <v>450</v>
      </c>
      <c r="C111" s="403">
        <f ca="1">ROUND(D63*D111/(1+'数据-取费表'!C42),0)</f>
        <v>878</v>
      </c>
      <c r="D111" s="404">
        <f>'数据-取费表'!B43</f>
        <v>6.000000000000001E-3</v>
      </c>
      <c r="E111" s="3333" t="s">
        <v>2425</v>
      </c>
      <c r="F111" s="3334"/>
      <c r="G111" s="3334"/>
      <c r="H111" s="3335"/>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1840</v>
      </c>
      <c r="B112" s="374" t="s">
        <v>465</v>
      </c>
      <c r="C112" s="403">
        <f>ROUND(C108*D112,0)</f>
        <v>0</v>
      </c>
      <c r="D112" s="404">
        <v>0.2</v>
      </c>
      <c r="E112" s="3336" t="s">
        <v>2450</v>
      </c>
      <c r="F112" s="3334"/>
      <c r="G112" s="3334"/>
      <c r="H112" s="3335"/>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1834</v>
      </c>
      <c r="B113" s="380" t="s">
        <v>451</v>
      </c>
      <c r="C113" s="383">
        <f ca="1">ROUND(C103-C104,0)</f>
        <v>144694</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1835</v>
      </c>
      <c r="B114" s="380" t="s">
        <v>452</v>
      </c>
      <c r="C114" s="405">
        <f ca="1">IF(C113&lt;=0,0,C113/C104)</f>
        <v>92.279336734693871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1836</v>
      </c>
      <c r="B115" s="385" t="s">
        <v>453</v>
      </c>
      <c r="C115" s="406">
        <f ca="1">ROUND(IF(C113&lt;=0,0,IF(C114&gt;=200%,C113*60%-C104*35%,IF(C114&gt;=100%,C113*50%-C104*15%,IF(C114&gt;=50%,C113*40%-C104*5%,IF(C114&lt;50%,C113*30%,0))))),0)</f>
        <v>86268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D74" sqref="D74"/>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235893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1683</v>
      </c>
      <c r="B3" s="508">
        <f>ROUND(B2*10000/'数据-汇总表'!E3,0)</f>
        <v>21580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67466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4498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1">
      <c r="A6" s="510" t="s">
        <v>521</v>
      </c>
      <c r="B6" s="511"/>
      <c r="C6" s="3387" t="s">
        <v>522</v>
      </c>
      <c r="D6" s="3388"/>
      <c r="E6" s="3387" t="s">
        <v>523</v>
      </c>
      <c r="F6" s="3388"/>
      <c r="G6" s="3387" t="s">
        <v>524</v>
      </c>
      <c r="H6" s="3388"/>
      <c r="I6" s="3387" t="s">
        <v>525</v>
      </c>
      <c r="J6" s="3388"/>
      <c r="K6" s="512" t="s">
        <v>526</v>
      </c>
      <c r="L6" s="2115"/>
      <c r="M6" s="2114"/>
      <c r="N6" s="2114"/>
      <c r="O6" s="2116"/>
      <c r="P6" s="3389" t="s">
        <v>527</v>
      </c>
      <c r="Q6" s="3390"/>
      <c r="R6" s="3395" t="s">
        <v>523</v>
      </c>
      <c r="S6" s="3396"/>
      <c r="T6" s="3395" t="s">
        <v>524</v>
      </c>
      <c r="U6" s="3396"/>
      <c r="V6" s="3382" t="s">
        <v>525</v>
      </c>
      <c r="W6" s="3382"/>
      <c r="X6" s="1550"/>
      <c r="Y6" s="3395" t="s">
        <v>527</v>
      </c>
      <c r="Z6" s="3396"/>
      <c r="AA6" s="3384" t="s">
        <v>523</v>
      </c>
      <c r="AB6" s="3385" t="s">
        <v>524</v>
      </c>
      <c r="AC6" s="3384" t="s">
        <v>525</v>
      </c>
    </row>
    <row r="7" spans="1:30" ht="64.5" customHeight="1">
      <c r="A7" s="513"/>
      <c r="B7" s="514"/>
      <c r="C7" s="3403" t="s">
        <v>2918</v>
      </c>
      <c r="D7" s="3404"/>
      <c r="E7" s="3408" t="s">
        <v>2999</v>
      </c>
      <c r="F7" s="3409"/>
      <c r="G7" s="3403" t="s">
        <v>3000</v>
      </c>
      <c r="H7" s="3404"/>
      <c r="I7" s="3403" t="s">
        <v>3001</v>
      </c>
      <c r="J7" s="3404"/>
      <c r="K7" s="512"/>
      <c r="L7" s="2115"/>
      <c r="M7" s="2114"/>
      <c r="N7" s="2114"/>
      <c r="O7" s="2116"/>
      <c r="P7" s="3391"/>
      <c r="Q7" s="3392"/>
      <c r="R7" s="3397"/>
      <c r="S7" s="3398"/>
      <c r="T7" s="3397"/>
      <c r="U7" s="3398"/>
      <c r="V7" s="3382"/>
      <c r="W7" s="3382"/>
      <c r="X7" s="1550"/>
      <c r="Y7" s="3397"/>
      <c r="Z7" s="3398"/>
      <c r="AA7" s="3385"/>
      <c r="AB7" s="3385"/>
      <c r="AC7" s="3385"/>
    </row>
    <row r="8" spans="1:30" ht="21.6" thickBot="1">
      <c r="A8" s="513"/>
      <c r="B8" s="514"/>
      <c r="C8" s="3405" t="s">
        <v>2922</v>
      </c>
      <c r="D8" s="3406"/>
      <c r="E8" s="3401" t="s">
        <v>3002</v>
      </c>
      <c r="F8" s="3402"/>
      <c r="G8" s="3407" t="s">
        <v>3003</v>
      </c>
      <c r="H8" s="3402"/>
      <c r="I8" s="3401" t="s">
        <v>3004</v>
      </c>
      <c r="J8" s="3402"/>
      <c r="K8" s="512" t="s">
        <v>528</v>
      </c>
      <c r="L8" s="2115"/>
      <c r="M8" s="2114"/>
      <c r="N8" s="2114"/>
      <c r="O8" s="2116"/>
      <c r="P8" s="3393"/>
      <c r="Q8" s="3394"/>
      <c r="R8" s="3397"/>
      <c r="S8" s="3398"/>
      <c r="T8" s="3399"/>
      <c r="U8" s="3400"/>
      <c r="V8" s="3382"/>
      <c r="W8" s="3382"/>
      <c r="X8" s="1550"/>
      <c r="Y8" s="3399"/>
      <c r="Z8" s="3400"/>
      <c r="AA8" s="3386"/>
      <c r="AB8" s="3386"/>
      <c r="AC8" s="3386"/>
    </row>
    <row r="9" spans="1:30" s="1214" customFormat="1" ht="21.6" thickBot="1">
      <c r="A9" s="2864"/>
      <c r="B9" s="2871" t="s">
        <v>529</v>
      </c>
      <c r="C9" s="2863">
        <f>'数据-取费表'!B2</f>
        <v>43832</v>
      </c>
      <c r="D9" s="518">
        <v>100</v>
      </c>
      <c r="E9" s="519">
        <v>43498</v>
      </c>
      <c r="F9" s="520">
        <f>SUMIF(72:72,YEAR(E9)&amp;"-"&amp;INT((MONTH(E9)+2)/3),73:73)</f>
        <v>98.5</v>
      </c>
      <c r="G9" s="521">
        <v>43430</v>
      </c>
      <c r="H9" s="518">
        <f>SUMIF(72:72,YEAR(G9)&amp;"-"&amp;INT((MONTH(G9)+2)/3),73:73)</f>
        <v>98</v>
      </c>
      <c r="I9" s="521">
        <v>43392</v>
      </c>
      <c r="J9" s="518">
        <f>SUMIF(72:72,YEAR(I9)&amp;"-"&amp;INT((MONTH(I9)+2)/3),73:73)</f>
        <v>98</v>
      </c>
      <c r="K9" s="522"/>
      <c r="L9" s="2117"/>
      <c r="M9" s="2114"/>
      <c r="N9" s="2114"/>
      <c r="O9" s="2118"/>
      <c r="P9" s="3415" t="s">
        <v>530</v>
      </c>
      <c r="Q9" s="3417"/>
      <c r="R9" s="1551" t="s">
        <v>8</v>
      </c>
      <c r="S9" s="1552">
        <f t="shared" ref="S9:S17" si="0">F9</f>
        <v>98.5</v>
      </c>
      <c r="T9" s="1551" t="s">
        <v>8</v>
      </c>
      <c r="U9" s="1552">
        <f t="shared" ref="U9:U17" si="1">H9</f>
        <v>98</v>
      </c>
      <c r="V9" s="1551" t="s">
        <v>8</v>
      </c>
      <c r="W9" s="1552">
        <f t="shared" ref="W9:W17" si="2">J9</f>
        <v>98</v>
      </c>
      <c r="X9" s="1553"/>
      <c r="Y9" s="3415" t="s">
        <v>530</v>
      </c>
      <c r="Z9" s="3416"/>
      <c r="AA9" s="1554">
        <f>D9/F9</f>
        <v>1.015228426395939</v>
      </c>
      <c r="AB9" s="1554">
        <f>D9/H9</f>
        <v>1.0204081632653061</v>
      </c>
      <c r="AC9" s="1554">
        <f>D9/J9</f>
        <v>1.0204081632653061</v>
      </c>
    </row>
    <row r="10" spans="1:30" s="1214" customFormat="1" ht="21.6" thickBot="1">
      <c r="A10" s="2865"/>
      <c r="B10" s="2872" t="s">
        <v>531</v>
      </c>
      <c r="C10" s="854" t="s">
        <v>532</v>
      </c>
      <c r="D10" s="518">
        <v>100</v>
      </c>
      <c r="E10" s="523" t="s">
        <v>3005</v>
      </c>
      <c r="F10" s="520">
        <f>SUMIF(75:75,E10,76:76)-SUMIF(75:75,C10,76:76)+100</f>
        <v>100</v>
      </c>
      <c r="G10" s="523" t="s">
        <v>3005</v>
      </c>
      <c r="H10" s="518">
        <f>SUMIF(75:75,G10,76:76)-SUMIF(75:75,C10,76:76)+100</f>
        <v>100</v>
      </c>
      <c r="I10" s="523" t="s">
        <v>3005</v>
      </c>
      <c r="J10" s="518">
        <f>SUMIF(75:75,I10,76:76)-SUMIF(75:75,C10,76:76)+100</f>
        <v>100</v>
      </c>
      <c r="K10" s="522"/>
      <c r="L10" s="2117"/>
      <c r="M10" s="2114"/>
      <c r="N10" s="2114"/>
      <c r="O10" s="2118"/>
      <c r="P10" s="3415" t="s">
        <v>533</v>
      </c>
      <c r="Q10" s="3416"/>
      <c r="R10" s="1551" t="s">
        <v>8</v>
      </c>
      <c r="S10" s="1552">
        <f t="shared" si="0"/>
        <v>100</v>
      </c>
      <c r="T10" s="1551" t="s">
        <v>8</v>
      </c>
      <c r="U10" s="1552">
        <f t="shared" si="1"/>
        <v>100</v>
      </c>
      <c r="V10" s="1551" t="s">
        <v>8</v>
      </c>
      <c r="W10" s="1552">
        <f t="shared" si="2"/>
        <v>100</v>
      </c>
      <c r="X10" s="1553"/>
      <c r="Y10" s="3415" t="s">
        <v>533</v>
      </c>
      <c r="Z10" s="3416"/>
      <c r="AA10" s="1554">
        <f t="shared" ref="AA10:AA47" si="3">D10/F10</f>
        <v>1</v>
      </c>
      <c r="AB10" s="1554">
        <f t="shared" ref="AB10:AB47" si="4">D10/H10</f>
        <v>1</v>
      </c>
      <c r="AC10" s="1554">
        <f t="shared" ref="AC10:AC47" si="5">D10/J10</f>
        <v>1</v>
      </c>
    </row>
    <row r="11" spans="1:30" s="1214" customFormat="1" ht="21">
      <c r="A11" s="2866"/>
      <c r="B11" s="2873" t="s">
        <v>2753</v>
      </c>
      <c r="C11" s="2860" t="s">
        <v>922</v>
      </c>
      <c r="D11" s="252">
        <v>100</v>
      </c>
      <c r="E11" s="3184" t="s">
        <v>3017</v>
      </c>
      <c r="F11" s="252">
        <f>SUMIF(77:77,E11,78:78)-SUMIF(77:77,C11,78:78)+100</f>
        <v>90</v>
      </c>
      <c r="G11" s="524" t="s">
        <v>922</v>
      </c>
      <c r="H11" s="252">
        <f>SUMIF(77:77,G11,78:78)-SUMIF(77:77,C11,78:78)+100</f>
        <v>100</v>
      </c>
      <c r="I11" s="524" t="s">
        <v>922</v>
      </c>
      <c r="J11" s="252">
        <f>SUMIF(77:77,I11,78:78)-SUMIF(77:77,C11,78:78)+100</f>
        <v>100</v>
      </c>
      <c r="K11" s="522"/>
      <c r="L11" s="2117"/>
      <c r="M11" s="2114"/>
      <c r="N11" s="2114"/>
      <c r="O11" s="2119"/>
      <c r="P11" s="3381" t="s">
        <v>535</v>
      </c>
      <c r="Q11" s="1145" t="str">
        <f t="shared" ref="Q11:Q17" si="6">B11</f>
        <v>用途</v>
      </c>
      <c r="R11" s="1551" t="s">
        <v>8</v>
      </c>
      <c r="S11" s="1552">
        <f t="shared" si="0"/>
        <v>90</v>
      </c>
      <c r="T11" s="1551" t="s">
        <v>8</v>
      </c>
      <c r="U11" s="1552">
        <f t="shared" si="1"/>
        <v>100</v>
      </c>
      <c r="V11" s="1551" t="s">
        <v>8</v>
      </c>
      <c r="W11" s="1552">
        <f t="shared" si="2"/>
        <v>100</v>
      </c>
      <c r="X11" s="1553"/>
      <c r="Y11" s="3327" t="s">
        <v>536</v>
      </c>
      <c r="Z11" s="1144" t="str">
        <f t="shared" ref="Z11:Z17" si="7">Q11</f>
        <v>用途</v>
      </c>
      <c r="AA11" s="1554">
        <f t="shared" si="3"/>
        <v>1.1111111111111112</v>
      </c>
      <c r="AB11" s="1554">
        <f t="shared" si="4"/>
        <v>1</v>
      </c>
      <c r="AC11" s="1554">
        <f t="shared" si="5"/>
        <v>1</v>
      </c>
    </row>
    <row r="12" spans="1:30" s="1332" customFormat="1" ht="28.8">
      <c r="A12" s="2867"/>
      <c r="B12" s="2872" t="s">
        <v>2754</v>
      </c>
      <c r="C12" s="908"/>
      <c r="D12" s="253">
        <v>100</v>
      </c>
      <c r="E12" s="527"/>
      <c r="F12" s="253">
        <f>ROUND(100/'数据-取费表'!G16,0)</f>
        <v>108</v>
      </c>
      <c r="G12" s="528"/>
      <c r="H12" s="253">
        <f>ROUND(100/'数据-取费表'!G16,0)</f>
        <v>108</v>
      </c>
      <c r="I12" s="528"/>
      <c r="J12" s="253">
        <f>ROUND(100/'数据-取费表'!G16,0)</f>
        <v>108</v>
      </c>
      <c r="K12" s="529"/>
      <c r="L12" s="2120"/>
      <c r="M12" s="2114"/>
      <c r="N12" s="2114"/>
      <c r="O12" s="2121"/>
      <c r="P12" s="3381"/>
      <c r="Q12" s="1145" t="str">
        <f t="shared" si="6"/>
        <v>土地使用年限（年）</v>
      </c>
      <c r="R12" s="1551" t="s">
        <v>8</v>
      </c>
      <c r="S12" s="1552">
        <f t="shared" si="0"/>
        <v>108</v>
      </c>
      <c r="T12" s="1551" t="s">
        <v>8</v>
      </c>
      <c r="U12" s="1552">
        <f t="shared" si="1"/>
        <v>108</v>
      </c>
      <c r="V12" s="1551" t="s">
        <v>8</v>
      </c>
      <c r="W12" s="1552">
        <f t="shared" si="2"/>
        <v>108</v>
      </c>
      <c r="X12" s="1553"/>
      <c r="Y12" s="3327"/>
      <c r="Z12" s="1144" t="str">
        <f t="shared" si="7"/>
        <v>土地使用年限（年）</v>
      </c>
      <c r="AA12" s="1554">
        <f t="shared" si="3"/>
        <v>0.92592592592592593</v>
      </c>
      <c r="AB12" s="1554">
        <f t="shared" si="4"/>
        <v>0.92592592592592593</v>
      </c>
      <c r="AC12" s="1554">
        <f t="shared" si="5"/>
        <v>0.92592592592592593</v>
      </c>
    </row>
    <row r="13" spans="1:30" ht="21">
      <c r="A13" s="2868"/>
      <c r="B13" s="2872" t="s">
        <v>2755</v>
      </c>
      <c r="C13" s="532">
        <v>2</v>
      </c>
      <c r="D13" s="253">
        <v>100</v>
      </c>
      <c r="E13" s="531">
        <v>1.6</v>
      </c>
      <c r="F13" s="253">
        <f>LOOKUP(E13,82:82,83:83)-LOOKUP(C13,82:82,83:83)+100</f>
        <v>105</v>
      </c>
      <c r="G13" s="532">
        <v>2</v>
      </c>
      <c r="H13" s="253">
        <f>LOOKUP(G13,82:82,83:83)-LOOKUP(C13,82:82,83:83)+100</f>
        <v>100</v>
      </c>
      <c r="I13" s="531">
        <v>2.5</v>
      </c>
      <c r="J13" s="253">
        <f>LOOKUP(I13,82:82,83:83)-LOOKUP(C13,82:82,83:83)+100</f>
        <v>95</v>
      </c>
      <c r="K13" s="533">
        <v>5</v>
      </c>
      <c r="L13" s="2122"/>
      <c r="M13" s="2114"/>
      <c r="N13" s="2114"/>
      <c r="O13" s="2123"/>
      <c r="P13" s="3381"/>
      <c r="Q13" s="1145" t="str">
        <f t="shared" si="6"/>
        <v>容积率</v>
      </c>
      <c r="R13" s="1551" t="s">
        <v>8</v>
      </c>
      <c r="S13" s="1552">
        <f t="shared" si="0"/>
        <v>105</v>
      </c>
      <c r="T13" s="1551" t="s">
        <v>8</v>
      </c>
      <c r="U13" s="1552">
        <f t="shared" si="1"/>
        <v>100</v>
      </c>
      <c r="V13" s="1551" t="s">
        <v>8</v>
      </c>
      <c r="W13" s="1552">
        <f t="shared" si="2"/>
        <v>95</v>
      </c>
      <c r="X13" s="1553"/>
      <c r="Y13" s="3327"/>
      <c r="Z13" s="1144" t="str">
        <f t="shared" si="7"/>
        <v>容积率</v>
      </c>
      <c r="AA13" s="1554">
        <f t="shared" si="3"/>
        <v>0.95238095238095233</v>
      </c>
      <c r="AB13" s="1554">
        <f t="shared" si="4"/>
        <v>1</v>
      </c>
      <c r="AC13" s="1554">
        <f t="shared" si="5"/>
        <v>1.0526315789473684</v>
      </c>
    </row>
    <row r="14" spans="1:30" s="1214" customFormat="1" ht="21">
      <c r="A14" s="2865"/>
      <c r="B14" s="2874" t="s">
        <v>2756</v>
      </c>
      <c r="C14" s="2861" t="s">
        <v>3019</v>
      </c>
      <c r="D14" s="536">
        <v>100</v>
      </c>
      <c r="E14" s="1367" t="s">
        <v>3006</v>
      </c>
      <c r="F14" s="253">
        <f>SUMIF(84:84,E14,85:85)-SUMIF(84:84,C14,85:85)+100</f>
        <v>95</v>
      </c>
      <c r="G14" s="528" t="s">
        <v>2993</v>
      </c>
      <c r="H14" s="253">
        <f>SUMIF(84:84,G14,85:85)-SUMIF(84:84,C14,85:85)+100</f>
        <v>100</v>
      </c>
      <c r="I14" s="527" t="s">
        <v>2993</v>
      </c>
      <c r="J14" s="253">
        <f>SUMIF(84:84,I14,85:85)-SUMIF(84:84,C14,85:85)+100</f>
        <v>100</v>
      </c>
      <c r="K14" s="529"/>
      <c r="L14" s="2117"/>
      <c r="M14" s="2114"/>
      <c r="N14" s="2114"/>
      <c r="O14" s="2119"/>
      <c r="P14" s="3381"/>
      <c r="Q14" s="1145" t="str">
        <f t="shared" si="6"/>
        <v>配建</v>
      </c>
      <c r="R14" s="1551" t="s">
        <v>8</v>
      </c>
      <c r="S14" s="1552">
        <f t="shared" si="0"/>
        <v>95</v>
      </c>
      <c r="T14" s="1551" t="s">
        <v>8</v>
      </c>
      <c r="U14" s="1552">
        <f t="shared" si="1"/>
        <v>100</v>
      </c>
      <c r="V14" s="1551" t="s">
        <v>8</v>
      </c>
      <c r="W14" s="1552">
        <f t="shared" si="2"/>
        <v>100</v>
      </c>
      <c r="X14" s="1553"/>
      <c r="Y14" s="3327"/>
      <c r="Z14" s="1144" t="str">
        <f t="shared" si="7"/>
        <v>配建</v>
      </c>
      <c r="AA14" s="1554">
        <f>D14/F14</f>
        <v>1.0526315789473684</v>
      </c>
      <c r="AB14" s="1554">
        <f>D14/H14</f>
        <v>1</v>
      </c>
      <c r="AC14" s="1554">
        <f>D14/J14</f>
        <v>1</v>
      </c>
    </row>
    <row r="15" spans="1:30" ht="21.6" thickBot="1">
      <c r="A15" s="2869"/>
      <c r="B15" s="3187" t="s">
        <v>3105</v>
      </c>
      <c r="C15" s="3186" t="s">
        <v>2993</v>
      </c>
      <c r="D15" s="538">
        <v>100</v>
      </c>
      <c r="E15" s="539" t="s">
        <v>3007</v>
      </c>
      <c r="F15" s="253">
        <f>SUMIF(86:86,E15,87:87)-SUMIF(86:86,C15,87:87)+100</f>
        <v>95</v>
      </c>
      <c r="G15" s="540" t="s">
        <v>3013</v>
      </c>
      <c r="H15" s="538">
        <f>SUMIF(86:86,G15,87:87)-SUMIF(86:86,C15,87:87)+100</f>
        <v>95</v>
      </c>
      <c r="I15" s="540" t="s">
        <v>3015</v>
      </c>
      <c r="J15" s="538">
        <f>SUMIF(86:86,I15,87:87)-SUMIF(86:86,C15,87:87)+100</f>
        <v>95</v>
      </c>
      <c r="K15" s="529"/>
      <c r="L15" s="2124"/>
      <c r="M15" s="2114"/>
      <c r="N15" s="2114"/>
      <c r="O15" s="2123"/>
      <c r="P15" s="3381"/>
      <c r="Q15" s="1145" t="str">
        <f t="shared" si="6"/>
        <v>限价</v>
      </c>
      <c r="R15" s="1551" t="s">
        <v>8</v>
      </c>
      <c r="S15" s="1552">
        <f t="shared" si="0"/>
        <v>95</v>
      </c>
      <c r="T15" s="1551" t="s">
        <v>8</v>
      </c>
      <c r="U15" s="1552">
        <f t="shared" si="1"/>
        <v>95</v>
      </c>
      <c r="V15" s="1551" t="s">
        <v>8</v>
      </c>
      <c r="W15" s="1552">
        <f t="shared" si="2"/>
        <v>95</v>
      </c>
      <c r="X15" s="1553"/>
      <c r="Y15" s="3327"/>
      <c r="Z15" s="1144" t="str">
        <f t="shared" si="7"/>
        <v>限价</v>
      </c>
      <c r="AA15" s="1554">
        <f>D15/F15</f>
        <v>1.0526315789473684</v>
      </c>
      <c r="AB15" s="1554">
        <f>D15/H15</f>
        <v>1.0526315789473684</v>
      </c>
      <c r="AC15" s="1554">
        <f>D15/J15</f>
        <v>1.0526315789473684</v>
      </c>
    </row>
    <row r="16" spans="1:30" ht="21.6" hidden="1" thickBot="1">
      <c r="A16" s="2870"/>
      <c r="B16" s="2876"/>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81"/>
      <c r="Q16" s="1145">
        <f t="shared" si="6"/>
        <v>0</v>
      </c>
      <c r="R16" s="1551" t="s">
        <v>8</v>
      </c>
      <c r="S16" s="1552">
        <f t="shared" si="0"/>
        <v>100</v>
      </c>
      <c r="T16" s="1551" t="s">
        <v>8</v>
      </c>
      <c r="U16" s="1552">
        <f t="shared" si="1"/>
        <v>100</v>
      </c>
      <c r="V16" s="1551" t="s">
        <v>8</v>
      </c>
      <c r="W16" s="1552">
        <f t="shared" si="2"/>
        <v>100</v>
      </c>
      <c r="X16" s="1553"/>
      <c r="Y16" s="3327"/>
      <c r="Z16" s="1144">
        <f t="shared" si="7"/>
        <v>0</v>
      </c>
      <c r="AA16" s="1554">
        <f>D16/F16</f>
        <v>1</v>
      </c>
      <c r="AB16" s="1554">
        <f>D16/H16</f>
        <v>1</v>
      </c>
      <c r="AC16" s="1554">
        <f>D16/J16</f>
        <v>1</v>
      </c>
    </row>
    <row r="17" spans="1:29" ht="21">
      <c r="A17" s="2862" t="s">
        <v>2751</v>
      </c>
      <c r="B17" s="576" t="s">
        <v>295</v>
      </c>
      <c r="C17" s="546">
        <f>估价对象房地状况!C15</f>
        <v>0</v>
      </c>
      <c r="D17" s="549">
        <v>100</v>
      </c>
      <c r="E17" s="550"/>
      <c r="F17" s="547">
        <f>SUMIF(90:90,E18,91:91)-SUMIF(90:90,C18,91:91)+100</f>
        <v>100</v>
      </c>
      <c r="G17" s="548"/>
      <c r="H17" s="547">
        <f>SUMIF(90:90,G18,91:91)-SUMIF(90:90,C18,91:91)+100</f>
        <v>96</v>
      </c>
      <c r="I17" s="550"/>
      <c r="J17" s="547">
        <f>SUMIF(90:90,I18,91:91)-SUMIF(90:90,C18,91:91)+100</f>
        <v>96</v>
      </c>
      <c r="K17" s="533">
        <v>4</v>
      </c>
      <c r="L17" s="2124"/>
      <c r="M17" s="2114"/>
      <c r="N17" s="2114"/>
      <c r="O17" s="2123"/>
      <c r="P17" s="3418" t="s">
        <v>540</v>
      </c>
      <c r="Q17" s="1555" t="str">
        <f t="shared" si="6"/>
        <v>居住社区成熟度</v>
      </c>
      <c r="R17" s="1556" t="s">
        <v>8</v>
      </c>
      <c r="S17" s="1557">
        <f t="shared" si="0"/>
        <v>100</v>
      </c>
      <c r="T17" s="1556" t="s">
        <v>8</v>
      </c>
      <c r="U17" s="1557">
        <f t="shared" si="1"/>
        <v>96</v>
      </c>
      <c r="V17" s="1556" t="s">
        <v>8</v>
      </c>
      <c r="W17" s="1557">
        <f t="shared" si="2"/>
        <v>96</v>
      </c>
      <c r="X17" s="1550"/>
      <c r="Y17" s="3418" t="s">
        <v>540</v>
      </c>
      <c r="Z17" s="1558" t="str">
        <f t="shared" si="7"/>
        <v>居住社区成熟度</v>
      </c>
      <c r="AA17" s="1559">
        <f t="shared" si="3"/>
        <v>1</v>
      </c>
      <c r="AB17" s="1559">
        <f t="shared" si="4"/>
        <v>1.0416666666666667</v>
      </c>
      <c r="AC17" s="1559">
        <f t="shared" si="5"/>
        <v>1.0416666666666667</v>
      </c>
    </row>
    <row r="18" spans="1:29" ht="21">
      <c r="A18" s="530"/>
      <c r="B18" s="551"/>
      <c r="C18" s="552" t="s">
        <v>3009</v>
      </c>
      <c r="D18" s="555"/>
      <c r="E18" s="556" t="s">
        <v>3009</v>
      </c>
      <c r="F18" s="553"/>
      <c r="G18" s="554" t="s">
        <v>3008</v>
      </c>
      <c r="H18" s="557"/>
      <c r="I18" s="556" t="s">
        <v>3008</v>
      </c>
      <c r="J18" s="553"/>
      <c r="K18" s="529"/>
      <c r="L18" s="2124"/>
      <c r="M18" s="2114"/>
      <c r="N18" s="2114"/>
      <c r="O18" s="2123"/>
      <c r="P18" s="3419"/>
      <c r="Q18" s="1555"/>
      <c r="R18" s="1556"/>
      <c r="S18" s="1557"/>
      <c r="T18" s="1556"/>
      <c r="U18" s="1557"/>
      <c r="V18" s="1556"/>
      <c r="W18" s="1557"/>
      <c r="X18" s="1550"/>
      <c r="Y18" s="3419"/>
      <c r="Z18" s="1558"/>
      <c r="AA18" s="1559">
        <v>1</v>
      </c>
      <c r="AB18" s="1559">
        <v>1</v>
      </c>
      <c r="AC18" s="1559">
        <v>1</v>
      </c>
    </row>
    <row r="19" spans="1:29" ht="21">
      <c r="A19" s="530"/>
      <c r="B19" s="558" t="s">
        <v>541</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2</v>
      </c>
      <c r="L19" s="2124"/>
      <c r="M19" s="2114"/>
      <c r="N19" s="2114"/>
      <c r="O19" s="2123"/>
      <c r="P19" s="3419"/>
      <c r="Q19" s="1555" t="str">
        <f>B19</f>
        <v>商业繁华度</v>
      </c>
      <c r="R19" s="1556" t="s">
        <v>8</v>
      </c>
      <c r="S19" s="1557">
        <f>F19</f>
        <v>100</v>
      </c>
      <c r="T19" s="1556" t="s">
        <v>8</v>
      </c>
      <c r="U19" s="1557">
        <f>H19</f>
        <v>100</v>
      </c>
      <c r="V19" s="1556" t="s">
        <v>8</v>
      </c>
      <c r="W19" s="1557">
        <f>J19</f>
        <v>100</v>
      </c>
      <c r="X19" s="1550"/>
      <c r="Y19" s="3419"/>
      <c r="Z19" s="1558" t="str">
        <f>Q19</f>
        <v>商业繁华度</v>
      </c>
      <c r="AA19" s="1559">
        <f t="shared" si="3"/>
        <v>1</v>
      </c>
      <c r="AB19" s="1559">
        <f t="shared" si="4"/>
        <v>1</v>
      </c>
      <c r="AC19" s="1559">
        <f t="shared" si="5"/>
        <v>1</v>
      </c>
    </row>
    <row r="20" spans="1:29" ht="21">
      <c r="A20" s="530"/>
      <c r="B20" s="564"/>
      <c r="C20" s="565" t="s">
        <v>3008</v>
      </c>
      <c r="D20" s="561"/>
      <c r="E20" s="567" t="s">
        <v>3008</v>
      </c>
      <c r="F20" s="557"/>
      <c r="G20" s="566" t="s">
        <v>3008</v>
      </c>
      <c r="H20" s="553"/>
      <c r="I20" s="567" t="s">
        <v>3008</v>
      </c>
      <c r="J20" s="553"/>
      <c r="K20" s="529"/>
      <c r="L20" s="2124"/>
      <c r="M20" s="2114"/>
      <c r="N20" s="2114"/>
      <c r="O20" s="2123"/>
      <c r="P20" s="3419"/>
      <c r="Q20" s="1555"/>
      <c r="R20" s="1556"/>
      <c r="S20" s="1557"/>
      <c r="T20" s="1556"/>
      <c r="U20" s="1557"/>
      <c r="V20" s="1556"/>
      <c r="W20" s="1557"/>
      <c r="X20" s="1550"/>
      <c r="Y20" s="3419"/>
      <c r="Z20" s="1558"/>
      <c r="AA20" s="1559">
        <v>1</v>
      </c>
      <c r="AB20" s="1559">
        <v>1</v>
      </c>
      <c r="AC20" s="1559">
        <v>1</v>
      </c>
    </row>
    <row r="21" spans="1:29" ht="21" hidden="1">
      <c r="A21" s="530"/>
      <c r="B21" s="558" t="s">
        <v>542</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c r="L21" s="2124"/>
      <c r="M21" s="2114"/>
      <c r="N21" s="2114"/>
      <c r="O21" s="2123"/>
      <c r="P21" s="3419"/>
      <c r="Q21" s="1555" t="str">
        <f>B21</f>
        <v>办公集聚程度</v>
      </c>
      <c r="R21" s="1556" t="s">
        <v>8</v>
      </c>
      <c r="S21" s="1557">
        <f>F21</f>
        <v>100</v>
      </c>
      <c r="T21" s="1556" t="s">
        <v>8</v>
      </c>
      <c r="U21" s="1557">
        <f>H21</f>
        <v>100</v>
      </c>
      <c r="V21" s="1556" t="s">
        <v>8</v>
      </c>
      <c r="W21" s="1557">
        <f>J21</f>
        <v>100</v>
      </c>
      <c r="X21" s="1550"/>
      <c r="Y21" s="3419"/>
      <c r="Z21" s="1558" t="str">
        <f>Q21</f>
        <v>办公集聚程度</v>
      </c>
      <c r="AA21" s="1559">
        <f t="shared" si="3"/>
        <v>1</v>
      </c>
      <c r="AB21" s="1559">
        <f t="shared" si="4"/>
        <v>1</v>
      </c>
      <c r="AC21" s="1559">
        <f t="shared" si="5"/>
        <v>1</v>
      </c>
    </row>
    <row r="22" spans="1:29" ht="21" hidden="1">
      <c r="A22" s="530"/>
      <c r="B22" s="564"/>
      <c r="C22" s="552" t="s">
        <v>3008</v>
      </c>
      <c r="D22" s="555"/>
      <c r="E22" s="556" t="s">
        <v>3008</v>
      </c>
      <c r="F22" s="553"/>
      <c r="G22" s="554" t="s">
        <v>3008</v>
      </c>
      <c r="H22" s="553"/>
      <c r="I22" s="556" t="s">
        <v>3008</v>
      </c>
      <c r="J22" s="553"/>
      <c r="K22" s="529"/>
      <c r="L22" s="2124"/>
      <c r="M22" s="2114"/>
      <c r="N22" s="2114"/>
      <c r="O22" s="2123"/>
      <c r="P22" s="3419"/>
      <c r="Q22" s="1555"/>
      <c r="R22" s="1556"/>
      <c r="S22" s="1557"/>
      <c r="T22" s="1556"/>
      <c r="U22" s="1557"/>
      <c r="V22" s="1556"/>
      <c r="W22" s="1557"/>
      <c r="X22" s="1550"/>
      <c r="Y22" s="3419"/>
      <c r="Z22" s="1558"/>
      <c r="AA22" s="1559">
        <v>1</v>
      </c>
      <c r="AB22" s="1559">
        <v>1</v>
      </c>
      <c r="AC22" s="1559">
        <v>1</v>
      </c>
    </row>
    <row r="23" spans="1:29" ht="21">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19"/>
      <c r="Q23" s="1555" t="str">
        <f>B23</f>
        <v>交通便捷度</v>
      </c>
      <c r="R23" s="1556" t="s">
        <v>8</v>
      </c>
      <c r="S23" s="1557">
        <f>F23</f>
        <v>100</v>
      </c>
      <c r="T23" s="1556" t="s">
        <v>8</v>
      </c>
      <c r="U23" s="1557">
        <f>H23</f>
        <v>100</v>
      </c>
      <c r="V23" s="1556" t="s">
        <v>8</v>
      </c>
      <c r="W23" s="1557">
        <f>J23</f>
        <v>100</v>
      </c>
      <c r="X23" s="1550"/>
      <c r="Y23" s="3419"/>
      <c r="Z23" s="1558" t="str">
        <f>Q23</f>
        <v>交通便捷度</v>
      </c>
      <c r="AA23" s="1559">
        <f t="shared" si="3"/>
        <v>1</v>
      </c>
      <c r="AB23" s="1559">
        <f t="shared" si="4"/>
        <v>1</v>
      </c>
      <c r="AC23" s="1559">
        <f t="shared" si="5"/>
        <v>1</v>
      </c>
    </row>
    <row r="24" spans="1:29" ht="21">
      <c r="A24" s="530"/>
      <c r="B24" s="576"/>
      <c r="C24" s="552" t="s">
        <v>3008</v>
      </c>
      <c r="D24" s="555"/>
      <c r="E24" s="556" t="s">
        <v>3008</v>
      </c>
      <c r="F24" s="553"/>
      <c r="G24" s="554" t="s">
        <v>3008</v>
      </c>
      <c r="H24" s="553"/>
      <c r="I24" s="556" t="s">
        <v>3008</v>
      </c>
      <c r="J24" s="553"/>
      <c r="K24" s="529"/>
      <c r="L24" s="2124"/>
      <c r="M24" s="2114"/>
      <c r="N24" s="2114"/>
      <c r="O24" s="2123"/>
      <c r="P24" s="3419"/>
      <c r="Q24" s="1555"/>
      <c r="R24" s="1556"/>
      <c r="S24" s="1557"/>
      <c r="T24" s="1556"/>
      <c r="U24" s="1557"/>
      <c r="V24" s="1556"/>
      <c r="W24" s="1557"/>
      <c r="X24" s="1550"/>
      <c r="Y24" s="3419"/>
      <c r="Z24" s="1558"/>
      <c r="AA24" s="1559">
        <v>1</v>
      </c>
      <c r="AB24" s="1559">
        <v>1</v>
      </c>
      <c r="AC24" s="1559">
        <v>1</v>
      </c>
    </row>
    <row r="25" spans="1:29" ht="28.8">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1</v>
      </c>
      <c r="L25" s="2124"/>
      <c r="M25" s="2114"/>
      <c r="N25" s="2114"/>
      <c r="O25" s="2123"/>
      <c r="P25" s="3419"/>
      <c r="Q25" s="1555" t="str">
        <f t="shared" ref="Q25:Q39" si="8">B25</f>
        <v>区域土地利用方向</v>
      </c>
      <c r="R25" s="1556" t="s">
        <v>8</v>
      </c>
      <c r="S25" s="1557">
        <f>F25</f>
        <v>100</v>
      </c>
      <c r="T25" s="1556" t="s">
        <v>8</v>
      </c>
      <c r="U25" s="1557">
        <f>H25</f>
        <v>100</v>
      </c>
      <c r="V25" s="1556" t="s">
        <v>8</v>
      </c>
      <c r="W25" s="1557">
        <f>J25</f>
        <v>100</v>
      </c>
      <c r="X25" s="1550"/>
      <c r="Y25" s="3419"/>
      <c r="Z25" s="1558" t="str">
        <f>Q25</f>
        <v>区域土地利用方向</v>
      </c>
      <c r="AA25" s="1559">
        <f t="shared" si="3"/>
        <v>1</v>
      </c>
      <c r="AB25" s="1559">
        <f t="shared" si="4"/>
        <v>1</v>
      </c>
      <c r="AC25" s="1559">
        <f t="shared" si="5"/>
        <v>1</v>
      </c>
    </row>
    <row r="26" spans="1:29" ht="21">
      <c r="A26" s="513"/>
      <c r="B26" s="1005"/>
      <c r="C26" s="552" t="s">
        <v>3009</v>
      </c>
      <c r="D26" s="555"/>
      <c r="E26" s="556" t="s">
        <v>3009</v>
      </c>
      <c r="F26" s="553"/>
      <c r="G26" s="554" t="s">
        <v>3009</v>
      </c>
      <c r="H26" s="553"/>
      <c r="I26" s="556" t="s">
        <v>3009</v>
      </c>
      <c r="J26" s="553"/>
      <c r="K26" s="529"/>
      <c r="L26" s="2124"/>
      <c r="M26" s="2114"/>
      <c r="N26" s="2114"/>
      <c r="O26" s="2123"/>
      <c r="P26" s="3419"/>
      <c r="Q26" s="1555"/>
      <c r="R26" s="1556"/>
      <c r="S26" s="1557"/>
      <c r="T26" s="1556"/>
      <c r="U26" s="1557"/>
      <c r="V26" s="1556"/>
      <c r="W26" s="1557"/>
      <c r="X26" s="1550"/>
      <c r="Y26" s="3419"/>
      <c r="Z26" s="1558"/>
      <c r="AA26" s="1559"/>
      <c r="AB26" s="1559"/>
      <c r="AC26" s="1559"/>
    </row>
    <row r="27" spans="1:29" ht="28.8">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419"/>
      <c r="Q27" s="1555" t="str">
        <f t="shared" si="8"/>
        <v>自然及人文环境状况</v>
      </c>
      <c r="R27" s="1556" t="s">
        <v>8</v>
      </c>
      <c r="S27" s="1557">
        <f>F27</f>
        <v>100</v>
      </c>
      <c r="T27" s="1556" t="s">
        <v>8</v>
      </c>
      <c r="U27" s="1557">
        <f>H27</f>
        <v>100</v>
      </c>
      <c r="V27" s="1556" t="s">
        <v>8</v>
      </c>
      <c r="W27" s="1557">
        <f>J27</f>
        <v>100</v>
      </c>
      <c r="X27" s="1550"/>
      <c r="Y27" s="3419"/>
      <c r="Z27" s="1558" t="str">
        <f>Q27</f>
        <v>自然及人文环境状况</v>
      </c>
      <c r="AA27" s="1559">
        <f t="shared" si="3"/>
        <v>1</v>
      </c>
      <c r="AB27" s="1559">
        <f t="shared" si="4"/>
        <v>1</v>
      </c>
      <c r="AC27" s="1559">
        <f t="shared" si="5"/>
        <v>1</v>
      </c>
    </row>
    <row r="28" spans="1:29" ht="21">
      <c r="A28" s="513"/>
      <c r="B28" s="564"/>
      <c r="C28" s="552" t="s">
        <v>3008</v>
      </c>
      <c r="D28" s="555"/>
      <c r="E28" s="574" t="s">
        <v>3008</v>
      </c>
      <c r="F28" s="553"/>
      <c r="G28" s="552" t="s">
        <v>3008</v>
      </c>
      <c r="H28" s="553"/>
      <c r="I28" s="574" t="s">
        <v>3008</v>
      </c>
      <c r="J28" s="553"/>
      <c r="K28" s="529"/>
      <c r="L28" s="2124"/>
      <c r="M28" s="2114"/>
      <c r="N28" s="2114"/>
      <c r="O28" s="2123"/>
      <c r="P28" s="3419"/>
      <c r="Q28" s="1555"/>
      <c r="R28" s="1556"/>
      <c r="S28" s="1557"/>
      <c r="T28" s="1556"/>
      <c r="U28" s="1557"/>
      <c r="V28" s="1556"/>
      <c r="W28" s="1557"/>
      <c r="X28" s="1550"/>
      <c r="Y28" s="3419"/>
      <c r="Z28" s="1558"/>
      <c r="AA28" s="1559">
        <v>1</v>
      </c>
      <c r="AB28" s="1559">
        <v>1</v>
      </c>
      <c r="AC28" s="1559">
        <v>1</v>
      </c>
    </row>
    <row r="29" spans="1:29" s="1214" customFormat="1" ht="21">
      <c r="A29" s="575"/>
      <c r="B29" s="2552" t="s">
        <v>2545</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96</v>
      </c>
      <c r="K29" s="533">
        <v>4</v>
      </c>
      <c r="L29" s="2117"/>
      <c r="M29" s="2114"/>
      <c r="N29" s="2114"/>
      <c r="O29" s="2119"/>
      <c r="P29" s="3419"/>
      <c r="Q29" s="1145" t="str">
        <f t="shared" si="8"/>
        <v>公共配套设施</v>
      </c>
      <c r="R29" s="1551" t="s">
        <v>8</v>
      </c>
      <c r="S29" s="1552">
        <f>F29</f>
        <v>100</v>
      </c>
      <c r="T29" s="1551" t="s">
        <v>8</v>
      </c>
      <c r="U29" s="1552">
        <f>H29</f>
        <v>100</v>
      </c>
      <c r="V29" s="1551" t="s">
        <v>8</v>
      </c>
      <c r="W29" s="1552">
        <f>J29</f>
        <v>96</v>
      </c>
      <c r="X29" s="1553"/>
      <c r="Y29" s="3419"/>
      <c r="Z29" s="1144" t="str">
        <f>Q29</f>
        <v>公共配套设施</v>
      </c>
      <c r="AA29" s="1559">
        <f>D29/F29</f>
        <v>1</v>
      </c>
      <c r="AB29" s="1559">
        <f>D29/H29</f>
        <v>1</v>
      </c>
      <c r="AC29" s="1559">
        <f>D29/J29</f>
        <v>1.0416666666666667</v>
      </c>
    </row>
    <row r="30" spans="1:29" s="1214" customFormat="1" ht="21">
      <c r="A30" s="575"/>
      <c r="B30" s="564"/>
      <c r="C30" s="577" t="s">
        <v>3009</v>
      </c>
      <c r="D30" s="555"/>
      <c r="E30" s="574" t="s">
        <v>3009</v>
      </c>
      <c r="F30" s="553"/>
      <c r="G30" s="552" t="s">
        <v>3009</v>
      </c>
      <c r="H30" s="553"/>
      <c r="I30" s="574" t="s">
        <v>3008</v>
      </c>
      <c r="J30" s="553"/>
      <c r="K30" s="529"/>
      <c r="L30" s="2117"/>
      <c r="M30" s="2114"/>
      <c r="N30" s="2114"/>
      <c r="O30" s="2119"/>
      <c r="P30" s="3419"/>
      <c r="Q30" s="1145"/>
      <c r="R30" s="1551"/>
      <c r="S30" s="1552"/>
      <c r="T30" s="1551"/>
      <c r="U30" s="1552"/>
      <c r="V30" s="1551"/>
      <c r="W30" s="1552"/>
      <c r="X30" s="1553"/>
      <c r="Y30" s="3419"/>
      <c r="Z30" s="1144"/>
      <c r="AA30" s="1559">
        <v>1</v>
      </c>
      <c r="AB30" s="1559">
        <v>1</v>
      </c>
      <c r="AC30" s="1559">
        <v>1</v>
      </c>
    </row>
    <row r="31" spans="1:29" s="1214" customFormat="1" ht="21">
      <c r="A31" s="575"/>
      <c r="B31" s="2552" t="s">
        <v>2546</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19"/>
      <c r="Q31" s="2539" t="str">
        <f t="shared" ref="Q31" si="9">B31</f>
        <v>基础设施水平</v>
      </c>
      <c r="R31" s="1551" t="s">
        <v>8</v>
      </c>
      <c r="S31" s="1552">
        <f>F31</f>
        <v>100</v>
      </c>
      <c r="T31" s="1551" t="s">
        <v>8</v>
      </c>
      <c r="U31" s="1552">
        <f>H31</f>
        <v>100</v>
      </c>
      <c r="V31" s="1551" t="s">
        <v>8</v>
      </c>
      <c r="W31" s="1552">
        <f>J31</f>
        <v>100</v>
      </c>
      <c r="X31" s="1553"/>
      <c r="Y31" s="3419"/>
      <c r="Z31" s="2536" t="str">
        <f>Q31</f>
        <v>基础设施水平</v>
      </c>
      <c r="AA31" s="1559">
        <f>D31/F31</f>
        <v>1</v>
      </c>
      <c r="AB31" s="1559">
        <f>D31/H31</f>
        <v>1</v>
      </c>
      <c r="AC31" s="1559">
        <f>D31/J31</f>
        <v>1</v>
      </c>
    </row>
    <row r="32" spans="1:29" s="1214" customFormat="1" ht="21.6" thickBot="1">
      <c r="A32" s="575"/>
      <c r="B32" s="564"/>
      <c r="C32" s="577" t="s">
        <v>3010</v>
      </c>
      <c r="D32" s="555"/>
      <c r="E32" s="2553" t="s">
        <v>3010</v>
      </c>
      <c r="F32" s="553"/>
      <c r="G32" s="577" t="s">
        <v>3010</v>
      </c>
      <c r="H32" s="553"/>
      <c r="I32" s="577" t="s">
        <v>3010</v>
      </c>
      <c r="J32" s="553"/>
      <c r="K32" s="529"/>
      <c r="L32" s="2117"/>
      <c r="M32" s="2114"/>
      <c r="N32" s="2114"/>
      <c r="O32" s="2119"/>
      <c r="P32" s="3419"/>
      <c r="Q32" s="2539"/>
      <c r="R32" s="1551"/>
      <c r="S32" s="1552"/>
      <c r="T32" s="1551"/>
      <c r="U32" s="1552"/>
      <c r="V32" s="1551"/>
      <c r="W32" s="1552"/>
      <c r="X32" s="1553"/>
      <c r="Y32" s="3419"/>
      <c r="Z32" s="2536"/>
      <c r="AA32" s="1559">
        <v>1</v>
      </c>
      <c r="AB32" s="1559">
        <v>1</v>
      </c>
      <c r="AC32" s="1559">
        <v>1</v>
      </c>
    </row>
    <row r="33" spans="1:29" ht="21"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19"/>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19"/>
      <c r="Z33" s="1558" t="str">
        <f t="shared" ref="Z33:Z47" si="13">Q33</f>
        <v>临街状况</v>
      </c>
      <c r="AA33" s="1559">
        <f t="shared" si="3"/>
        <v>1</v>
      </c>
      <c r="AB33" s="1559">
        <f t="shared" si="4"/>
        <v>1</v>
      </c>
      <c r="AC33" s="1559">
        <f t="shared" si="5"/>
        <v>1</v>
      </c>
    </row>
    <row r="34" spans="1:29" ht="28.8"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24"/>
      <c r="M34" s="2114"/>
      <c r="N34" s="2114"/>
      <c r="O34" s="2123"/>
      <c r="P34" s="3419"/>
      <c r="Q34" s="1555" t="str">
        <f t="shared" si="8"/>
        <v>毗邻道路的类型与等级</v>
      </c>
      <c r="R34" s="1556" t="s">
        <v>8</v>
      </c>
      <c r="S34" s="1557">
        <f t="shared" si="10"/>
        <v>100</v>
      </c>
      <c r="T34" s="1556" t="s">
        <v>8</v>
      </c>
      <c r="U34" s="1557">
        <f t="shared" si="11"/>
        <v>100</v>
      </c>
      <c r="V34" s="1556" t="s">
        <v>8</v>
      </c>
      <c r="W34" s="1557">
        <f t="shared" si="12"/>
        <v>100</v>
      </c>
      <c r="X34" s="1550"/>
      <c r="Y34" s="3419"/>
      <c r="Z34" s="1558" t="str">
        <f t="shared" si="13"/>
        <v>毗邻道路的类型与等级</v>
      </c>
      <c r="AA34" s="1559">
        <f t="shared" si="3"/>
        <v>1</v>
      </c>
      <c r="AB34" s="1559">
        <f t="shared" si="4"/>
        <v>1</v>
      </c>
      <c r="AC34" s="1559">
        <f t="shared" si="5"/>
        <v>1</v>
      </c>
    </row>
    <row r="35" spans="1:29" ht="21.6" hidden="1" thickBot="1">
      <c r="A35" s="530"/>
      <c r="B35" s="564"/>
      <c r="C35" s="574"/>
      <c r="D35" s="555"/>
      <c r="E35" s="574"/>
      <c r="F35" s="553"/>
      <c r="G35" s="552"/>
      <c r="H35" s="553"/>
      <c r="I35" s="574"/>
      <c r="J35" s="553"/>
      <c r="K35" s="579"/>
      <c r="L35" s="2124"/>
      <c r="M35" s="2114"/>
      <c r="N35" s="2114"/>
      <c r="O35" s="2123"/>
      <c r="P35" s="3419"/>
      <c r="Q35" s="1555"/>
      <c r="R35" s="1556"/>
      <c r="S35" s="1557"/>
      <c r="T35" s="1556"/>
      <c r="U35" s="1557"/>
      <c r="V35" s="1556"/>
      <c r="W35" s="1557"/>
      <c r="X35" s="1550"/>
      <c r="Y35" s="3419"/>
      <c r="Z35" s="1558"/>
      <c r="AA35" s="1559">
        <v>1</v>
      </c>
      <c r="AB35" s="1559">
        <v>1</v>
      </c>
      <c r="AC35" s="1559">
        <v>1</v>
      </c>
    </row>
    <row r="36" spans="1:29" ht="21" hidden="1">
      <c r="A36" s="530"/>
      <c r="B36" s="580" t="s">
        <v>549</v>
      </c>
      <c r="C36" s="578"/>
      <c r="D36" s="573">
        <v>100</v>
      </c>
      <c r="E36" s="581" t="s">
        <v>951</v>
      </c>
      <c r="F36" s="538">
        <f>SUMIF(110:110,E36,111:111)-SUMIF(110:110,C36,111:111)+100</f>
        <v>100</v>
      </c>
      <c r="G36" s="578" t="s">
        <v>951</v>
      </c>
      <c r="H36" s="538">
        <f>SUMIF(110:110,G36,111:111)-SUMIF(110:110,C36,111:111)+100</f>
        <v>100</v>
      </c>
      <c r="I36" s="581" t="s">
        <v>951</v>
      </c>
      <c r="J36" s="538">
        <f>SUMIF(110:110,I36,111:111)-SUMIF(110:110,C36,111:111)+100</f>
        <v>100</v>
      </c>
      <c r="K36" s="582"/>
      <c r="L36" s="2124"/>
      <c r="M36" s="2114"/>
      <c r="N36" s="2114"/>
      <c r="O36" s="2123"/>
      <c r="P36" s="3419"/>
      <c r="Q36" s="1555" t="str">
        <f t="shared" si="8"/>
        <v>土地级别</v>
      </c>
      <c r="R36" s="1556" t="s">
        <v>8</v>
      </c>
      <c r="S36" s="1557">
        <f t="shared" si="10"/>
        <v>100</v>
      </c>
      <c r="T36" s="1556" t="s">
        <v>8</v>
      </c>
      <c r="U36" s="1557">
        <f t="shared" si="11"/>
        <v>100</v>
      </c>
      <c r="V36" s="1556" t="s">
        <v>8</v>
      </c>
      <c r="W36" s="1557">
        <f t="shared" si="12"/>
        <v>100</v>
      </c>
      <c r="X36" s="1550"/>
      <c r="Y36" s="3419"/>
      <c r="Z36" s="1558" t="str">
        <f t="shared" si="13"/>
        <v>土地级别</v>
      </c>
      <c r="AA36" s="1559">
        <f t="shared" si="3"/>
        <v>1</v>
      </c>
      <c r="AB36" s="1559">
        <f t="shared" si="4"/>
        <v>1</v>
      </c>
      <c r="AC36" s="1559">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19"/>
      <c r="Q37" s="1555">
        <f t="shared" si="8"/>
        <v>111</v>
      </c>
      <c r="R37" s="1556" t="s">
        <v>8</v>
      </c>
      <c r="S37" s="1557">
        <f t="shared" si="10"/>
        <v>100</v>
      </c>
      <c r="T37" s="1556" t="s">
        <v>8</v>
      </c>
      <c r="U37" s="1557">
        <f t="shared" si="11"/>
        <v>100</v>
      </c>
      <c r="V37" s="1556" t="s">
        <v>8</v>
      </c>
      <c r="W37" s="1557">
        <f t="shared" si="12"/>
        <v>100</v>
      </c>
      <c r="X37" s="1550"/>
      <c r="Y37" s="3419"/>
      <c r="Z37" s="1558">
        <f t="shared" si="13"/>
        <v>111</v>
      </c>
      <c r="AA37" s="1559">
        <f t="shared" si="3"/>
        <v>1</v>
      </c>
      <c r="AB37" s="1559">
        <f t="shared" si="4"/>
        <v>1</v>
      </c>
      <c r="AC37" s="1559">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20" t="s">
        <v>550</v>
      </c>
      <c r="Q38" s="1555">
        <f t="shared" si="8"/>
        <v>111</v>
      </c>
      <c r="R38" s="1556" t="s">
        <v>8</v>
      </c>
      <c r="S38" s="1557">
        <f t="shared" si="10"/>
        <v>100</v>
      </c>
      <c r="T38" s="1556" t="s">
        <v>8</v>
      </c>
      <c r="U38" s="1557">
        <f t="shared" si="11"/>
        <v>100</v>
      </c>
      <c r="V38" s="1556" t="s">
        <v>8</v>
      </c>
      <c r="W38" s="1557">
        <f t="shared" si="12"/>
        <v>100</v>
      </c>
      <c r="X38" s="1550"/>
      <c r="Y38" s="3421" t="s">
        <v>550</v>
      </c>
      <c r="Z38" s="1558">
        <f t="shared" si="13"/>
        <v>111</v>
      </c>
      <c r="AA38" s="1559">
        <f t="shared" si="3"/>
        <v>1</v>
      </c>
      <c r="AB38" s="1559">
        <f t="shared" si="4"/>
        <v>1</v>
      </c>
      <c r="AC38" s="1559">
        <f t="shared" si="5"/>
        <v>1</v>
      </c>
    </row>
    <row r="39" spans="1:29" s="1333"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1"/>
      <c r="Q39" s="1555">
        <f t="shared" si="8"/>
        <v>111</v>
      </c>
      <c r="R39" s="1560" t="s">
        <v>8</v>
      </c>
      <c r="S39" s="1561">
        <f t="shared" si="10"/>
        <v>100</v>
      </c>
      <c r="T39" s="1560" t="s">
        <v>8</v>
      </c>
      <c r="U39" s="1561">
        <f t="shared" si="11"/>
        <v>100</v>
      </c>
      <c r="V39" s="1560" t="s">
        <v>8</v>
      </c>
      <c r="W39" s="1561">
        <f t="shared" si="12"/>
        <v>100</v>
      </c>
      <c r="X39" s="1562"/>
      <c r="Y39" s="3421"/>
      <c r="Z39" s="1563">
        <f t="shared" si="13"/>
        <v>111</v>
      </c>
      <c r="AA39" s="1559">
        <f t="shared" si="3"/>
        <v>1</v>
      </c>
      <c r="AB39" s="1559">
        <f t="shared" si="4"/>
        <v>1</v>
      </c>
      <c r="AC39" s="1559">
        <f t="shared" si="5"/>
        <v>1</v>
      </c>
    </row>
    <row r="40" spans="1:29" ht="21">
      <c r="A40" s="2859" t="s">
        <v>2752</v>
      </c>
      <c r="B40" s="593" t="s">
        <v>552</v>
      </c>
      <c r="C40" s="594">
        <f>'数据-汇总表'!D3</f>
        <v>34964.49</v>
      </c>
      <c r="D40" s="595">
        <v>100</v>
      </c>
      <c r="E40" s="594">
        <v>39084.339999999997</v>
      </c>
      <c r="F40" s="595">
        <f>LOOKUP(E40,119:119,120:120)-LOOKUP(C40,119:119,120:120)+100</f>
        <v>100</v>
      </c>
      <c r="G40" s="594">
        <v>66475.23</v>
      </c>
      <c r="H40" s="595">
        <f>LOOKUP(G40,119:119,120:120)-LOOKUP(C40,119:119,120:120)+100</f>
        <v>101</v>
      </c>
      <c r="I40" s="596">
        <v>44933.4</v>
      </c>
      <c r="J40" s="595">
        <f>LOOKUP(I40,119:119,120:120)-LOOKUP(C40,119:119,120:120)+100</f>
        <v>100</v>
      </c>
      <c r="K40" s="579"/>
      <c r="L40" s="2124"/>
      <c r="M40" s="2114"/>
      <c r="N40" s="2114"/>
      <c r="O40" s="2123"/>
      <c r="P40" s="3421"/>
      <c r="Q40" s="1555" t="str">
        <f>B40</f>
        <v>宗地面积</v>
      </c>
      <c r="R40" s="1556" t="s">
        <v>8</v>
      </c>
      <c r="S40" s="1557">
        <f t="shared" si="10"/>
        <v>100</v>
      </c>
      <c r="T40" s="1556" t="s">
        <v>8</v>
      </c>
      <c r="U40" s="1557">
        <f t="shared" si="11"/>
        <v>101</v>
      </c>
      <c r="V40" s="1556" t="s">
        <v>8</v>
      </c>
      <c r="W40" s="1557">
        <f t="shared" si="12"/>
        <v>100</v>
      </c>
      <c r="X40" s="1550"/>
      <c r="Y40" s="3421"/>
      <c r="Z40" s="1558" t="str">
        <f t="shared" si="13"/>
        <v>宗地面积</v>
      </c>
      <c r="AA40" s="1559">
        <f t="shared" si="3"/>
        <v>1</v>
      </c>
      <c r="AB40" s="1559">
        <f t="shared" si="4"/>
        <v>0.99009900990099009</v>
      </c>
      <c r="AC40" s="1559">
        <f t="shared" si="5"/>
        <v>1</v>
      </c>
    </row>
    <row r="41" spans="1:29" ht="21">
      <c r="A41" s="592"/>
      <c r="B41" s="525" t="s">
        <v>553</v>
      </c>
      <c r="C41" s="597" t="s">
        <v>3011</v>
      </c>
      <c r="D41" s="538">
        <v>100</v>
      </c>
      <c r="E41" s="597" t="s">
        <v>3011</v>
      </c>
      <c r="F41" s="538">
        <f>SUMIF(121:121,E41,122:122)-SUMIF(121:121,C41,122:122)+100</f>
        <v>100</v>
      </c>
      <c r="G41" s="597" t="s">
        <v>3011</v>
      </c>
      <c r="H41" s="538">
        <f>SUMIF(121:121,G41,122:122)-SUMIF(121:121,C41,122:122)+100</f>
        <v>100</v>
      </c>
      <c r="I41" s="597" t="s">
        <v>3011</v>
      </c>
      <c r="J41" s="538">
        <f>SUMIF(121:121,I41,122:122)-SUMIF(121:121,C41,122:122)+100</f>
        <v>100</v>
      </c>
      <c r="K41" s="582">
        <v>1</v>
      </c>
      <c r="L41" s="2124"/>
      <c r="M41" s="2114"/>
      <c r="N41" s="2114"/>
      <c r="O41" s="2123"/>
      <c r="P41" s="3421"/>
      <c r="Q41" s="1555" t="str">
        <f t="shared" ref="Q41:Q47" si="14">B41</f>
        <v>宗地形状</v>
      </c>
      <c r="R41" s="1556" t="s">
        <v>8</v>
      </c>
      <c r="S41" s="1557">
        <f t="shared" si="10"/>
        <v>100</v>
      </c>
      <c r="T41" s="1556" t="s">
        <v>8</v>
      </c>
      <c r="U41" s="1557">
        <f t="shared" si="11"/>
        <v>100</v>
      </c>
      <c r="V41" s="1556" t="s">
        <v>8</v>
      </c>
      <c r="W41" s="1557">
        <f t="shared" si="12"/>
        <v>100</v>
      </c>
      <c r="X41" s="1550"/>
      <c r="Y41" s="3421"/>
      <c r="Z41" s="1558" t="str">
        <f t="shared" si="13"/>
        <v>宗地形状</v>
      </c>
      <c r="AA41" s="1559">
        <f t="shared" si="3"/>
        <v>1</v>
      </c>
      <c r="AB41" s="1559">
        <f t="shared" si="4"/>
        <v>1</v>
      </c>
      <c r="AC41" s="1559">
        <f t="shared" si="5"/>
        <v>1</v>
      </c>
    </row>
    <row r="42" spans="1:29" ht="21">
      <c r="A42" s="592"/>
      <c r="B42" s="525" t="s">
        <v>554</v>
      </c>
      <c r="C42" s="597" t="s">
        <v>3009</v>
      </c>
      <c r="D42" s="538">
        <v>100</v>
      </c>
      <c r="E42" s="597" t="s">
        <v>3009</v>
      </c>
      <c r="F42" s="538">
        <f>SUMIF(123:123,E42,124:124)-SUMIF(123:123,C42,124:124)+100</f>
        <v>100</v>
      </c>
      <c r="G42" s="597" t="s">
        <v>3009</v>
      </c>
      <c r="H42" s="538">
        <f>SUMIF(123:123,G42,124:124)-SUMIF(123:123,C42,124:124)+100</f>
        <v>100</v>
      </c>
      <c r="I42" s="597" t="s">
        <v>3009</v>
      </c>
      <c r="J42" s="538">
        <f>SUMIF(123:123,I42,124:124)-SUMIF(123:123,C42,124:124)+100</f>
        <v>100</v>
      </c>
      <c r="K42" s="582">
        <v>1</v>
      </c>
      <c r="L42" s="2124"/>
      <c r="M42" s="2114"/>
      <c r="N42" s="2114"/>
      <c r="O42" s="2123"/>
      <c r="P42" s="3421"/>
      <c r="Q42" s="1555" t="str">
        <f t="shared" si="14"/>
        <v>临街宽度及深度</v>
      </c>
      <c r="R42" s="1556" t="s">
        <v>8</v>
      </c>
      <c r="S42" s="1557">
        <f t="shared" si="10"/>
        <v>100</v>
      </c>
      <c r="T42" s="1556" t="s">
        <v>8</v>
      </c>
      <c r="U42" s="1557">
        <f t="shared" si="11"/>
        <v>100</v>
      </c>
      <c r="V42" s="1556" t="s">
        <v>8</v>
      </c>
      <c r="W42" s="1557">
        <f t="shared" si="12"/>
        <v>100</v>
      </c>
      <c r="X42" s="1550"/>
      <c r="Y42" s="3421"/>
      <c r="Z42" s="1558" t="str">
        <f t="shared" si="13"/>
        <v>临街宽度及深度</v>
      </c>
      <c r="AA42" s="1559">
        <f t="shared" si="3"/>
        <v>1</v>
      </c>
      <c r="AB42" s="1559">
        <f t="shared" si="4"/>
        <v>1</v>
      </c>
      <c r="AC42" s="1559">
        <f t="shared" si="5"/>
        <v>1</v>
      </c>
    </row>
    <row r="43" spans="1:29" s="1214" customFormat="1" ht="21">
      <c r="A43" s="598"/>
      <c r="B43" s="1877" t="s">
        <v>2421</v>
      </c>
      <c r="C43" s="3188" t="s">
        <v>3020</v>
      </c>
      <c r="D43" s="253">
        <v>100</v>
      </c>
      <c r="E43" s="599" t="s">
        <v>3012</v>
      </c>
      <c r="F43" s="538">
        <f>SUMIF(125:125,E43,126:126)-SUMIF(125:125,C43,126:126)+100</f>
        <v>99.5</v>
      </c>
      <c r="G43" s="599" t="s">
        <v>3014</v>
      </c>
      <c r="H43" s="538">
        <f>SUMIF(125:125,G43,126:126)-SUMIF(125:125,C43,126:126)+100</f>
        <v>98</v>
      </c>
      <c r="I43" s="599" t="s">
        <v>3012</v>
      </c>
      <c r="J43" s="538">
        <f>SUMIF(125:125,I43,126:126)-SUMIF(125:125,C43,126:126)+100</f>
        <v>99.5</v>
      </c>
      <c r="K43" s="582">
        <v>0.5</v>
      </c>
      <c r="L43" s="2117"/>
      <c r="M43" s="2114"/>
      <c r="N43" s="2114"/>
      <c r="O43" s="2119"/>
      <c r="P43" s="3421"/>
      <c r="Q43" s="1555" t="str">
        <f t="shared" si="14"/>
        <v>宗地开发程度</v>
      </c>
      <c r="R43" s="1551" t="s">
        <v>8</v>
      </c>
      <c r="S43" s="1552">
        <f t="shared" si="10"/>
        <v>99.5</v>
      </c>
      <c r="T43" s="1551" t="s">
        <v>8</v>
      </c>
      <c r="U43" s="1552">
        <f t="shared" si="11"/>
        <v>98</v>
      </c>
      <c r="V43" s="1551" t="s">
        <v>8</v>
      </c>
      <c r="W43" s="1552">
        <f t="shared" si="12"/>
        <v>99.5</v>
      </c>
      <c r="X43" s="1553"/>
      <c r="Y43" s="3421"/>
      <c r="Z43" s="1144" t="str">
        <f t="shared" si="13"/>
        <v>宗地开发程度</v>
      </c>
      <c r="AA43" s="1554">
        <f t="shared" si="3"/>
        <v>1.0050251256281406</v>
      </c>
      <c r="AB43" s="1554">
        <f t="shared" si="4"/>
        <v>1.0204081632653061</v>
      </c>
      <c r="AC43" s="1554">
        <f t="shared" si="5"/>
        <v>1.0050251256281406</v>
      </c>
    </row>
    <row r="44" spans="1:29" ht="21.6" thickBot="1">
      <c r="A44" s="592"/>
      <c r="B44" s="525" t="s">
        <v>555</v>
      </c>
      <c r="C44" s="597" t="s">
        <v>3009</v>
      </c>
      <c r="D44" s="538">
        <v>100</v>
      </c>
      <c r="E44" s="597" t="s">
        <v>3009</v>
      </c>
      <c r="F44" s="538">
        <f>SUMIF(127:127,E44,128:128)-SUMIF(127:127,C44,128:128)+100</f>
        <v>100</v>
      </c>
      <c r="G44" s="597" t="s">
        <v>3009</v>
      </c>
      <c r="H44" s="538">
        <f>SUMIF(127:127,G44,128:128)-SUMIF(127:127,C44,128:128)+100</f>
        <v>100</v>
      </c>
      <c r="I44" s="597" t="s">
        <v>3009</v>
      </c>
      <c r="J44" s="538">
        <f>SUMIF(127:127,I44,128:128)-SUMIF(127:127,C44,128:128)+100</f>
        <v>100</v>
      </c>
      <c r="K44" s="582">
        <v>1</v>
      </c>
      <c r="L44" s="2124"/>
      <c r="M44" s="2114"/>
      <c r="N44" s="2114"/>
      <c r="O44" s="2123"/>
      <c r="P44" s="3421" t="s">
        <v>550</v>
      </c>
      <c r="Q44" s="1555" t="str">
        <f t="shared" si="14"/>
        <v>工程地质条件</v>
      </c>
      <c r="R44" s="1556" t="s">
        <v>8</v>
      </c>
      <c r="S44" s="1557">
        <f t="shared" si="10"/>
        <v>100</v>
      </c>
      <c r="T44" s="1556" t="s">
        <v>8</v>
      </c>
      <c r="U44" s="1557">
        <f t="shared" si="11"/>
        <v>100</v>
      </c>
      <c r="V44" s="1556" t="s">
        <v>8</v>
      </c>
      <c r="W44" s="1557">
        <f t="shared" si="12"/>
        <v>100</v>
      </c>
      <c r="X44" s="1550"/>
      <c r="Y44" s="3421" t="s">
        <v>550</v>
      </c>
      <c r="Z44" s="1558" t="str">
        <f t="shared" si="13"/>
        <v>工程地质条件</v>
      </c>
      <c r="AA44" s="1559">
        <f t="shared" si="3"/>
        <v>1</v>
      </c>
      <c r="AB44" s="1559">
        <f t="shared" si="4"/>
        <v>1</v>
      </c>
      <c r="AC44" s="1559">
        <f t="shared" si="5"/>
        <v>1</v>
      </c>
    </row>
    <row r="45" spans="1:29" ht="21"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1"/>
      <c r="Q45" s="1555">
        <f t="shared" si="14"/>
        <v>0</v>
      </c>
      <c r="R45" s="1556" t="s">
        <v>8</v>
      </c>
      <c r="S45" s="1557">
        <f t="shared" si="10"/>
        <v>100</v>
      </c>
      <c r="T45" s="1556" t="s">
        <v>8</v>
      </c>
      <c r="U45" s="1557">
        <f t="shared" si="11"/>
        <v>100</v>
      </c>
      <c r="V45" s="1556" t="s">
        <v>8</v>
      </c>
      <c r="W45" s="1557">
        <f t="shared" si="12"/>
        <v>100</v>
      </c>
      <c r="X45" s="1550"/>
      <c r="Y45" s="3421"/>
      <c r="Z45" s="1558">
        <f t="shared" si="13"/>
        <v>0</v>
      </c>
      <c r="AA45" s="1559">
        <f t="shared" si="3"/>
        <v>1</v>
      </c>
      <c r="AB45" s="1559">
        <f t="shared" si="4"/>
        <v>1</v>
      </c>
      <c r="AC45" s="1559">
        <f t="shared" si="5"/>
        <v>1</v>
      </c>
    </row>
    <row r="46" spans="1:29" ht="21"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1"/>
      <c r="Q46" s="1555">
        <f t="shared" si="14"/>
        <v>0</v>
      </c>
      <c r="R46" s="1556" t="s">
        <v>8</v>
      </c>
      <c r="S46" s="1557">
        <f t="shared" si="10"/>
        <v>100</v>
      </c>
      <c r="T46" s="1556" t="s">
        <v>8</v>
      </c>
      <c r="U46" s="1557">
        <f t="shared" si="11"/>
        <v>100</v>
      </c>
      <c r="V46" s="1556" t="s">
        <v>8</v>
      </c>
      <c r="W46" s="1557">
        <f t="shared" si="12"/>
        <v>100</v>
      </c>
      <c r="X46" s="1550"/>
      <c r="Y46" s="3421"/>
      <c r="Z46" s="1558">
        <f t="shared" si="13"/>
        <v>0</v>
      </c>
      <c r="AA46" s="1559">
        <f t="shared" si="3"/>
        <v>1</v>
      </c>
      <c r="AB46" s="1559">
        <f t="shared" si="4"/>
        <v>1</v>
      </c>
      <c r="AC46" s="1559">
        <f t="shared" si="5"/>
        <v>1</v>
      </c>
    </row>
    <row r="47" spans="1:29" s="1333" customFormat="1" ht="21.6"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1"/>
      <c r="Q47" s="1555">
        <f t="shared" si="14"/>
        <v>0</v>
      </c>
      <c r="R47" s="1560" t="s">
        <v>8</v>
      </c>
      <c r="S47" s="1561">
        <f t="shared" si="10"/>
        <v>100</v>
      </c>
      <c r="T47" s="1560" t="s">
        <v>8</v>
      </c>
      <c r="U47" s="1561">
        <f t="shared" si="11"/>
        <v>100</v>
      </c>
      <c r="V47" s="1560" t="s">
        <v>8</v>
      </c>
      <c r="W47" s="1561">
        <f t="shared" si="12"/>
        <v>100</v>
      </c>
      <c r="X47" s="1562"/>
      <c r="Y47" s="3421"/>
      <c r="Z47" s="1563">
        <f t="shared" si="13"/>
        <v>0</v>
      </c>
      <c r="AA47" s="1559">
        <f t="shared" si="3"/>
        <v>1</v>
      </c>
      <c r="AB47" s="1559">
        <f t="shared" si="4"/>
        <v>1</v>
      </c>
      <c r="AC47" s="1559">
        <f t="shared" si="5"/>
        <v>1</v>
      </c>
    </row>
    <row r="48" spans="1:29" ht="21">
      <c r="A48" s="605" t="s">
        <v>556</v>
      </c>
      <c r="B48" s="606" t="s">
        <v>3021</v>
      </c>
      <c r="C48" s="607" t="s">
        <v>1</v>
      </c>
      <c r="D48" s="608"/>
      <c r="E48" s="609">
        <v>31826</v>
      </c>
      <c r="F48" s="610"/>
      <c r="G48" s="611">
        <v>33847</v>
      </c>
      <c r="H48" s="612"/>
      <c r="I48" s="609">
        <v>32938</v>
      </c>
      <c r="J48" s="612"/>
      <c r="K48" s="1334"/>
      <c r="L48" s="2126"/>
      <c r="M48" s="2114"/>
      <c r="N48" s="2114"/>
      <c r="O48" s="2127"/>
      <c r="P48" s="3381" t="str">
        <f>A48</f>
        <v>成交单价</v>
      </c>
      <c r="Q48" s="3381"/>
      <c r="R48" s="3382">
        <f>E48</f>
        <v>31826</v>
      </c>
      <c r="S48" s="3382"/>
      <c r="T48" s="3382">
        <f>G48</f>
        <v>33847</v>
      </c>
      <c r="U48" s="3382"/>
      <c r="V48" s="3382">
        <f>I48</f>
        <v>32938</v>
      </c>
      <c r="W48" s="3382"/>
      <c r="X48" s="1542"/>
      <c r="Y48" s="1564"/>
      <c r="Z48" s="1542"/>
      <c r="AA48" s="1542"/>
      <c r="AB48" s="1542"/>
      <c r="AC48" s="1542"/>
    </row>
    <row r="49" spans="1:29" ht="21.6" thickBot="1">
      <c r="A49" s="613" t="s">
        <v>2690</v>
      </c>
      <c r="B49" s="614"/>
      <c r="C49" s="615">
        <f>R50</f>
        <v>36095</v>
      </c>
      <c r="D49" s="616"/>
      <c r="E49" s="615">
        <f>R49</f>
        <v>35255</v>
      </c>
      <c r="F49" s="617"/>
      <c r="G49" s="618">
        <f>T49</f>
        <v>35426</v>
      </c>
      <c r="H49" s="616"/>
      <c r="I49" s="615">
        <f>V49</f>
        <v>37604</v>
      </c>
      <c r="J49" s="616"/>
      <c r="K49" s="1335"/>
      <c r="L49" s="2126"/>
      <c r="M49" s="2114"/>
      <c r="N49" s="2114"/>
      <c r="O49" s="2127"/>
      <c r="P49" s="3381" t="str">
        <f>A49</f>
        <v>比较价格（元/平方米）</v>
      </c>
      <c r="Q49" s="3381"/>
      <c r="R49" s="3383">
        <f>ROUND(PRODUCT(R48,AA9:AA47),0)</f>
        <v>35255</v>
      </c>
      <c r="S49" s="3383"/>
      <c r="T49" s="3383">
        <f>ROUND(PRODUCT(T48,AB9:AB47),0)</f>
        <v>35426</v>
      </c>
      <c r="U49" s="3383"/>
      <c r="V49" s="3383">
        <f>ROUND(PRODUCT(V48,AC9:AC47),0)</f>
        <v>37604</v>
      </c>
      <c r="W49" s="3383"/>
      <c r="X49" s="1542"/>
      <c r="Y49" s="1542"/>
      <c r="Z49" s="1542"/>
      <c r="AA49" s="1542"/>
      <c r="AB49" s="1542"/>
      <c r="AC49" s="1542"/>
    </row>
    <row r="50" spans="1:29" ht="21.6" thickBot="1">
      <c r="A50" s="619" t="s">
        <v>2924</v>
      </c>
      <c r="B50" s="620"/>
      <c r="C50" s="621">
        <f>R50</f>
        <v>36095</v>
      </c>
      <c r="D50" s="621"/>
      <c r="E50" s="621"/>
      <c r="F50" s="621"/>
      <c r="G50" s="621"/>
      <c r="H50" s="621"/>
      <c r="I50" s="621"/>
      <c r="J50" s="621"/>
      <c r="K50" s="1336"/>
      <c r="L50" s="2126"/>
      <c r="M50" s="2114"/>
      <c r="N50" s="2114"/>
      <c r="O50" s="2127"/>
      <c r="P50" s="3378" t="str">
        <f>A50</f>
        <v>估价对象XX用房的比较价格（楼面单价，元/平方米）</v>
      </c>
      <c r="Q50" s="3379"/>
      <c r="R50" s="3380">
        <f>ROUND(AVERAGE(R49:V49),0)</f>
        <v>36095</v>
      </c>
      <c r="S50" s="3380"/>
      <c r="T50" s="3380"/>
      <c r="U50" s="3380"/>
      <c r="V50" s="3380"/>
      <c r="W50" s="3380"/>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0.10774209765600462</v>
      </c>
      <c r="F53" s="625" t="str">
        <f>IF(OR(E53&gt;=0.3,E53&lt;=-0.3),"超过30%","")</f>
        <v/>
      </c>
      <c r="G53" s="624">
        <f>IF(G48&lt;G49,G49/G48-1,G48/G49-1)</f>
        <v>4.6651106449611568E-2</v>
      </c>
      <c r="H53" s="625" t="str">
        <f>IF(OR(G53&gt;=0.3,G53&lt;=-0.3),"超过30%","")</f>
        <v/>
      </c>
      <c r="I53" s="624">
        <f>IF(I48&lt;I49,I49/I48-1,I48/I49-1)</f>
        <v>0.14166008865140567</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4.8503758332152369E-3</v>
      </c>
      <c r="F54" s="625" t="str">
        <f>IF(OR(E54&gt;=0.2,E54&lt;=-0.2),"超过20%","")</f>
        <v/>
      </c>
      <c r="G54" s="624">
        <f>IF(G49&lt;I49,I49/G49-1,G49/I49-1)</f>
        <v>6.1480268729181997E-2</v>
      </c>
      <c r="H54" s="625" t="str">
        <f>IF(OR(G54&gt;=0.2,G54&lt;=-0.2),"超过20%","")</f>
        <v/>
      </c>
      <c r="I54" s="624">
        <f>IF(I49&lt;E49,E49/I49-1,I49/E49-1)</f>
        <v>6.6628846972060618E-2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6.3501539621692915E-2</v>
      </c>
      <c r="F55" s="625" t="str">
        <f>IF(OR(E55&gt;=0.3,E55&lt;=-0.3),"超过30%","")</f>
        <v/>
      </c>
      <c r="G55" s="624">
        <f>IF(G48&lt;I48,I48/G48-1,G48/I48-1)</f>
        <v>2.7597304025745339E-2</v>
      </c>
      <c r="H55" s="625" t="str">
        <f>IF(OR(G55&gt;=0.3,G55&lt;=-0.3),"超过30%","")</f>
        <v/>
      </c>
      <c r="I55" s="624">
        <f>IF(I48&lt;E48,E48/I48-1,I48/E48-1)</f>
        <v>3.4939986174825632E-2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10" t="s">
        <v>2278</v>
      </c>
      <c r="H57" s="3411"/>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1" t="s">
        <v>564</v>
      </c>
      <c r="B58" s="632">
        <f>C50</f>
        <v>36095</v>
      </c>
      <c r="C58" s="633">
        <v>1</v>
      </c>
      <c r="D58" s="2210">
        <v>1</v>
      </c>
      <c r="E58" s="633">
        <f>'数据-汇总表'!E8+'数据-汇总表'!E9</f>
        <v>63653.62</v>
      </c>
      <c r="F58" s="634">
        <f t="shared" ref="F58:F67" si="15">ROUND(B58*E58/10000,0)</f>
        <v>229758</v>
      </c>
      <c r="G58" s="3412"/>
      <c r="H58" s="3413"/>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565</v>
      </c>
      <c r="B59" s="636">
        <f>ROUND($C$50*C59*D59,0)</f>
        <v>6317</v>
      </c>
      <c r="C59" s="376">
        <f t="shared" ref="C59:C67" si="16">IF($C$57="北京市系数",I59,J59)</f>
        <v>0.7</v>
      </c>
      <c r="D59" s="2211">
        <v>0.25</v>
      </c>
      <c r="E59" s="637">
        <v>0</v>
      </c>
      <c r="F59" s="634">
        <f t="shared" si="15"/>
        <v>0</v>
      </c>
      <c r="G59" s="3414" t="s">
        <v>2279</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566</v>
      </c>
      <c r="B60" s="636">
        <f t="shared" ref="B60:B67" si="17">ROUND($C$50*C60*D60,0)</f>
        <v>3610</v>
      </c>
      <c r="C60" s="376">
        <f t="shared" si="16"/>
        <v>0.4</v>
      </c>
      <c r="D60" s="2211">
        <v>0.25</v>
      </c>
      <c r="E60" s="637">
        <v>0</v>
      </c>
      <c r="F60" s="634">
        <f t="shared" si="15"/>
        <v>0</v>
      </c>
      <c r="G60" s="3414"/>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567</v>
      </c>
      <c r="B61" s="636">
        <f t="shared" si="17"/>
        <v>2527</v>
      </c>
      <c r="C61" s="376">
        <f t="shared" si="16"/>
        <v>0.28000000000000003</v>
      </c>
      <c r="D61" s="2211">
        <v>0.25</v>
      </c>
      <c r="E61" s="637">
        <v>0</v>
      </c>
      <c r="F61" s="634">
        <f t="shared" si="15"/>
        <v>0</v>
      </c>
      <c r="G61" s="3414"/>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5" t="s">
        <v>568</v>
      </c>
      <c r="B62" s="636">
        <f t="shared" si="17"/>
        <v>2256</v>
      </c>
      <c r="C62" s="376">
        <f t="shared" si="16"/>
        <v>0.25</v>
      </c>
      <c r="D62" s="2211">
        <v>0.25</v>
      </c>
      <c r="E62" s="637">
        <v>0</v>
      </c>
      <c r="F62" s="634">
        <f t="shared" si="15"/>
        <v>0</v>
      </c>
      <c r="G62" s="3414"/>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2325</v>
      </c>
      <c r="B63" s="636">
        <f t="shared" si="17"/>
        <v>2256</v>
      </c>
      <c r="C63" s="376">
        <f t="shared" si="16"/>
        <v>0.25</v>
      </c>
      <c r="D63" s="2211">
        <v>0.25</v>
      </c>
      <c r="E63" s="639">
        <f>'数据-汇总表'!E11</f>
        <v>0</v>
      </c>
      <c r="F63" s="634">
        <f t="shared" si="15"/>
        <v>0</v>
      </c>
      <c r="G63" s="1927" t="s">
        <v>2280</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5" t="s">
        <v>569</v>
      </c>
      <c r="B64" s="636">
        <f t="shared" si="17"/>
        <v>2256</v>
      </c>
      <c r="C64" s="376">
        <f t="shared" si="16"/>
        <v>0.25</v>
      </c>
      <c r="D64" s="2211">
        <v>0.25</v>
      </c>
      <c r="E64" s="639">
        <f>'数据-汇总表'!E12</f>
        <v>3440.91</v>
      </c>
      <c r="F64" s="634">
        <f t="shared" si="15"/>
        <v>776</v>
      </c>
      <c r="G64" s="1928" t="s">
        <v>922</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5" t="s">
        <v>570</v>
      </c>
      <c r="B65" s="636">
        <f t="shared" si="17"/>
        <v>1805</v>
      </c>
      <c r="C65" s="376">
        <f t="shared" si="16"/>
        <v>0.2</v>
      </c>
      <c r="D65" s="2211">
        <v>0.25</v>
      </c>
      <c r="E65" s="639">
        <f>'数据-汇总表'!E13</f>
        <v>29687.75</v>
      </c>
      <c r="F65" s="634">
        <f t="shared" si="15"/>
        <v>5359</v>
      </c>
      <c r="G65" s="1928" t="s">
        <v>922</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5" t="s">
        <v>571</v>
      </c>
      <c r="B66" s="636">
        <f t="shared" si="17"/>
        <v>1805</v>
      </c>
      <c r="C66" s="376">
        <f t="shared" si="16"/>
        <v>0.2</v>
      </c>
      <c r="D66" s="2211">
        <v>0.25</v>
      </c>
      <c r="E66" s="639">
        <f>'数据-汇总表'!E14</f>
        <v>0</v>
      </c>
      <c r="F66" s="634">
        <f t="shared" si="15"/>
        <v>0</v>
      </c>
      <c r="G66" s="1927" t="s">
        <v>2279</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5" t="s">
        <v>572</v>
      </c>
      <c r="B67" s="636">
        <f t="shared" si="17"/>
        <v>1805</v>
      </c>
      <c r="C67" s="376">
        <f t="shared" si="16"/>
        <v>0.2</v>
      </c>
      <c r="D67" s="2211">
        <v>0.25</v>
      </c>
      <c r="E67" s="639">
        <f>'数据-汇总表'!E15</f>
        <v>0</v>
      </c>
      <c r="F67" s="634">
        <f t="shared" si="15"/>
        <v>0</v>
      </c>
      <c r="G67" s="1929" t="s">
        <v>2280</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0" t="s">
        <v>573</v>
      </c>
      <c r="B68" s="641" t="s">
        <v>17</v>
      </c>
      <c r="C68" s="641" t="s">
        <v>18</v>
      </c>
      <c r="D68" s="641" t="s">
        <v>2291</v>
      </c>
      <c r="E68" s="641">
        <f>IF(B48="楼面地价",SUM(E58:E67),'数据-汇总表'!D3)</f>
        <v>96782.28</v>
      </c>
      <c r="F68" s="642">
        <f>IF(B48="楼面地价",SUM(F58:F67),ROUND(C50*E68/10000,0))</f>
        <v>235893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2020-1-1</v>
      </c>
      <c r="D70" s="2751">
        <f>EDATE(C70,-3)</f>
        <v>43739</v>
      </c>
      <c r="E70" s="2751">
        <f t="shared" ref="E70:N70" si="18">EDATE(D70,-3)</f>
        <v>43647</v>
      </c>
      <c r="F70" s="2751">
        <f t="shared" si="18"/>
        <v>43556</v>
      </c>
      <c r="G70" s="2751">
        <f t="shared" si="18"/>
        <v>43466</v>
      </c>
      <c r="H70" s="2751">
        <f t="shared" si="18"/>
        <v>43374</v>
      </c>
      <c r="I70" s="2751">
        <f t="shared" si="18"/>
        <v>43282</v>
      </c>
      <c r="J70" s="2751">
        <f t="shared" si="18"/>
        <v>43191</v>
      </c>
      <c r="K70" s="2751">
        <f t="shared" si="18"/>
        <v>43101</v>
      </c>
      <c r="L70" s="2751">
        <f t="shared" si="18"/>
        <v>43009</v>
      </c>
      <c r="M70" s="2751">
        <f t="shared" si="18"/>
        <v>42917</v>
      </c>
      <c r="N70" s="2751">
        <f t="shared" si="18"/>
        <v>42826</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2529</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7" t="str">
        <f>"北京市平均增长率"&amp;TEXT(SUMIF(基准地价!N21:N25,A73,基准地价!P21:P25),"0.00%")</f>
        <v>北京市平均增长率0.00%</v>
      </c>
      <c r="C73" s="892">
        <v>100</v>
      </c>
      <c r="D73" s="728">
        <v>100</v>
      </c>
      <c r="E73" s="728">
        <v>99.5</v>
      </c>
      <c r="F73" s="728">
        <v>99</v>
      </c>
      <c r="G73" s="728">
        <v>98.5</v>
      </c>
      <c r="H73" s="728">
        <v>98</v>
      </c>
      <c r="I73" s="728">
        <v>97.5</v>
      </c>
      <c r="J73" s="728">
        <v>97</v>
      </c>
      <c r="K73" s="728">
        <v>96.5</v>
      </c>
      <c r="L73" s="728">
        <v>96</v>
      </c>
      <c r="M73" s="728">
        <v>95.5</v>
      </c>
      <c r="N73" s="728">
        <v>95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4.4"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14.4">
      <c r="A77" s="662" t="s">
        <v>577</v>
      </c>
      <c r="B77" s="663" t="s">
        <v>534</v>
      </c>
      <c r="C77" s="3185" t="s">
        <v>3018</v>
      </c>
      <c r="D77" s="3185" t="s">
        <v>3016</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69">
        <v>100</v>
      </c>
      <c r="D78" s="669">
        <v>90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9.4"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4.4"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5"/>
      <c r="B84" s="671" t="str">
        <f>B14</f>
        <v>配建</v>
      </c>
      <c r="C84" s="3189" t="s">
        <v>3045</v>
      </c>
      <c r="D84" s="1368" t="s">
        <v>3046</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v>100</v>
      </c>
      <c r="D85" s="669">
        <v>95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 thickTop="1">
      <c r="A86" s="685"/>
      <c r="B86" s="671" t="str">
        <f>B15</f>
        <v>限价</v>
      </c>
      <c r="C86" s="3189" t="s">
        <v>3045</v>
      </c>
      <c r="D86" s="539" t="s">
        <v>3007</v>
      </c>
      <c r="E86" s="540" t="s">
        <v>3013</v>
      </c>
      <c r="F86" s="540" t="s">
        <v>3015</v>
      </c>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4.4" thickBot="1">
      <c r="A87" s="685"/>
      <c r="B87" s="676"/>
      <c r="C87" s="690">
        <v>100</v>
      </c>
      <c r="D87" s="690">
        <v>95</v>
      </c>
      <c r="E87" s="690">
        <v>95</v>
      </c>
      <c r="F87" s="690">
        <v>95</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4.4" thickTop="1">
      <c r="A88" s="685"/>
      <c r="B88" s="679">
        <f>B16</f>
        <v>0</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4.4"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ht="14.4">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4.4" thickBot="1">
      <c r="A91" s="667"/>
      <c r="B91" s="676"/>
      <c r="C91" s="677">
        <v>100</v>
      </c>
      <c r="D91" s="677">
        <f>C91-$K17</f>
        <v>96</v>
      </c>
      <c r="E91" s="677">
        <f>D91-$K17</f>
        <v>92</v>
      </c>
      <c r="F91" s="677">
        <f>E91-$K17</f>
        <v>88</v>
      </c>
      <c r="G91" s="677">
        <f>F91-$K17</f>
        <v>84</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9.4"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4.4" thickBot="1">
      <c r="A99" s="707"/>
      <c r="B99" s="676"/>
      <c r="C99" s="710">
        <v>100</v>
      </c>
      <c r="D99" s="677">
        <f>C99-$K25</f>
        <v>99</v>
      </c>
      <c r="E99" s="677">
        <f>D99-$K25</f>
        <v>98</v>
      </c>
      <c r="F99" s="677">
        <f>E99-$K25</f>
        <v>97</v>
      </c>
      <c r="G99" s="677">
        <f>F99-$K25</f>
        <v>96</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7"/>
      <c r="B108" s="671" t="s">
        <v>548</v>
      </c>
      <c r="C108" s="686" t="s">
        <v>3047</v>
      </c>
      <c r="D108" s="3189" t="s">
        <v>3048</v>
      </c>
      <c r="E108" s="3189" t="s">
        <v>3049</v>
      </c>
      <c r="F108" s="3189" t="s">
        <v>3050</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4.4"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7.6">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2422</v>
      </c>
      <c r="C125" s="1368" t="s">
        <v>3051</v>
      </c>
      <c r="D125" s="1368" t="s">
        <v>3052</v>
      </c>
      <c r="E125" s="1368" t="s">
        <v>3053</v>
      </c>
      <c r="F125" s="1368" t="s">
        <v>3054</v>
      </c>
      <c r="G125" s="1368" t="s">
        <v>3055</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4.4"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4.4"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1900</v>
      </c>
      <c r="B36" s="1636" t="s">
        <v>1901</v>
      </c>
    </row>
    <row r="37" spans="1:9" ht="28.5" customHeight="1">
      <c r="A37" s="1636"/>
      <c r="B37" s="3211" t="str">
        <f>项目基本情况!B1</f>
        <v>出让国有建设用地使用权抵押价格预评估</v>
      </c>
      <c r="C37" s="3211"/>
      <c r="D37" s="3211"/>
      <c r="E37" s="3211"/>
      <c r="F37" s="3211"/>
      <c r="G37" s="3211"/>
      <c r="H37" s="3211"/>
      <c r="I37" s="3211"/>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c r="C1" s="2086"/>
      <c r="D1" s="2086"/>
      <c r="E1" s="2086"/>
      <c r="F1" s="2086"/>
      <c r="G1" s="2086"/>
      <c r="H1" s="2086"/>
      <c r="I1" s="2086"/>
      <c r="J1" s="2086"/>
      <c r="K1" s="420">
        <f>MATCH(B1,'数据-取费表'!A6:A16,0)+5</f>
        <v>10</v>
      </c>
    </row>
    <row r="2" spans="1:31" s="2023" customFormat="1" ht="18" customHeight="1">
      <c r="A2" s="2083" t="s">
        <v>467</v>
      </c>
      <c r="B2" s="2087">
        <f ca="1">C36</f>
        <v>276022</v>
      </c>
      <c r="C2" s="2086"/>
      <c r="D2" s="2086"/>
      <c r="E2" s="2086"/>
      <c r="F2" s="2086"/>
      <c r="G2" s="2086"/>
      <c r="H2" s="2086"/>
      <c r="I2" s="2086"/>
      <c r="J2" s="2086"/>
      <c r="K2" s="2086"/>
    </row>
    <row r="3" spans="1:31" s="2023" customFormat="1" ht="18" customHeight="1">
      <c r="A3" s="2088" t="s">
        <v>1683</v>
      </c>
      <c r="B3" s="2089">
        <f ca="1">ROUND(B2*10000/IF(B1="",'数据-汇总表'!E3,INDIRECT("'数据-取费表'!K"&amp;$K$1)),0)</f>
        <v>25251</v>
      </c>
      <c r="C3" s="2086"/>
      <c r="D3" s="2086"/>
      <c r="E3" s="2086"/>
      <c r="F3" s="2086"/>
      <c r="G3" s="2086"/>
      <c r="H3" s="2086"/>
      <c r="I3" s="2086"/>
      <c r="J3" s="2086"/>
      <c r="K3" s="2086"/>
    </row>
    <row r="4" spans="1:31" s="2023" customFormat="1" ht="18" customHeight="1">
      <c r="A4" s="424" t="s">
        <v>468</v>
      </c>
      <c r="B4" s="425">
        <f ca="1">ROUND(B2*10000/IF(B1="",'数据-汇总表'!D3,INDIRECT("'数据-取费表'!R"&amp;$K$1)),0)</f>
        <v>78944</v>
      </c>
      <c r="C4" s="426"/>
      <c r="D4" s="420"/>
      <c r="E4" s="420"/>
      <c r="F4" s="420"/>
      <c r="G4" s="420"/>
      <c r="H4" s="420"/>
      <c r="I4" s="420"/>
      <c r="J4" s="420"/>
      <c r="K4" s="420"/>
    </row>
    <row r="5" spans="1:31" s="2023" customFormat="1" ht="18" customHeight="1" thickBot="1">
      <c r="A5" s="427"/>
      <c r="B5" s="428">
        <f ca="1">ROUND(B2/(IF(B1="",'数据-汇总表'!D3,INDIRECT("'数据-取费表'!R"&amp;$K$1))/666.67),0)</f>
        <v>5263</v>
      </c>
      <c r="C5" s="429" t="s">
        <v>469</v>
      </c>
      <c r="D5" s="420"/>
      <c r="E5" s="420"/>
      <c r="F5" s="420"/>
      <c r="G5" s="420"/>
      <c r="H5" s="420"/>
      <c r="I5" s="420"/>
      <c r="J5" s="420"/>
      <c r="K5" s="420"/>
    </row>
    <row r="6" spans="1:31" s="2093" customFormat="1" ht="16.5" customHeight="1">
      <c r="A6" s="2780" t="s">
        <v>1841</v>
      </c>
      <c r="B6" s="2781"/>
      <c r="C6" s="2782">
        <f ca="1">SUM(C10:K10)</f>
        <v>454082</v>
      </c>
      <c r="D6" s="2781"/>
      <c r="E6" s="2781"/>
      <c r="F6" s="2781"/>
      <c r="G6" s="2781"/>
      <c r="H6" s="2781"/>
      <c r="I6" s="2781"/>
      <c r="J6" s="2781"/>
      <c r="K6" s="2783"/>
    </row>
    <row r="7" spans="1:31" s="2095" customFormat="1" ht="14.4">
      <c r="A7" s="2784" t="s">
        <v>470</v>
      </c>
      <c r="B7" s="2785" t="s">
        <v>471</v>
      </c>
      <c r="C7" s="434" t="s">
        <v>922</v>
      </c>
      <c r="D7" s="434" t="s">
        <v>2988</v>
      </c>
      <c r="E7" s="434" t="s">
        <v>3022</v>
      </c>
      <c r="F7" s="434" t="s">
        <v>35</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67408</v>
      </c>
      <c r="D8" s="2786">
        <f ca="1">'不动产收益法-商业'!B3</f>
        <v>24675</v>
      </c>
      <c r="E8" s="2786">
        <f ca="1">'不动产收益法-仓储'!B3</f>
        <v>10058</v>
      </c>
      <c r="F8" s="2786">
        <f>'不动产比较法-车位'!C39</f>
        <v>8153</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63135.22</v>
      </c>
      <c r="D9" s="439">
        <f>SUMIF('数据-汇总表'!$C19:$C33,'剩余法-待开发'!D7,'数据-汇总表'!$E19:$E33)</f>
        <v>338.4</v>
      </c>
      <c r="E9" s="439">
        <f>SUMIF('数据-汇总表'!$C19:$C33,'剩余法-待开发'!E7,'数据-汇总表'!$E19:$E33)</f>
        <v>3440.91</v>
      </c>
      <c r="F9" s="439">
        <f>SUMIF('数据-汇总表'!$C19:$C33,'剩余法-待开发'!F7,'数据-汇总表'!$E19:$E33)</f>
        <v>29687.75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7">
        <f>'不动产比较法-住宅'!B2</f>
        <v>425582</v>
      </c>
      <c r="D10" s="2977">
        <f ca="1">'不动产收益法-商业'!B2</f>
        <v>835</v>
      </c>
      <c r="E10" s="2977">
        <f ca="1">'不动产收益法-仓储'!B2</f>
        <v>3461</v>
      </c>
      <c r="F10" s="2977">
        <f>ROUND(F8*F9/10000,0)</f>
        <v>24204</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36770</v>
      </c>
      <c r="D13" s="2796"/>
      <c r="E13" s="2797"/>
      <c r="F13" s="2798"/>
      <c r="G13" s="2764"/>
      <c r="H13" s="2765"/>
      <c r="I13" s="2765"/>
      <c r="J13" s="2765"/>
      <c r="K13" s="2766"/>
    </row>
    <row r="14" spans="1:31" s="2098" customFormat="1" ht="13.5" customHeight="1">
      <c r="A14" s="2794" t="s">
        <v>1848</v>
      </c>
      <c r="B14" s="2795" t="s">
        <v>480</v>
      </c>
      <c r="C14" s="53">
        <f ca="1">ROUND(C13*F14,0)</f>
        <v>1839</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1263</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2186</v>
      </c>
      <c r="D16" s="2796">
        <f ca="1">IF(B1="",'数据-汇总表'!E3,INDIRECT("'数据-取费表'!K"&amp;$K$1)+INDIRECT("'数据-取费表'!S"&amp;$K$1))</f>
        <v>109310.18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552</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42610</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109310.18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1933</v>
      </c>
      <c r="D20" s="2806"/>
      <c r="E20" s="2760"/>
      <c r="F20" s="2807"/>
      <c r="G20" s="3036"/>
      <c r="H20" s="2762"/>
      <c r="I20" s="2763" t="s">
        <v>2648</v>
      </c>
      <c r="J20" s="2769"/>
      <c r="K20" s="2770"/>
    </row>
    <row r="21" spans="1:14" s="2098" customFormat="1" ht="13.5" customHeight="1">
      <c r="A21" s="2794" t="s">
        <v>1855</v>
      </c>
      <c r="B21" s="2795" t="s">
        <v>491</v>
      </c>
      <c r="C21" s="53">
        <f ca="1">ROUND(D21*E21/10000,0)</f>
        <v>1010</v>
      </c>
      <c r="D21" s="2796">
        <f ca="1">IF(B1="",'数据-汇总表'!E5,IF(INDIRECT("'数据-取费表'!c"&amp;$K$1)="住宅",INDIRECT("'数据-取费表'!k"&amp;$K$1),0))</f>
        <v>63135.22</v>
      </c>
      <c r="E21" s="53">
        <f>'数据-取费表'!B27</f>
        <v>160</v>
      </c>
      <c r="F21" s="2799"/>
      <c r="G21" s="26"/>
      <c r="H21" s="51"/>
      <c r="I21" s="51"/>
      <c r="J21" s="51"/>
      <c r="K21" s="2771"/>
    </row>
    <row r="22" spans="1:14" s="2098" customFormat="1" ht="13.5" customHeight="1">
      <c r="A22" s="2794" t="s">
        <v>1856</v>
      </c>
      <c r="B22" s="2795" t="s">
        <v>492</v>
      </c>
      <c r="C22" s="53">
        <f ca="1">ROUND(D22*E22/10000,0)</f>
        <v>923</v>
      </c>
      <c r="D22" s="2796">
        <f ca="1">IF(B1="",'数据-汇总表'!E6,IF(INDIRECT("'数据-取费表'!c"&amp;$K$1)="住宅",INDIRECT("'数据-取费表'!s"&amp;$K$1),INDIRECT("'数据-取费表'!k"&amp;$K$1)+INDIRECT("'数据-取费表'!s"&amp;$K$1)))</f>
        <v>46174.959999999992</v>
      </c>
      <c r="E22" s="53">
        <f>'数据-取费表'!B28</f>
        <v>200</v>
      </c>
      <c r="F22" s="2799"/>
      <c r="G22" s="26"/>
      <c r="H22" s="51"/>
      <c r="I22" s="51"/>
      <c r="J22" s="51"/>
      <c r="K22" s="2771"/>
    </row>
    <row r="23" spans="1:14" s="2098" customFormat="1" ht="13.5" customHeight="1">
      <c r="A23" s="2802" t="s">
        <v>1857</v>
      </c>
      <c r="B23" s="2983" t="s">
        <v>2831</v>
      </c>
      <c r="C23" s="2804">
        <f ca="1">ROUND((C18+C19+C20)*F23,0)</f>
        <v>1114</v>
      </c>
      <c r="D23" s="466"/>
      <c r="E23" s="466"/>
      <c r="F23" s="2808">
        <f>'数据-取费表'!B37</f>
        <v>2.5000000000000001E-2</v>
      </c>
      <c r="G23" s="2764" t="s">
        <v>2428</v>
      </c>
      <c r="H23" s="2765"/>
      <c r="I23" s="2765"/>
      <c r="J23" s="2765"/>
      <c r="K23" s="2766"/>
      <c r="L23" s="2100"/>
      <c r="M23" s="2100"/>
      <c r="N23" s="2100"/>
    </row>
    <row r="24" spans="1:14" s="2098" customFormat="1" ht="13.5" customHeight="1">
      <c r="A24" s="2802" t="s">
        <v>1858</v>
      </c>
      <c r="B24" s="2983" t="s">
        <v>2834</v>
      </c>
      <c r="C24" s="2804">
        <f ca="1">ROUND(C6*F24,0)</f>
        <v>13622</v>
      </c>
      <c r="D24" s="473"/>
      <c r="E24" s="471"/>
      <c r="F24" s="2808">
        <f>'数据-取费表'!B38</f>
        <v>0.03</v>
      </c>
      <c r="G24" s="2773" t="s">
        <v>499</v>
      </c>
      <c r="H24" s="2767"/>
      <c r="I24" s="2767"/>
      <c r="J24" s="2767"/>
      <c r="K24" s="277"/>
      <c r="L24" s="2100"/>
      <c r="M24" s="2100"/>
      <c r="N24" s="2100"/>
    </row>
    <row r="25" spans="1:14" s="2101" customFormat="1" ht="13.5" customHeight="1">
      <c r="A25" s="2802" t="s">
        <v>1859</v>
      </c>
      <c r="B25" s="2983" t="s">
        <v>2832</v>
      </c>
      <c r="C25" s="465">
        <f>ROUND(F25/(1+'数据-取费表'!C42),4)</f>
        <v>2.9000000000000001E-2</v>
      </c>
      <c r="D25" s="460" t="s">
        <v>2826</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4" t="s">
        <v>2833</v>
      </c>
      <c r="C26" s="2809">
        <f ca="1">C28</f>
        <v>3540</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2835</v>
      </c>
      <c r="C28" s="2812">
        <f ca="1">ROUND(IF('数据-取费表'!B22&lt;=1,(C18+C19+C20+C23+C24)*F26*'数据-取费表'!B24/2,(C18+C19+C20+C23+C24)*(POWER((1+F26),'数据-取费表'!B24/2)-1)),0)</f>
        <v>3540</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24218</v>
      </c>
      <c r="D29" s="466"/>
      <c r="E29" s="466"/>
      <c r="F29" s="2985">
        <f>'数据-取费表'!B41</f>
        <v>5.6000000000000001E-2</v>
      </c>
      <c r="G29" s="2773" t="s">
        <v>498</v>
      </c>
      <c r="H29" s="2765"/>
      <c r="I29" s="2765"/>
      <c r="J29" s="2765"/>
      <c r="K29" s="2766"/>
    </row>
    <row r="30" spans="1:14" s="2103" customFormat="1" ht="13.5" customHeight="1">
      <c r="A30" s="1617" t="s">
        <v>1862</v>
      </c>
      <c r="B30" s="2814" t="s">
        <v>500</v>
      </c>
      <c r="C30" s="2809">
        <f ca="1">C31</f>
        <v>87037</v>
      </c>
      <c r="D30" s="475">
        <f ca="1">C32</f>
        <v>0.15559999999999999</v>
      </c>
      <c r="E30" s="467" t="s">
        <v>495</v>
      </c>
      <c r="F30" s="469"/>
      <c r="G30" s="2772" t="s">
        <v>2960</v>
      </c>
      <c r="H30" s="2765"/>
      <c r="I30" s="2765"/>
      <c r="J30" s="2765"/>
      <c r="K30" s="2766"/>
    </row>
    <row r="31" spans="1:14" s="2102" customFormat="1" ht="13.5" customHeight="1">
      <c r="A31" s="801" t="s">
        <v>1855</v>
      </c>
      <c r="B31" s="2810"/>
      <c r="C31" s="448">
        <f ca="1">C18+C19+C20+C23+C24+C26+C29</f>
        <v>87037</v>
      </c>
      <c r="D31" s="470"/>
      <c r="E31" s="471"/>
      <c r="F31" s="472"/>
      <c r="G31" s="259"/>
      <c r="H31" s="2767"/>
      <c r="I31" s="2767"/>
      <c r="J31" s="2767"/>
      <c r="K31" s="277"/>
    </row>
    <row r="32" spans="1:14" s="2102" customFormat="1" ht="13.5" customHeight="1">
      <c r="A32" s="801" t="s">
        <v>1856</v>
      </c>
      <c r="B32" s="2810"/>
      <c r="C32" s="53">
        <f ca="1">ROUND(C25+D26,4)</f>
        <v>0.15559999999999999</v>
      </c>
      <c r="D32" s="470"/>
      <c r="E32" s="471"/>
      <c r="F32" s="472"/>
      <c r="G32" s="259"/>
      <c r="H32" s="2767"/>
      <c r="I32" s="2767"/>
      <c r="J32" s="2767"/>
      <c r="K32" s="277"/>
    </row>
    <row r="33" spans="1:11" s="2104" customFormat="1" ht="13.5" customHeight="1">
      <c r="A33" s="2982" t="s">
        <v>2830</v>
      </c>
      <c r="B33" s="2980" t="s">
        <v>2828</v>
      </c>
      <c r="C33" s="476">
        <f ca="1">C35</f>
        <v>8299</v>
      </c>
      <c r="D33" s="465">
        <f ca="1">C34</f>
        <v>0.14410000000000001</v>
      </c>
      <c r="E33" s="467" t="s">
        <v>495</v>
      </c>
      <c r="F33" s="477">
        <f ca="1">IF(B1="",'数据-取费表'!Q16,INDIRECT("'数据-取费表'!q"&amp;$K$1))</f>
        <v>0.14000000000000001</v>
      </c>
      <c r="G33" s="2768"/>
      <c r="H33" s="2769"/>
      <c r="I33" s="2769"/>
      <c r="J33" s="2769"/>
      <c r="K33" s="2770"/>
    </row>
    <row r="34" spans="1:11" s="2105" customFormat="1" ht="13.5" customHeight="1">
      <c r="A34" s="373" t="s">
        <v>1855</v>
      </c>
      <c r="B34" s="2815" t="s">
        <v>501</v>
      </c>
      <c r="C34" s="470">
        <f ca="1">ROUND((1+C25)*F33,4)</f>
        <v>0.14410000000000001</v>
      </c>
      <c r="D34" s="470"/>
      <c r="E34" s="471"/>
      <c r="F34" s="478"/>
      <c r="G34" s="259" t="s">
        <v>2287</v>
      </c>
      <c r="H34" s="2767"/>
      <c r="I34" s="2767"/>
      <c r="J34" s="2767"/>
      <c r="K34" s="277"/>
    </row>
    <row r="35" spans="1:11" s="2105" customFormat="1" ht="13.5" customHeight="1" thickBot="1">
      <c r="A35" s="1618" t="s">
        <v>1856</v>
      </c>
      <c r="B35" s="2981" t="s">
        <v>2836</v>
      </c>
      <c r="C35" s="1610">
        <f ca="1">ROUND((C18+C19+C20+C23+C24)*F33,0)</f>
        <v>8299</v>
      </c>
      <c r="D35" s="1611"/>
      <c r="E35" s="2816"/>
      <c r="F35" s="1612"/>
      <c r="G35" s="2774"/>
      <c r="H35" s="2775"/>
      <c r="I35" s="2775"/>
      <c r="J35" s="2775"/>
      <c r="K35" s="2776"/>
    </row>
    <row r="36" spans="1:11" s="2067" customFormat="1" ht="13.5" customHeight="1" thickBot="1">
      <c r="A36" s="282" t="s">
        <v>1843</v>
      </c>
      <c r="B36" s="2778"/>
      <c r="C36" s="2817">
        <f ca="1">ROUND((C6-C30-C33)/(1+D30+D33),0)</f>
        <v>276022</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19" t="s">
        <v>466</v>
      </c>
      <c r="B1" s="2761"/>
      <c r="C1" s="2086"/>
      <c r="D1" s="2086"/>
      <c r="E1" s="2086"/>
      <c r="F1" s="2086"/>
      <c r="G1" s="2086"/>
      <c r="H1" s="2086"/>
      <c r="I1" s="2086"/>
      <c r="J1" s="2086"/>
      <c r="K1" s="420">
        <f>MATCH(B1,'数据-取费表'!A6:A16,0)+5</f>
        <v>10</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2649</v>
      </c>
      <c r="B6" s="431"/>
      <c r="C6" s="1605">
        <f>SUM(C10:K10)</f>
        <v>0</v>
      </c>
      <c r="D6" s="2091"/>
      <c r="E6" s="2091"/>
      <c r="F6" s="2091"/>
      <c r="G6" s="2091"/>
      <c r="H6" s="2091"/>
      <c r="I6" s="2091"/>
      <c r="J6" s="2091"/>
      <c r="K6" s="2092"/>
    </row>
    <row r="7" spans="1:41" s="2095" customFormat="1" ht="14.4">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36770</v>
      </c>
      <c r="D13" s="449"/>
      <c r="E13" s="363"/>
      <c r="F13" s="450"/>
      <c r="G13" s="442"/>
      <c r="H13" s="445"/>
      <c r="I13" s="445"/>
      <c r="J13" s="445"/>
      <c r="K13" s="446"/>
    </row>
    <row r="14" spans="1:41" s="2098" customFormat="1" ht="13.5" customHeight="1">
      <c r="A14" s="1615" t="s">
        <v>1848</v>
      </c>
      <c r="B14" s="447" t="s">
        <v>480</v>
      </c>
      <c r="C14" s="53">
        <f ca="1">ROUND(C13*F14,0)</f>
        <v>1839</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1263</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2186</v>
      </c>
      <c r="D16" s="449">
        <f ca="1">IF(B1="",'数据-汇总表'!E3,INDIRECT("'数据-取费表'!K"&amp;$K$1)+INDIRECT("'数据-取费表'!S"&amp;$K$1))</f>
        <v>109310.18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552</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42610</v>
      </c>
      <c r="D18" s="459"/>
      <c r="E18" s="460"/>
      <c r="F18" s="460"/>
      <c r="G18" s="1321" t="s">
        <v>2429</v>
      </c>
      <c r="H18" s="445"/>
      <c r="I18" s="445"/>
      <c r="J18" s="445"/>
      <c r="K18" s="446"/>
    </row>
    <row r="19" spans="1:14" s="2101" customFormat="1" ht="13.5" customHeight="1">
      <c r="A19" s="1616" t="s">
        <v>1853</v>
      </c>
      <c r="B19" s="457" t="s">
        <v>493</v>
      </c>
      <c r="C19" s="458">
        <f ca="1">ROUND(C18*F19,0)</f>
        <v>1065</v>
      </c>
      <c r="D19" s="460"/>
      <c r="E19" s="460"/>
      <c r="F19" s="464">
        <f>'数据-取费表'!B37</f>
        <v>2.5000000000000001E-2</v>
      </c>
      <c r="G19" s="442" t="s">
        <v>503</v>
      </c>
      <c r="H19" s="445"/>
      <c r="I19" s="445"/>
      <c r="J19" s="445"/>
      <c r="K19" s="446"/>
      <c r="L19" s="2103"/>
      <c r="M19" s="2103"/>
      <c r="N19" s="2103"/>
    </row>
    <row r="20" spans="1:14" s="2101" customFormat="1" ht="13.5" customHeight="1">
      <c r="A20" s="1616" t="s">
        <v>1854</v>
      </c>
      <c r="B20" s="457" t="s">
        <v>504</v>
      </c>
      <c r="C20" s="2978">
        <f>F20</f>
        <v>0.03</v>
      </c>
      <c r="D20" s="467" t="s">
        <v>505</v>
      </c>
      <c r="E20" s="467"/>
      <c r="F20" s="484">
        <f>'数据-取费表'!B38</f>
        <v>0.03</v>
      </c>
      <c r="G20" s="1321" t="s">
        <v>506</v>
      </c>
      <c r="H20" s="445"/>
      <c r="I20" s="445"/>
      <c r="J20" s="445"/>
      <c r="K20" s="446"/>
      <c r="L20" s="2103"/>
      <c r="M20" s="2103"/>
      <c r="N20" s="2103"/>
    </row>
    <row r="21" spans="1:14" s="2103" customFormat="1" ht="13.5" customHeight="1">
      <c r="A21" s="1616" t="s">
        <v>1857</v>
      </c>
      <c r="B21" s="459" t="s">
        <v>494</v>
      </c>
      <c r="C21" s="468">
        <f ca="1">C22</f>
        <v>2608</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2" t="s">
        <v>2432</v>
      </c>
      <c r="C22" s="485">
        <f ca="1">ROUND(IF('数据-取费表'!B22&lt;=1,(C18+C19)*F21*'数据-取费表'!B20/2,(C18+C19)*(POWER((1+F21),'数据-取费表'!B20/2)-1)),0)</f>
        <v>2608</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2"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0" t="s">
        <v>2829</v>
      </c>
      <c r="C24" s="476">
        <f ca="1">C25</f>
        <v>6115</v>
      </c>
      <c r="D24" s="487">
        <f ca="1">C26</f>
        <v>4.1999999999999997E-3</v>
      </c>
      <c r="E24" s="467" t="s">
        <v>507</v>
      </c>
      <c r="F24" s="477">
        <f ca="1">IF(B1="",'数据-取费表'!Q16,INDIRECT("'数据-取费表'!q"&amp;$K$1))</f>
        <v>0.14000000000000001</v>
      </c>
      <c r="G24" s="442"/>
      <c r="H24" s="445"/>
      <c r="I24" s="445"/>
      <c r="J24" s="445"/>
      <c r="K24" s="446"/>
    </row>
    <row r="25" spans="1:14" s="2102" customFormat="1" ht="13.5" customHeight="1">
      <c r="A25" s="1615" t="s">
        <v>1847</v>
      </c>
      <c r="B25" s="1322" t="s">
        <v>2433</v>
      </c>
      <c r="C25" s="488">
        <f ca="1">ROUND((C18+C19)*F24,0)</f>
        <v>6115</v>
      </c>
      <c r="D25" s="470"/>
      <c r="E25" s="471"/>
      <c r="F25" s="478"/>
      <c r="G25" s="1320" t="s">
        <v>2430</v>
      </c>
      <c r="H25" s="455"/>
      <c r="I25" s="455"/>
      <c r="J25" s="455"/>
      <c r="K25" s="456"/>
    </row>
    <row r="26" spans="1:14" s="2102" customFormat="1" ht="13.5" customHeight="1">
      <c r="A26" s="1615" t="s">
        <v>1848</v>
      </c>
      <c r="B26" s="1322" t="s">
        <v>509</v>
      </c>
      <c r="C26" s="489">
        <f ca="1">ROUND(F20*F24,4)</f>
        <v>4.1999999999999997E-3</v>
      </c>
      <c r="D26" s="470"/>
      <c r="E26" s="479"/>
      <c r="F26" s="478"/>
      <c r="G26" s="1320" t="s">
        <v>510</v>
      </c>
      <c r="H26" s="455"/>
      <c r="I26" s="455"/>
      <c r="J26" s="455"/>
      <c r="K26" s="456"/>
    </row>
    <row r="27" spans="1:14" s="2102" customFormat="1" ht="13.5" customHeight="1">
      <c r="A27" s="1619" t="s">
        <v>1866</v>
      </c>
      <c r="B27" s="457" t="s">
        <v>511</v>
      </c>
      <c r="C27" s="2979">
        <f>ROUND(F27/(1+'数据-取费表'!C42),4)</f>
        <v>5.33E-2</v>
      </c>
      <c r="D27" s="460" t="s">
        <v>2827</v>
      </c>
      <c r="E27" s="460"/>
      <c r="F27" s="464">
        <f>'数据-取费表'!B41</f>
        <v>5.6000000000000001E-2</v>
      </c>
      <c r="G27" s="1942" t="s">
        <v>2288</v>
      </c>
      <c r="H27" s="445"/>
      <c r="I27" s="445"/>
      <c r="J27" s="445"/>
      <c r="K27" s="446"/>
    </row>
    <row r="28" spans="1:14" s="2103" customFormat="1" ht="13.5" customHeight="1">
      <c r="A28" s="1619" t="s">
        <v>1867</v>
      </c>
      <c r="B28" s="474" t="s">
        <v>512</v>
      </c>
      <c r="C28" s="468">
        <f ca="1">ROUND((C18+C19+C21+C24)/(1-C20-D21-D24-C27),0)</f>
        <v>57536</v>
      </c>
      <c r="D28" s="475"/>
      <c r="E28" s="467"/>
      <c r="F28" s="469"/>
      <c r="G28" s="1321"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1864</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4.4">
      <c r="A6" s="510" t="s">
        <v>521</v>
      </c>
      <c r="B6" s="511"/>
      <c r="C6" s="3387" t="s">
        <v>522</v>
      </c>
      <c r="D6" s="3388"/>
      <c r="E6" s="3424" t="s">
        <v>523</v>
      </c>
      <c r="F6" s="3425"/>
      <c r="G6" s="3387" t="s">
        <v>524</v>
      </c>
      <c r="H6" s="3388"/>
      <c r="I6" s="3387" t="s">
        <v>525</v>
      </c>
      <c r="J6" s="3388"/>
      <c r="K6" s="512" t="s">
        <v>526</v>
      </c>
      <c r="L6" s="2115"/>
      <c r="M6" s="2116"/>
      <c r="N6" s="2116"/>
      <c r="O6" s="2116"/>
      <c r="P6" s="3389" t="s">
        <v>527</v>
      </c>
      <c r="Q6" s="3390"/>
      <c r="R6" s="3395" t="s">
        <v>523</v>
      </c>
      <c r="S6" s="3396"/>
      <c r="T6" s="3395" t="s">
        <v>524</v>
      </c>
      <c r="U6" s="3396"/>
      <c r="V6" s="3382" t="s">
        <v>525</v>
      </c>
      <c r="W6" s="3382"/>
      <c r="X6" s="1550"/>
      <c r="Y6" s="3395" t="s">
        <v>527</v>
      </c>
      <c r="Z6" s="3396"/>
      <c r="AA6" s="3384" t="s">
        <v>523</v>
      </c>
      <c r="AB6" s="3385" t="s">
        <v>524</v>
      </c>
      <c r="AC6" s="3384" t="s">
        <v>525</v>
      </c>
    </row>
    <row r="7" spans="1:29">
      <c r="A7" s="513"/>
      <c r="B7" s="514"/>
      <c r="C7" s="3403" t="s">
        <v>2918</v>
      </c>
      <c r="D7" s="3404"/>
      <c r="E7" s="3408" t="s">
        <v>2919</v>
      </c>
      <c r="F7" s="3409"/>
      <c r="G7" s="3403" t="s">
        <v>2920</v>
      </c>
      <c r="H7" s="3404"/>
      <c r="I7" s="3403" t="s">
        <v>2921</v>
      </c>
      <c r="J7" s="3404"/>
      <c r="K7" s="512"/>
      <c r="L7" s="2115"/>
      <c r="M7" s="2116"/>
      <c r="N7" s="2116"/>
      <c r="O7" s="2116"/>
      <c r="P7" s="3391"/>
      <c r="Q7" s="3392"/>
      <c r="R7" s="3397"/>
      <c r="S7" s="3398"/>
      <c r="T7" s="3397"/>
      <c r="U7" s="3398"/>
      <c r="V7" s="3382"/>
      <c r="W7" s="3382"/>
      <c r="X7" s="1550"/>
      <c r="Y7" s="3397"/>
      <c r="Z7" s="3398"/>
      <c r="AA7" s="3385"/>
      <c r="AB7" s="3385"/>
      <c r="AC7" s="3385"/>
    </row>
    <row r="8" spans="1:29" ht="15" thickBot="1">
      <c r="A8" s="515"/>
      <c r="B8" s="516"/>
      <c r="C8" s="3422" t="s">
        <v>2922</v>
      </c>
      <c r="D8" s="3423"/>
      <c r="E8" s="3407" t="s">
        <v>2922</v>
      </c>
      <c r="F8" s="3402"/>
      <c r="G8" s="3422" t="s">
        <v>2922</v>
      </c>
      <c r="H8" s="3423"/>
      <c r="I8" s="3422" t="s">
        <v>2922</v>
      </c>
      <c r="J8" s="3423"/>
      <c r="K8" s="512" t="s">
        <v>528</v>
      </c>
      <c r="L8" s="2115"/>
      <c r="M8" s="2116"/>
      <c r="N8" s="2116"/>
      <c r="O8" s="2116"/>
      <c r="P8" s="3393"/>
      <c r="Q8" s="3394"/>
      <c r="R8" s="3397"/>
      <c r="S8" s="3398"/>
      <c r="T8" s="3399"/>
      <c r="U8" s="3400"/>
      <c r="V8" s="3382"/>
      <c r="W8" s="3382"/>
      <c r="X8" s="1550"/>
      <c r="Y8" s="3399"/>
      <c r="Z8" s="3400"/>
      <c r="AA8" s="3386"/>
      <c r="AB8" s="3386"/>
      <c r="AC8" s="3386"/>
    </row>
    <row r="9" spans="1:29" s="1214" customFormat="1" ht="15" thickBot="1">
      <c r="A9" s="2864"/>
      <c r="B9" s="2871" t="s">
        <v>529</v>
      </c>
      <c r="C9" s="517">
        <f>'数据-取费表'!B2</f>
        <v>43832</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5" t="s">
        <v>530</v>
      </c>
      <c r="Q9" s="3417"/>
      <c r="R9" s="1551" t="s">
        <v>8</v>
      </c>
      <c r="S9" s="1552">
        <f t="shared" ref="S9:S17" si="0">F9</f>
        <v>0</v>
      </c>
      <c r="T9" s="1551" t="s">
        <v>8</v>
      </c>
      <c r="U9" s="1552">
        <f t="shared" ref="U9:U17" si="1">H9</f>
        <v>0</v>
      </c>
      <c r="V9" s="1551" t="s">
        <v>8</v>
      </c>
      <c r="W9" s="1552">
        <f t="shared" ref="W9:W17" si="2">J9</f>
        <v>0</v>
      </c>
      <c r="X9" s="1553"/>
      <c r="Y9" s="3415" t="s">
        <v>530</v>
      </c>
      <c r="Z9" s="3416"/>
      <c r="AA9" s="1554" t="e">
        <f>D9/F9</f>
        <v>#DIV/0!</v>
      </c>
      <c r="AB9" s="1554" t="e">
        <f>D9/H9</f>
        <v>#DIV/0!</v>
      </c>
      <c r="AC9" s="1554" t="e">
        <f>D9/J9</f>
        <v>#DIV/0!</v>
      </c>
    </row>
    <row r="10" spans="1:29" s="1214" customFormat="1" ht="1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5" t="s">
        <v>533</v>
      </c>
      <c r="Q10" s="3416"/>
      <c r="R10" s="1551" t="s">
        <v>8</v>
      </c>
      <c r="S10" s="1552">
        <f t="shared" si="0"/>
        <v>0</v>
      </c>
      <c r="T10" s="1551" t="s">
        <v>8</v>
      </c>
      <c r="U10" s="1552">
        <f t="shared" si="1"/>
        <v>0</v>
      </c>
      <c r="V10" s="1551" t="s">
        <v>8</v>
      </c>
      <c r="W10" s="1552">
        <f t="shared" si="2"/>
        <v>0</v>
      </c>
      <c r="X10" s="1553"/>
      <c r="Y10" s="3415" t="s">
        <v>533</v>
      </c>
      <c r="Z10" s="3416"/>
      <c r="AA10" s="1554" t="e">
        <f t="shared" ref="AA10:AA42" si="3">D10/F10</f>
        <v>#DIV/0!</v>
      </c>
      <c r="AB10" s="1554" t="e">
        <f t="shared" ref="AB10:AB42" si="4">D10/H10</f>
        <v>#DIV/0!</v>
      </c>
      <c r="AC10" s="1554" t="e">
        <f t="shared" ref="AC10:AC42" si="5">D10/J10</f>
        <v>#DIV/0!</v>
      </c>
    </row>
    <row r="11" spans="1:29" s="1214" customFormat="1" ht="14.4">
      <c r="A11" s="2866"/>
      <c r="B11" s="2873" t="s">
        <v>2753</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81" t="s">
        <v>535</v>
      </c>
      <c r="Q11" s="1145" t="str">
        <f t="shared" ref="Q11:Q17" si="6">B11</f>
        <v>用途</v>
      </c>
      <c r="R11" s="1551" t="s">
        <v>8</v>
      </c>
      <c r="S11" s="1552">
        <f t="shared" si="0"/>
        <v>100</v>
      </c>
      <c r="T11" s="1551" t="s">
        <v>8</v>
      </c>
      <c r="U11" s="1552">
        <f t="shared" si="1"/>
        <v>100</v>
      </c>
      <c r="V11" s="1551" t="s">
        <v>8</v>
      </c>
      <c r="W11" s="1552">
        <f t="shared" si="2"/>
        <v>100</v>
      </c>
      <c r="X11" s="1553"/>
      <c r="Y11" s="3327" t="s">
        <v>536</v>
      </c>
      <c r="Z11" s="1144" t="str">
        <f t="shared" ref="Z11:Z17" si="7">Q11</f>
        <v>用途</v>
      </c>
      <c r="AA11" s="1554">
        <f t="shared" si="3"/>
        <v>1</v>
      </c>
      <c r="AB11" s="1554">
        <f t="shared" si="4"/>
        <v>1</v>
      </c>
      <c r="AC11" s="1554">
        <f t="shared" si="5"/>
        <v>1</v>
      </c>
    </row>
    <row r="12" spans="1:29" s="1332" customFormat="1" ht="28.8">
      <c r="A12" s="2867"/>
      <c r="B12" s="2872" t="s">
        <v>2754</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381"/>
      <c r="Q12" s="1145" t="str">
        <f t="shared" si="6"/>
        <v>土地使用年限（年）</v>
      </c>
      <c r="R12" s="1551" t="s">
        <v>8</v>
      </c>
      <c r="S12" s="1552">
        <f t="shared" si="0"/>
        <v>108</v>
      </c>
      <c r="T12" s="1551" t="s">
        <v>8</v>
      </c>
      <c r="U12" s="1552">
        <f t="shared" si="1"/>
        <v>108</v>
      </c>
      <c r="V12" s="1551" t="s">
        <v>8</v>
      </c>
      <c r="W12" s="1552">
        <f t="shared" si="2"/>
        <v>108</v>
      </c>
      <c r="X12" s="1553"/>
      <c r="Y12" s="3327"/>
      <c r="Z12" s="1144" t="str">
        <f t="shared" si="7"/>
        <v>土地使用年限（年）</v>
      </c>
      <c r="AA12" s="1554">
        <f t="shared" si="3"/>
        <v>0.92592592592592593</v>
      </c>
      <c r="AB12" s="1554">
        <f t="shared" si="4"/>
        <v>0.92592592592592593</v>
      </c>
      <c r="AC12" s="1554">
        <f t="shared" si="5"/>
        <v>0.92592592592592593</v>
      </c>
    </row>
    <row r="13" spans="1:29" ht="15">
      <c r="A13" s="2868"/>
      <c r="B13" s="2872"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81"/>
      <c r="Q13" s="1145" t="str">
        <f t="shared" si="6"/>
        <v>容积率</v>
      </c>
      <c r="R13" s="1551" t="s">
        <v>8</v>
      </c>
      <c r="S13" s="1552" t="e">
        <f t="shared" si="0"/>
        <v>#N/A</v>
      </c>
      <c r="T13" s="1551" t="s">
        <v>8</v>
      </c>
      <c r="U13" s="1552" t="e">
        <f t="shared" si="1"/>
        <v>#N/A</v>
      </c>
      <c r="V13" s="1551" t="s">
        <v>8</v>
      </c>
      <c r="W13" s="1552" t="e">
        <f t="shared" si="2"/>
        <v>#N/A</v>
      </c>
      <c r="X13" s="1553"/>
      <c r="Y13" s="3327"/>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81"/>
      <c r="Q14" s="1145">
        <f t="shared" si="6"/>
        <v>111</v>
      </c>
      <c r="R14" s="1551" t="s">
        <v>8</v>
      </c>
      <c r="S14" s="1552">
        <f t="shared" si="0"/>
        <v>100</v>
      </c>
      <c r="T14" s="1551" t="s">
        <v>8</v>
      </c>
      <c r="U14" s="1552">
        <f t="shared" si="1"/>
        <v>100</v>
      </c>
      <c r="V14" s="1551" t="s">
        <v>8</v>
      </c>
      <c r="W14" s="1552">
        <f t="shared" si="2"/>
        <v>100</v>
      </c>
      <c r="X14" s="1553"/>
      <c r="Y14" s="3327"/>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81"/>
      <c r="Q15" s="1145">
        <f t="shared" si="6"/>
        <v>111</v>
      </c>
      <c r="R15" s="1551" t="s">
        <v>8</v>
      </c>
      <c r="S15" s="1552">
        <f t="shared" si="0"/>
        <v>100</v>
      </c>
      <c r="T15" s="1551" t="s">
        <v>8</v>
      </c>
      <c r="U15" s="1552">
        <f t="shared" si="1"/>
        <v>100</v>
      </c>
      <c r="V15" s="1551" t="s">
        <v>8</v>
      </c>
      <c r="W15" s="1552">
        <f t="shared" si="2"/>
        <v>100</v>
      </c>
      <c r="X15" s="1553"/>
      <c r="Y15" s="3327"/>
      <c r="Z15" s="1144">
        <f t="shared" si="7"/>
        <v>111</v>
      </c>
      <c r="AA15" s="1554">
        <f t="shared" si="3"/>
        <v>1</v>
      </c>
      <c r="AB15" s="1554">
        <f t="shared" si="4"/>
        <v>1</v>
      </c>
      <c r="AC15" s="1554">
        <f t="shared" si="5"/>
        <v>1</v>
      </c>
    </row>
    <row r="16" spans="1:29" ht="15.6"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81"/>
      <c r="Q16" s="1145">
        <f t="shared" si="6"/>
        <v>111</v>
      </c>
      <c r="R16" s="1551" t="s">
        <v>8</v>
      </c>
      <c r="S16" s="1552">
        <f t="shared" si="0"/>
        <v>100</v>
      </c>
      <c r="T16" s="1551" t="s">
        <v>8</v>
      </c>
      <c r="U16" s="1552">
        <f t="shared" si="1"/>
        <v>100</v>
      </c>
      <c r="V16" s="1551" t="s">
        <v>8</v>
      </c>
      <c r="W16" s="1552">
        <f t="shared" si="2"/>
        <v>100</v>
      </c>
      <c r="X16" s="1553"/>
      <c r="Y16" s="3327"/>
      <c r="Z16" s="1144">
        <f t="shared" si="7"/>
        <v>111</v>
      </c>
      <c r="AA16" s="1554">
        <f t="shared" si="3"/>
        <v>1</v>
      </c>
      <c r="AB16" s="1554">
        <f t="shared" si="4"/>
        <v>1</v>
      </c>
      <c r="AC16" s="1554">
        <f t="shared" si="5"/>
        <v>1</v>
      </c>
    </row>
    <row r="17" spans="1:29" ht="15">
      <c r="A17" s="2862"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8" t="s">
        <v>540</v>
      </c>
      <c r="Q17" s="1555" t="str">
        <f t="shared" si="6"/>
        <v>产业集聚程度</v>
      </c>
      <c r="R17" s="1556" t="s">
        <v>8</v>
      </c>
      <c r="S17" s="1557">
        <f t="shared" si="0"/>
        <v>100</v>
      </c>
      <c r="T17" s="1556" t="s">
        <v>8</v>
      </c>
      <c r="U17" s="1557">
        <f t="shared" si="1"/>
        <v>100</v>
      </c>
      <c r="V17" s="1556" t="s">
        <v>8</v>
      </c>
      <c r="W17" s="1557">
        <f t="shared" si="2"/>
        <v>100</v>
      </c>
      <c r="X17" s="1550"/>
      <c r="Y17" s="3418"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19"/>
      <c r="Q18" s="1555"/>
      <c r="R18" s="1556"/>
      <c r="S18" s="1557"/>
      <c r="T18" s="1556"/>
      <c r="U18" s="1557"/>
      <c r="V18" s="1556"/>
      <c r="W18" s="1557"/>
      <c r="X18" s="1550"/>
      <c r="Y18" s="3419"/>
      <c r="Z18" s="1558"/>
      <c r="AA18" s="1559">
        <v>1</v>
      </c>
      <c r="AB18" s="1559">
        <v>1</v>
      </c>
      <c r="AC18" s="1559">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19"/>
      <c r="Q19" s="1555" t="str">
        <f>B19</f>
        <v>交通便捷度</v>
      </c>
      <c r="R19" s="1556" t="s">
        <v>8</v>
      </c>
      <c r="S19" s="1557">
        <f>F19</f>
        <v>100</v>
      </c>
      <c r="T19" s="1556" t="s">
        <v>8</v>
      </c>
      <c r="U19" s="1557">
        <f>H19</f>
        <v>100</v>
      </c>
      <c r="V19" s="1556" t="s">
        <v>8</v>
      </c>
      <c r="W19" s="1557">
        <f>J19</f>
        <v>100</v>
      </c>
      <c r="X19" s="1550"/>
      <c r="Y19" s="3419"/>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19"/>
      <c r="Q20" s="1555"/>
      <c r="R20" s="1556"/>
      <c r="S20" s="1557"/>
      <c r="T20" s="1556"/>
      <c r="U20" s="1557"/>
      <c r="V20" s="1556"/>
      <c r="W20" s="1557"/>
      <c r="X20" s="1550"/>
      <c r="Y20" s="3419"/>
      <c r="Z20" s="1558"/>
      <c r="AA20" s="1559">
        <v>1</v>
      </c>
      <c r="AB20" s="1559">
        <v>1</v>
      </c>
      <c r="AC20" s="1559">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419"/>
      <c r="Q21" s="1555" t="str">
        <f t="shared" ref="Q21:Q35" si="8">B21</f>
        <v>区域土地利用方向</v>
      </c>
      <c r="R21" s="1556" t="s">
        <v>8</v>
      </c>
      <c r="S21" s="1557">
        <f>F21</f>
        <v>100</v>
      </c>
      <c r="T21" s="1556" t="s">
        <v>8</v>
      </c>
      <c r="U21" s="1557">
        <f>H21</f>
        <v>100</v>
      </c>
      <c r="V21" s="1556" t="s">
        <v>8</v>
      </c>
      <c r="W21" s="1557">
        <f>J21</f>
        <v>100</v>
      </c>
      <c r="X21" s="1550"/>
      <c r="Y21" s="3419"/>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419"/>
      <c r="Q22" s="1555"/>
      <c r="R22" s="1556"/>
      <c r="S22" s="1557"/>
      <c r="T22" s="1556"/>
      <c r="U22" s="1557"/>
      <c r="V22" s="1556"/>
      <c r="W22" s="1557"/>
      <c r="X22" s="1550"/>
      <c r="Y22" s="3419"/>
      <c r="Z22" s="1558"/>
      <c r="AA22" s="1559"/>
      <c r="AB22" s="1559"/>
      <c r="AC22" s="1559"/>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19"/>
      <c r="Q23" s="1555" t="str">
        <f t="shared" si="8"/>
        <v>环境状况</v>
      </c>
      <c r="R23" s="1556" t="s">
        <v>8</v>
      </c>
      <c r="S23" s="1557">
        <f>F23</f>
        <v>100</v>
      </c>
      <c r="T23" s="1556" t="s">
        <v>8</v>
      </c>
      <c r="U23" s="1557">
        <f>H23</f>
        <v>100</v>
      </c>
      <c r="V23" s="1556" t="s">
        <v>8</v>
      </c>
      <c r="W23" s="1557">
        <f>J23</f>
        <v>100</v>
      </c>
      <c r="X23" s="1550"/>
      <c r="Y23" s="3419"/>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19"/>
      <c r="Q24" s="1555"/>
      <c r="R24" s="1556"/>
      <c r="S24" s="1557"/>
      <c r="T24" s="1556"/>
      <c r="U24" s="1557"/>
      <c r="V24" s="1556"/>
      <c r="W24" s="1557"/>
      <c r="X24" s="1550"/>
      <c r="Y24" s="3419"/>
      <c r="Z24" s="1558"/>
      <c r="AA24" s="1559">
        <v>1</v>
      </c>
      <c r="AB24" s="1559">
        <v>1</v>
      </c>
      <c r="AC24" s="1559">
        <v>1</v>
      </c>
    </row>
    <row r="25" spans="1:29" s="1214" customFormat="1" ht="15">
      <c r="A25" s="575"/>
      <c r="B25" s="2554"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19"/>
      <c r="Q25" s="1145" t="str">
        <f t="shared" si="8"/>
        <v>公共配套设施</v>
      </c>
      <c r="R25" s="1551" t="s">
        <v>8</v>
      </c>
      <c r="S25" s="1552">
        <f>F25</f>
        <v>100</v>
      </c>
      <c r="T25" s="1551" t="s">
        <v>8</v>
      </c>
      <c r="U25" s="1552">
        <f>H25</f>
        <v>100</v>
      </c>
      <c r="V25" s="1551" t="s">
        <v>8</v>
      </c>
      <c r="W25" s="1552">
        <f>J25</f>
        <v>100</v>
      </c>
      <c r="X25" s="1553"/>
      <c r="Y25" s="3419"/>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419"/>
      <c r="Q26" s="1145"/>
      <c r="R26" s="1551"/>
      <c r="S26" s="1552"/>
      <c r="T26" s="1551"/>
      <c r="U26" s="1552"/>
      <c r="V26" s="1551"/>
      <c r="W26" s="1552"/>
      <c r="X26" s="1553"/>
      <c r="Y26" s="3419"/>
      <c r="Z26" s="1144"/>
      <c r="AA26" s="1554">
        <v>1</v>
      </c>
      <c r="AB26" s="1554">
        <v>1</v>
      </c>
      <c r="AC26" s="1554">
        <v>1</v>
      </c>
    </row>
    <row r="27" spans="1:29" s="1214" customFormat="1" ht="15">
      <c r="A27" s="575"/>
      <c r="B27" s="2554"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19"/>
      <c r="Q27" s="2539" t="str">
        <f t="shared" ref="Q27" si="9">B27</f>
        <v>基础设施水平</v>
      </c>
      <c r="R27" s="1551" t="s">
        <v>8</v>
      </c>
      <c r="S27" s="1552">
        <f>F27</f>
        <v>100</v>
      </c>
      <c r="T27" s="1551" t="s">
        <v>8</v>
      </c>
      <c r="U27" s="1552">
        <f>H27</f>
        <v>100</v>
      </c>
      <c r="V27" s="1551" t="s">
        <v>8</v>
      </c>
      <c r="W27" s="1552">
        <f>J27</f>
        <v>100</v>
      </c>
      <c r="X27" s="1553"/>
      <c r="Y27" s="3419"/>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419"/>
      <c r="Q28" s="2539"/>
      <c r="R28" s="1551"/>
      <c r="S28" s="1552"/>
      <c r="T28" s="1551"/>
      <c r="U28" s="1552"/>
      <c r="V28" s="1551"/>
      <c r="W28" s="1552"/>
      <c r="X28" s="1553"/>
      <c r="Y28" s="3419"/>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19"/>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19"/>
      <c r="Z29" s="1558" t="str">
        <f t="shared" ref="Z29:Z42" si="13">Q29</f>
        <v>临街状况</v>
      </c>
      <c r="AA29" s="1559">
        <f t="shared" si="3"/>
        <v>1</v>
      </c>
      <c r="AB29" s="1559">
        <f t="shared" si="4"/>
        <v>1</v>
      </c>
      <c r="AC29" s="1559">
        <f t="shared" si="5"/>
        <v>1</v>
      </c>
    </row>
    <row r="30" spans="1:29" ht="28.8">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19"/>
      <c r="Q30" s="1555" t="str">
        <f t="shared" si="8"/>
        <v>毗邻道路的类型与等级</v>
      </c>
      <c r="R30" s="1556" t="s">
        <v>8</v>
      </c>
      <c r="S30" s="1557">
        <f t="shared" si="10"/>
        <v>100</v>
      </c>
      <c r="T30" s="1556" t="s">
        <v>8</v>
      </c>
      <c r="U30" s="1557">
        <f t="shared" si="11"/>
        <v>100</v>
      </c>
      <c r="V30" s="1556" t="s">
        <v>8</v>
      </c>
      <c r="W30" s="1557">
        <f t="shared" si="12"/>
        <v>100</v>
      </c>
      <c r="X30" s="1550"/>
      <c r="Y30" s="3419"/>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19"/>
      <c r="Q31" s="1555"/>
      <c r="R31" s="1556"/>
      <c r="S31" s="1557"/>
      <c r="T31" s="1556"/>
      <c r="U31" s="1557"/>
      <c r="V31" s="1556"/>
      <c r="W31" s="1557"/>
      <c r="X31" s="1550"/>
      <c r="Y31" s="3419"/>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19"/>
      <c r="Q32" s="1555" t="str">
        <f t="shared" si="8"/>
        <v>土地级别</v>
      </c>
      <c r="R32" s="1556" t="s">
        <v>8</v>
      </c>
      <c r="S32" s="1557">
        <f t="shared" si="10"/>
        <v>100</v>
      </c>
      <c r="T32" s="1556" t="s">
        <v>8</v>
      </c>
      <c r="U32" s="1557">
        <f t="shared" si="11"/>
        <v>100</v>
      </c>
      <c r="V32" s="1556" t="s">
        <v>8</v>
      </c>
      <c r="W32" s="1557">
        <f t="shared" si="12"/>
        <v>100</v>
      </c>
      <c r="X32" s="1550"/>
      <c r="Y32" s="3419"/>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19"/>
      <c r="Q33" s="1555">
        <f t="shared" si="8"/>
        <v>111</v>
      </c>
      <c r="R33" s="1556" t="s">
        <v>8</v>
      </c>
      <c r="S33" s="1557">
        <f t="shared" si="10"/>
        <v>100</v>
      </c>
      <c r="T33" s="1556" t="s">
        <v>8</v>
      </c>
      <c r="U33" s="1557">
        <f t="shared" si="11"/>
        <v>100</v>
      </c>
      <c r="V33" s="1556" t="s">
        <v>8</v>
      </c>
      <c r="W33" s="1557">
        <f t="shared" si="12"/>
        <v>100</v>
      </c>
      <c r="X33" s="1550"/>
      <c r="Y33" s="3419"/>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20" t="s">
        <v>550</v>
      </c>
      <c r="Q34" s="1555">
        <f t="shared" si="8"/>
        <v>111</v>
      </c>
      <c r="R34" s="1556" t="s">
        <v>8</v>
      </c>
      <c r="S34" s="1557">
        <f t="shared" si="10"/>
        <v>100</v>
      </c>
      <c r="T34" s="1556" t="s">
        <v>8</v>
      </c>
      <c r="U34" s="1557">
        <f t="shared" si="11"/>
        <v>100</v>
      </c>
      <c r="V34" s="1556" t="s">
        <v>8</v>
      </c>
      <c r="W34" s="1557">
        <f t="shared" si="12"/>
        <v>100</v>
      </c>
      <c r="X34" s="1550"/>
      <c r="Y34" s="3421" t="s">
        <v>550</v>
      </c>
      <c r="Z34" s="1558">
        <f t="shared" si="13"/>
        <v>111</v>
      </c>
      <c r="AA34" s="1559">
        <f t="shared" si="3"/>
        <v>1</v>
      </c>
      <c r="AB34" s="1559">
        <f t="shared" si="4"/>
        <v>1</v>
      </c>
      <c r="AC34" s="1559">
        <f t="shared" si="5"/>
        <v>1</v>
      </c>
    </row>
    <row r="35" spans="1:29" s="1333" customFormat="1" ht="15.6"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1"/>
      <c r="Q35" s="1555">
        <f t="shared" si="8"/>
        <v>111</v>
      </c>
      <c r="R35" s="1560" t="s">
        <v>8</v>
      </c>
      <c r="S35" s="1561">
        <f t="shared" si="10"/>
        <v>100</v>
      </c>
      <c r="T35" s="1560" t="s">
        <v>8</v>
      </c>
      <c r="U35" s="1561">
        <f t="shared" si="11"/>
        <v>100</v>
      </c>
      <c r="V35" s="1560" t="s">
        <v>8</v>
      </c>
      <c r="W35" s="1561">
        <f t="shared" si="12"/>
        <v>100</v>
      </c>
      <c r="X35" s="1562"/>
      <c r="Y35" s="3421"/>
      <c r="Z35" s="1563">
        <f t="shared" si="13"/>
        <v>111</v>
      </c>
      <c r="AA35" s="1559">
        <f t="shared" si="3"/>
        <v>1</v>
      </c>
      <c r="AB35" s="1559">
        <f t="shared" si="4"/>
        <v>1</v>
      </c>
      <c r="AC35" s="1559">
        <f t="shared" si="5"/>
        <v>1</v>
      </c>
    </row>
    <row r="36" spans="1:29" ht="15">
      <c r="A36" s="2859"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1"/>
      <c r="Q36" s="1555" t="str">
        <f>B36</f>
        <v>宗地面积</v>
      </c>
      <c r="R36" s="1556" t="s">
        <v>8</v>
      </c>
      <c r="S36" s="1557" t="e">
        <f t="shared" si="10"/>
        <v>#N/A</v>
      </c>
      <c r="T36" s="1556" t="s">
        <v>8</v>
      </c>
      <c r="U36" s="1557" t="e">
        <f t="shared" si="11"/>
        <v>#N/A</v>
      </c>
      <c r="V36" s="1556" t="s">
        <v>8</v>
      </c>
      <c r="W36" s="1557" t="e">
        <f t="shared" si="12"/>
        <v>#N/A</v>
      </c>
      <c r="X36" s="1550"/>
      <c r="Y36" s="3421"/>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1"/>
      <c r="Q37" s="1555" t="str">
        <f t="shared" ref="Q37:Q42" si="14">B37</f>
        <v>宗地形状</v>
      </c>
      <c r="R37" s="1556" t="s">
        <v>8</v>
      </c>
      <c r="S37" s="1557">
        <f t="shared" si="10"/>
        <v>100</v>
      </c>
      <c r="T37" s="1556" t="s">
        <v>8</v>
      </c>
      <c r="U37" s="1557">
        <f t="shared" si="11"/>
        <v>100</v>
      </c>
      <c r="V37" s="1556" t="s">
        <v>8</v>
      </c>
      <c r="W37" s="1557">
        <f t="shared" si="12"/>
        <v>100</v>
      </c>
      <c r="X37" s="1550"/>
      <c r="Y37" s="3421"/>
      <c r="Z37" s="1558" t="str">
        <f t="shared" si="13"/>
        <v>宗地形状</v>
      </c>
      <c r="AA37" s="1559">
        <f t="shared" si="3"/>
        <v>1</v>
      </c>
      <c r="AB37" s="1559">
        <f t="shared" si="4"/>
        <v>1</v>
      </c>
      <c r="AC37" s="1559">
        <f t="shared" si="5"/>
        <v>1</v>
      </c>
    </row>
    <row r="38" spans="1:29" s="1214"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1"/>
      <c r="Q38" s="1555" t="str">
        <f t="shared" si="14"/>
        <v>宗地开发程度</v>
      </c>
      <c r="R38" s="1551" t="s">
        <v>8</v>
      </c>
      <c r="S38" s="1552">
        <f t="shared" si="10"/>
        <v>100</v>
      </c>
      <c r="T38" s="1551" t="s">
        <v>8</v>
      </c>
      <c r="U38" s="1552">
        <f t="shared" si="11"/>
        <v>100</v>
      </c>
      <c r="V38" s="1551" t="s">
        <v>8</v>
      </c>
      <c r="W38" s="1552">
        <f t="shared" si="12"/>
        <v>100</v>
      </c>
      <c r="X38" s="1553"/>
      <c r="Y38" s="3421"/>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1" t="s">
        <v>601</v>
      </c>
      <c r="Q39" s="1555" t="str">
        <f t="shared" si="14"/>
        <v>工程地质条件</v>
      </c>
      <c r="R39" s="1556" t="s">
        <v>8</v>
      </c>
      <c r="S39" s="1557">
        <f t="shared" si="10"/>
        <v>100</v>
      </c>
      <c r="T39" s="1556" t="s">
        <v>8</v>
      </c>
      <c r="U39" s="1557">
        <f t="shared" si="11"/>
        <v>100</v>
      </c>
      <c r="V39" s="1556" t="s">
        <v>8</v>
      </c>
      <c r="W39" s="1557">
        <f t="shared" si="12"/>
        <v>100</v>
      </c>
      <c r="X39" s="1550"/>
      <c r="Y39" s="3421"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1"/>
      <c r="Q40" s="1555">
        <f t="shared" si="14"/>
        <v>111</v>
      </c>
      <c r="R40" s="1556" t="s">
        <v>8</v>
      </c>
      <c r="S40" s="1557">
        <f t="shared" si="10"/>
        <v>100</v>
      </c>
      <c r="T40" s="1556" t="s">
        <v>8</v>
      </c>
      <c r="U40" s="1557">
        <f t="shared" si="11"/>
        <v>100</v>
      </c>
      <c r="V40" s="1556" t="s">
        <v>8</v>
      </c>
      <c r="W40" s="1557">
        <f t="shared" si="12"/>
        <v>100</v>
      </c>
      <c r="X40" s="1550"/>
      <c r="Y40" s="3421"/>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1"/>
      <c r="Q41" s="1555">
        <f t="shared" si="14"/>
        <v>111</v>
      </c>
      <c r="R41" s="1556" t="s">
        <v>8</v>
      </c>
      <c r="S41" s="1557">
        <f t="shared" si="10"/>
        <v>100</v>
      </c>
      <c r="T41" s="1556" t="s">
        <v>8</v>
      </c>
      <c r="U41" s="1557">
        <f t="shared" si="11"/>
        <v>100</v>
      </c>
      <c r="V41" s="1556" t="s">
        <v>8</v>
      </c>
      <c r="W41" s="1557">
        <f t="shared" si="12"/>
        <v>100</v>
      </c>
      <c r="X41" s="1550"/>
      <c r="Y41" s="3421"/>
      <c r="Z41" s="1558">
        <f t="shared" si="13"/>
        <v>111</v>
      </c>
      <c r="AA41" s="1559">
        <f t="shared" si="3"/>
        <v>1</v>
      </c>
      <c r="AB41" s="1559">
        <f t="shared" si="4"/>
        <v>1</v>
      </c>
      <c r="AC41" s="1559">
        <f t="shared" si="5"/>
        <v>1</v>
      </c>
    </row>
    <row r="42" spans="1:29" s="1333"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1"/>
      <c r="Q42" s="1555">
        <f t="shared" si="14"/>
        <v>111</v>
      </c>
      <c r="R42" s="1560" t="s">
        <v>8</v>
      </c>
      <c r="S42" s="1561">
        <f t="shared" si="10"/>
        <v>100</v>
      </c>
      <c r="T42" s="1560" t="s">
        <v>8</v>
      </c>
      <c r="U42" s="1561">
        <f t="shared" si="11"/>
        <v>100</v>
      </c>
      <c r="V42" s="1560" t="s">
        <v>8</v>
      </c>
      <c r="W42" s="1561">
        <f t="shared" si="12"/>
        <v>100</v>
      </c>
      <c r="X42" s="1562"/>
      <c r="Y42" s="3421"/>
      <c r="Z42" s="1563">
        <f t="shared" si="13"/>
        <v>111</v>
      </c>
      <c r="AA42" s="1559">
        <f t="shared" si="3"/>
        <v>1</v>
      </c>
      <c r="AB42" s="1559">
        <f t="shared" si="4"/>
        <v>1</v>
      </c>
      <c r="AC42" s="1559">
        <f t="shared" si="5"/>
        <v>1</v>
      </c>
    </row>
    <row r="43" spans="1:29" ht="14.4">
      <c r="A43" s="605" t="s">
        <v>556</v>
      </c>
      <c r="B43" s="606" t="s">
        <v>2923</v>
      </c>
      <c r="C43" s="607" t="s">
        <v>1</v>
      </c>
      <c r="D43" s="608"/>
      <c r="E43" s="609"/>
      <c r="F43" s="610"/>
      <c r="G43" s="611"/>
      <c r="H43" s="612"/>
      <c r="I43" s="609"/>
      <c r="J43" s="612"/>
      <c r="K43" s="1334"/>
      <c r="L43" s="2126"/>
      <c r="M43" s="2116"/>
      <c r="N43" s="2116"/>
      <c r="O43" s="2127"/>
      <c r="P43" s="3381" t="str">
        <f>A43</f>
        <v>成交单价</v>
      </c>
      <c r="Q43" s="3381"/>
      <c r="R43" s="3382">
        <f>E43</f>
        <v>0</v>
      </c>
      <c r="S43" s="3382"/>
      <c r="T43" s="3382">
        <f>G43</f>
        <v>0</v>
      </c>
      <c r="U43" s="3382"/>
      <c r="V43" s="3382">
        <f>I43</f>
        <v>0</v>
      </c>
      <c r="W43" s="3382"/>
      <c r="X43" s="1542"/>
      <c r="Y43" s="1564"/>
      <c r="Z43" s="1542"/>
      <c r="AA43" s="1542"/>
      <c r="AB43" s="1542"/>
      <c r="AC43" s="1542"/>
    </row>
    <row r="44" spans="1:29" ht="15" thickBot="1">
      <c r="A44" s="613" t="s">
        <v>2690</v>
      </c>
      <c r="B44" s="614"/>
      <c r="C44" s="615" t="e">
        <f>R45</f>
        <v>#DIV/0!</v>
      </c>
      <c r="D44" s="616"/>
      <c r="E44" s="615" t="e">
        <f>R44</f>
        <v>#DIV/0!</v>
      </c>
      <c r="F44" s="617"/>
      <c r="G44" s="618" t="e">
        <f>T44</f>
        <v>#DIV/0!</v>
      </c>
      <c r="H44" s="616"/>
      <c r="I44" s="615" t="e">
        <f>V44</f>
        <v>#DIV/0!</v>
      </c>
      <c r="J44" s="616"/>
      <c r="K44" s="1335"/>
      <c r="L44" s="2126"/>
      <c r="M44" s="2116"/>
      <c r="N44" s="2116"/>
      <c r="O44" s="2127"/>
      <c r="P44" s="3381" t="str">
        <f>A44</f>
        <v>比较价格（元/平方米）</v>
      </c>
      <c r="Q44" s="3381"/>
      <c r="R44" s="3383" t="e">
        <f>ROUND(PRODUCT(R43,AA9:AA42),0)</f>
        <v>#DIV/0!</v>
      </c>
      <c r="S44" s="3383"/>
      <c r="T44" s="3383" t="e">
        <f>ROUND(PRODUCT(T43,AB9:AB42),0)</f>
        <v>#DIV/0!</v>
      </c>
      <c r="U44" s="3383"/>
      <c r="V44" s="3383" t="e">
        <f>ROUND(PRODUCT(V43,AC9:AC42),0)</f>
        <v>#DIV/0!</v>
      </c>
      <c r="W44" s="3383"/>
      <c r="X44" s="1542"/>
      <c r="Y44" s="1542"/>
      <c r="Z44" s="1542"/>
      <c r="AA44" s="1542"/>
      <c r="AB44" s="1542"/>
      <c r="AC44" s="1542"/>
    </row>
    <row r="45" spans="1:29" ht="15" thickBot="1">
      <c r="A45" s="619" t="s">
        <v>2924</v>
      </c>
      <c r="B45" s="620"/>
      <c r="C45" s="621" t="e">
        <f>R45</f>
        <v>#DIV/0!</v>
      </c>
      <c r="D45" s="621"/>
      <c r="E45" s="621"/>
      <c r="F45" s="621"/>
      <c r="G45" s="621"/>
      <c r="H45" s="621"/>
      <c r="I45" s="621"/>
      <c r="J45" s="621"/>
      <c r="K45" s="1336"/>
      <c r="L45" s="2126"/>
      <c r="M45" s="2116"/>
      <c r="N45" s="2116"/>
      <c r="O45" s="2127"/>
      <c r="P45" s="3378" t="str">
        <f>A45</f>
        <v>估价对象XX用房的比较价格（楼面单价，元/平方米）</v>
      </c>
      <c r="Q45" s="3379"/>
      <c r="R45" s="3380" t="e">
        <f>ROUND(AVERAGE(R44:V44),0)</f>
        <v>#DIV/0!</v>
      </c>
      <c r="S45" s="3380"/>
      <c r="T45" s="3380"/>
      <c r="U45" s="3380"/>
      <c r="V45" s="3380"/>
      <c r="W45" s="338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7" t="s">
        <v>560</v>
      </c>
      <c r="B52" s="628" t="s">
        <v>561</v>
      </c>
      <c r="C52" s="1543" t="s">
        <v>1723</v>
      </c>
      <c r="D52" s="2209" t="s">
        <v>2290</v>
      </c>
      <c r="E52" s="629" t="s">
        <v>562</v>
      </c>
      <c r="F52" s="1933" t="s">
        <v>563</v>
      </c>
      <c r="G52" s="3426" t="s">
        <v>2281</v>
      </c>
      <c r="H52" s="3427"/>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1" t="s">
        <v>564</v>
      </c>
      <c r="B53" s="632" t="e">
        <f>C45</f>
        <v>#DIV/0!</v>
      </c>
      <c r="C53" s="633">
        <v>1</v>
      </c>
      <c r="D53" s="2210">
        <v>1</v>
      </c>
      <c r="E53" s="633">
        <f>'数据-汇总表'!E8+'数据-汇总表'!E9</f>
        <v>63653.62</v>
      </c>
      <c r="F53" s="1932" t="e">
        <f t="shared" ref="F53:F62" si="15">ROUND(B53*E53/10000,0)</f>
        <v>#DIV/0!</v>
      </c>
      <c r="G53" s="3428"/>
      <c r="H53" s="3429"/>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5" t="s">
        <v>565</v>
      </c>
      <c r="B54" s="636" t="e">
        <f>ROUND($C$45*C54*D54,0)</f>
        <v>#DIV/0!</v>
      </c>
      <c r="C54" s="376">
        <f t="shared" ref="C54:C62" si="16">IF($C$52="北京市系数",I54,J54)</f>
        <v>0.7</v>
      </c>
      <c r="D54" s="2211">
        <v>0.25</v>
      </c>
      <c r="E54" s="637"/>
      <c r="F54" s="1932" t="e">
        <f t="shared" si="15"/>
        <v>#DIV/0!</v>
      </c>
      <c r="G54" s="3430" t="s">
        <v>2282</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5" t="s">
        <v>566</v>
      </c>
      <c r="B55" s="636" t="e">
        <f t="shared" ref="B55:B62" si="17">ROUND($C$45*C55*D55,0)</f>
        <v>#DIV/0!</v>
      </c>
      <c r="C55" s="376">
        <f t="shared" si="16"/>
        <v>0.4</v>
      </c>
      <c r="D55" s="2211">
        <v>0.25</v>
      </c>
      <c r="E55" s="637"/>
      <c r="F55" s="1932" t="e">
        <f t="shared" si="15"/>
        <v>#DIV/0!</v>
      </c>
      <c r="G55" s="3430"/>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5" t="s">
        <v>567</v>
      </c>
      <c r="B56" s="636" t="e">
        <f t="shared" si="17"/>
        <v>#DIV/0!</v>
      </c>
      <c r="C56" s="376">
        <f t="shared" si="16"/>
        <v>0.28000000000000003</v>
      </c>
      <c r="D56" s="2211">
        <v>0.25</v>
      </c>
      <c r="E56" s="637"/>
      <c r="F56" s="1932" t="e">
        <f t="shared" si="15"/>
        <v>#DIV/0!</v>
      </c>
      <c r="G56" s="3430"/>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5" t="s">
        <v>568</v>
      </c>
      <c r="B57" s="636" t="e">
        <f t="shared" si="17"/>
        <v>#DIV/0!</v>
      </c>
      <c r="C57" s="376">
        <f t="shared" si="16"/>
        <v>0.25</v>
      </c>
      <c r="D57" s="2211">
        <v>0.25</v>
      </c>
      <c r="E57" s="637"/>
      <c r="F57" s="1932" t="e">
        <f t="shared" si="15"/>
        <v>#DIV/0!</v>
      </c>
      <c r="G57" s="3430"/>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2325</v>
      </c>
      <c r="B58" s="636" t="e">
        <f t="shared" si="17"/>
        <v>#DIV/0!</v>
      </c>
      <c r="C58" s="376">
        <f t="shared" si="16"/>
        <v>0.25</v>
      </c>
      <c r="D58" s="2211">
        <v>0.25</v>
      </c>
      <c r="E58" s="639">
        <f>'数据-汇总表'!E11</f>
        <v>0</v>
      </c>
      <c r="F58" s="1932" t="e">
        <f t="shared" si="15"/>
        <v>#DIV/0!</v>
      </c>
      <c r="G58" s="1938" t="s">
        <v>2283</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569</v>
      </c>
      <c r="B59" s="636" t="e">
        <f t="shared" si="17"/>
        <v>#DIV/0!</v>
      </c>
      <c r="C59" s="376">
        <f t="shared" si="16"/>
        <v>0.25</v>
      </c>
      <c r="D59" s="2211">
        <v>0.25</v>
      </c>
      <c r="E59" s="639">
        <f>'数据-汇总表'!E12</f>
        <v>3440.91</v>
      </c>
      <c r="F59" s="1932" t="e">
        <f t="shared" si="15"/>
        <v>#DIV/0!</v>
      </c>
      <c r="G59" s="1928" t="s">
        <v>1676</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570</v>
      </c>
      <c r="B60" s="636" t="e">
        <f t="shared" si="17"/>
        <v>#DIV/0!</v>
      </c>
      <c r="C60" s="376">
        <f t="shared" si="16"/>
        <v>0.2</v>
      </c>
      <c r="D60" s="2211">
        <v>0.25</v>
      </c>
      <c r="E60" s="639">
        <f>'数据-汇总表'!E13</f>
        <v>29687.75</v>
      </c>
      <c r="F60" s="1932" t="e">
        <f t="shared" si="15"/>
        <v>#DIV/0!</v>
      </c>
      <c r="G60" s="1928" t="s">
        <v>922</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571</v>
      </c>
      <c r="B61" s="636" t="e">
        <f t="shared" si="17"/>
        <v>#DIV/0!</v>
      </c>
      <c r="C61" s="376">
        <f t="shared" si="16"/>
        <v>0.2</v>
      </c>
      <c r="D61" s="2211">
        <v>0.25</v>
      </c>
      <c r="E61" s="639">
        <f>'数据-汇总表'!E14</f>
        <v>0</v>
      </c>
      <c r="F61" s="1932" t="e">
        <f t="shared" si="15"/>
        <v>#DIV/0!</v>
      </c>
      <c r="G61" s="1938" t="s">
        <v>2282</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5" t="s">
        <v>572</v>
      </c>
      <c r="B62" s="636" t="e">
        <f t="shared" si="17"/>
        <v>#DIV/0!</v>
      </c>
      <c r="C62" s="376">
        <f t="shared" si="16"/>
        <v>0.2</v>
      </c>
      <c r="D62" s="2211">
        <v>0.25</v>
      </c>
      <c r="E62" s="639">
        <f>'数据-汇总表'!E15</f>
        <v>0</v>
      </c>
      <c r="F62" s="1932" t="e">
        <f t="shared" si="15"/>
        <v>#DIV/0!</v>
      </c>
      <c r="G62" s="1939" t="s">
        <v>2283</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0" t="s">
        <v>573</v>
      </c>
      <c r="B63" s="641" t="s">
        <v>17</v>
      </c>
      <c r="C63" s="641" t="s">
        <v>18</v>
      </c>
      <c r="D63" s="641" t="s">
        <v>2291</v>
      </c>
      <c r="E63" s="641">
        <f>IF(B43="楼面地价",SUM(E53:E62),'数据-汇总表'!D3)</f>
        <v>34964.49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2020-1-1</v>
      </c>
      <c r="D65" s="2751">
        <f>EDATE(C65,-3)</f>
        <v>43739</v>
      </c>
      <c r="E65" s="2751">
        <f t="shared" ref="E65:N65" si="18">EDATE(D65,-3)</f>
        <v>43647</v>
      </c>
      <c r="F65" s="2751">
        <f t="shared" si="18"/>
        <v>43556</v>
      </c>
      <c r="G65" s="2751">
        <f t="shared" si="18"/>
        <v>43466</v>
      </c>
      <c r="H65" s="2751">
        <f t="shared" si="18"/>
        <v>43374</v>
      </c>
      <c r="I65" s="2751">
        <f t="shared" si="18"/>
        <v>43282</v>
      </c>
      <c r="J65" s="2751">
        <f t="shared" si="18"/>
        <v>43191</v>
      </c>
      <c r="K65" s="2751">
        <f t="shared" si="18"/>
        <v>43101</v>
      </c>
      <c r="L65" s="2751">
        <f t="shared" si="18"/>
        <v>43009</v>
      </c>
      <c r="M65" s="2751">
        <f t="shared" si="18"/>
        <v>42917</v>
      </c>
      <c r="N65" s="2751">
        <f t="shared" si="18"/>
        <v>42826</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2530</v>
      </c>
      <c r="B67" s="644"/>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7" t="str">
        <f>"北京市平均增长率"&amp;TEXT(基准地价!P24,"0.00%")</f>
        <v>北京市平均增长率0.00%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4.4"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ht="14.4">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4.4"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9.4"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4.4"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4.4"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4.4"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4.4"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4.4"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ht="14.4">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9.4"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9.4"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4.4"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4.4"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4.4"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4.4"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4.4"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2422</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4.4"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4.4"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6">
      <c r="A2" s="1399" t="s">
        <v>919</v>
      </c>
      <c r="B2" s="1036"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1686</v>
      </c>
      <c r="B3" s="1036" t="e">
        <f>ROUND(B2*10000/D1,0)</f>
        <v>#DIV/0!</v>
      </c>
      <c r="C3" s="1400" t="s">
        <v>926</v>
      </c>
      <c r="D3" s="1401" t="s">
        <v>927</v>
      </c>
      <c r="E3" s="1405"/>
      <c r="F3" s="1406"/>
      <c r="G3" s="1037">
        <f>IF(F3="宗地容积率",'数据-汇总表'!I4,IF(F3="估价对象容积率",'数据-汇总表'!I6,'数据-汇总表'!I7))</f>
        <v>4</v>
      </c>
      <c r="H3" s="1407" t="s">
        <v>928</v>
      </c>
      <c r="I3" s="1038">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2277</v>
      </c>
      <c r="B4" s="2414"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1822</v>
      </c>
      <c r="B5" s="1408" t="s">
        <v>930</v>
      </c>
      <c r="C5" s="1039" t="e">
        <f>ROUND(IF(E2="商业",C6*C7+C16,(IF(E2="住宅",C6*C12+C16,C6+C16))),0)</f>
        <v>#DIV/0!</v>
      </c>
      <c r="D5" s="3068" t="e">
        <f>ROUND(C6+C16,0)</f>
        <v>#DIV/0!</v>
      </c>
      <c r="E5" s="3068"/>
      <c r="F5" s="1409"/>
      <c r="G5" s="1410"/>
      <c r="H5" s="1410"/>
      <c r="I5" s="1410"/>
      <c r="J5" s="1411"/>
      <c r="K5" s="3145"/>
      <c r="L5" s="1867" t="s">
        <v>2239</v>
      </c>
      <c r="M5" s="1868">
        <f>SUMPRODUCT((区片价!B76:B109=I2)*(区片价!C3:F3=E2)*(区片价!C76:F109))</f>
        <v>0</v>
      </c>
      <c r="N5" s="1869">
        <f>SUMPRODUCT((因素修正幅度!B76:B109=I2)*(因素修正幅度!C3:F3=E2)*(因素修正幅度!C76:F109))</f>
        <v>0</v>
      </c>
      <c r="O5" s="3145"/>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1869</v>
      </c>
      <c r="B6" s="1415" t="s">
        <v>930</v>
      </c>
      <c r="C6" s="1040">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42" t="str">
        <f>IF(E2="商业",IF(C8="不临58条商业街","",2),"")</f>
        <v/>
      </c>
      <c r="B7" s="1420" t="s">
        <v>931</v>
      </c>
      <c r="C7" s="1041" t="e">
        <f>IF(C8="不临58条商业街",1,ROUND(1+(1.6*E8+1.2*E9+0.8*E10+0.4*E11)*C9,4))</f>
        <v>#DIV/0!</v>
      </c>
      <c r="D7" s="1421" t="s">
        <v>932</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4"/>
      <c r="AB7" s="2174"/>
      <c r="AC7" s="2175"/>
      <c r="AD7" s="2881"/>
      <c r="AE7" s="2881"/>
      <c r="AF7" s="2881"/>
      <c r="AG7" s="2881"/>
      <c r="AH7" s="2881"/>
      <c r="AI7" s="2881"/>
      <c r="AJ7" s="2882"/>
    </row>
    <row r="8" spans="1:39" ht="15">
      <c r="A8" s="3443"/>
      <c r="B8" s="1407" t="s">
        <v>933</v>
      </c>
      <c r="C8" s="1513"/>
      <c r="D8" s="1043" t="s">
        <v>934</v>
      </c>
      <c r="E8" s="1044"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32" t="s">
        <v>2780</v>
      </c>
      <c r="X8" s="3433"/>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43"/>
      <c r="B9" s="1407" t="s">
        <v>936</v>
      </c>
      <c r="C9" s="1045">
        <f>SUMIF(修正!C59:C119,C8,修正!E59:E119)</f>
        <v>0</v>
      </c>
      <c r="D9" s="1046" t="s">
        <v>937</v>
      </c>
      <c r="E9" s="1046"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31" t="s">
        <v>2776</v>
      </c>
      <c r="X9" s="2883" t="s">
        <v>2777</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3"/>
      <c r="B10" s="1407" t="s">
        <v>939</v>
      </c>
      <c r="C10" s="1046">
        <f>SUMIF(修正!C59:C119,C8,修正!F59:F119)</f>
        <v>0</v>
      </c>
      <c r="D10" s="1046" t="s">
        <v>940</v>
      </c>
      <c r="E10" s="1046"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31"/>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3"/>
      <c r="B11" s="1428" t="s">
        <v>942</v>
      </c>
      <c r="C11" s="1047">
        <f>C10/4</f>
        <v>0</v>
      </c>
      <c r="D11" s="1047" t="s">
        <v>943</v>
      </c>
      <c r="E11" s="1047"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31" t="s">
        <v>2778</v>
      </c>
      <c r="X11" s="1046" t="s">
        <v>2763</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8" thickBot="1">
      <c r="A12" s="3442" t="s">
        <v>1870</v>
      </c>
      <c r="B12" s="1432" t="s">
        <v>945</v>
      </c>
      <c r="C12" s="1041">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31"/>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4"/>
      <c r="B13" s="1437" t="s">
        <v>1695</v>
      </c>
      <c r="C13" s="1438" t="s">
        <v>1696</v>
      </c>
      <c r="D13" s="1083" t="s">
        <v>1697</v>
      </c>
      <c r="E13" s="1083" t="s">
        <v>1698</v>
      </c>
      <c r="F13" s="1439" t="s">
        <v>947</v>
      </c>
      <c r="G13" s="1440" t="s">
        <v>1641</v>
      </c>
      <c r="H13" s="1441" t="s">
        <v>1641</v>
      </c>
      <c r="I13" s="1442" t="s">
        <v>1641</v>
      </c>
      <c r="J13" s="1443" t="s">
        <v>1641</v>
      </c>
      <c r="K13" s="3160"/>
      <c r="L13" s="3160"/>
      <c r="M13" s="3160"/>
      <c r="N13" s="3160"/>
      <c r="O13" s="3160"/>
      <c r="P13" s="1394"/>
      <c r="Q13" s="2171"/>
      <c r="R13" s="2889">
        <v>12</v>
      </c>
      <c r="S13" s="2878"/>
      <c r="T13" s="2889" t="e">
        <f t="shared" si="0"/>
        <v>#DIV/0!</v>
      </c>
      <c r="U13" s="2878"/>
      <c r="V13" s="2889" t="e">
        <f t="shared" si="1"/>
        <v>#DIV/0!</v>
      </c>
      <c r="W13" s="3431"/>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44"/>
      <c r="B14" s="1444"/>
      <c r="C14" s="1445"/>
      <c r="D14" s="1446"/>
      <c r="E14" s="1446"/>
      <c r="F14" s="1447"/>
      <c r="G14" s="1448" t="s">
        <v>948</v>
      </c>
      <c r="H14" s="1449"/>
      <c r="I14" s="1450"/>
      <c r="J14" s="1451"/>
      <c r="K14" s="3146"/>
      <c r="L14" s="3146"/>
      <c r="M14" s="3146"/>
      <c r="N14" s="3146"/>
      <c r="O14" s="3146"/>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45"/>
      <c r="B15" s="3165" t="s">
        <v>1699</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42" t="s">
        <v>1837</v>
      </c>
      <c r="B16" s="1420" t="s">
        <v>949</v>
      </c>
      <c r="C16" s="1050" t="e">
        <f>ROUND(IF(F17="与级别开发程度一致",0,(G17-E17)/C17),0)</f>
        <v>#DIV/0!</v>
      </c>
      <c r="D16" s="3439" t="s">
        <v>953</v>
      </c>
      <c r="E16" s="3440"/>
      <c r="F16" s="3439" t="s">
        <v>950</v>
      </c>
      <c r="G16" s="3440"/>
      <c r="H16" s="1452"/>
      <c r="I16" s="1452"/>
      <c r="J16" s="1452"/>
      <c r="K16" s="1452"/>
      <c r="L16" s="1452"/>
      <c r="M16" s="1452"/>
      <c r="N16" s="1452"/>
      <c r="O16" s="3170"/>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46"/>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1828</v>
      </c>
      <c r="B18" s="3166" t="s">
        <v>954</v>
      </c>
      <c r="C18" s="3167">
        <f>SUMIF(修正!C18:C39,E3,修正!E18:E39)</f>
        <v>0</v>
      </c>
      <c r="D18" s="3168"/>
      <c r="E18" s="3169"/>
      <c r="F18" s="3151"/>
      <c r="G18" s="3145"/>
      <c r="H18" s="3145"/>
      <c r="I18" s="3145"/>
      <c r="J18" s="3159"/>
      <c r="K18" s="3145"/>
      <c r="L18" s="3145"/>
      <c r="M18" s="3145"/>
      <c r="N18" s="3145"/>
      <c r="O18" s="3145"/>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1834</v>
      </c>
      <c r="B19" s="1455" t="s">
        <v>955</v>
      </c>
      <c r="C19" s="1051">
        <f>ROUND(IF(H19="按公示增长率计算",SUMPRODUCT((地价!A3:A28=YEAR(G19)&amp;"-"&amp;ROUNDUP(MONTH(G19)/3,0))*(地价!X2:AB2=E2)*(地价!X3:AB28)),IF(H19="地价指数",M20/M19,(1+I19)^O19)),4)</f>
        <v>0</v>
      </c>
      <c r="D19" s="1459" t="s">
        <v>956</v>
      </c>
      <c r="E19" s="1052">
        <v>41640</v>
      </c>
      <c r="F19" s="1459" t="s">
        <v>957</v>
      </c>
      <c r="G19" s="1053">
        <f>'数据-取费表'!B2</f>
        <v>43832</v>
      </c>
      <c r="H19" s="1460" t="s">
        <v>2982</v>
      </c>
      <c r="I19" s="2737" t="str">
        <f>IF(H19="季度增幅（自定义）",SUMIF(N21:N24,E2,O21:O24),"")</f>
        <v/>
      </c>
      <c r="J19" s="1456"/>
      <c r="K19" s="3145"/>
      <c r="L19" s="2988" t="s">
        <v>2838</v>
      </c>
      <c r="M19" s="2989">
        <f>ROUND(SUMIF(地价!B2:F2,E2,地价!B28:F28),0)</f>
        <v>0</v>
      </c>
      <c r="N19" s="2739" t="s">
        <v>1675</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1835</v>
      </c>
      <c r="B20" s="2732" t="s">
        <v>970</v>
      </c>
      <c r="C20" s="2733" t="e">
        <f>ROUND(POWER(1+G20,J20-I20)*(POWER(1+G20,I20)-1)/(POWER(1+G20,J20)-1),4)</f>
        <v>#DIV/0!</v>
      </c>
      <c r="D20" s="2734" t="s">
        <v>971</v>
      </c>
      <c r="E20" s="3043">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7"/>
      <c r="L20" s="2990" t="s">
        <v>2839</v>
      </c>
      <c r="M20" s="3154">
        <f>ROUND(SUMPRODUCT((地价!A4:A28=YEAR(G19)&amp;"-"&amp;ROUNDUP(MONTH(G19)/3,0))*(地价!B2:F2=E2)*(地价!B4:F28)),0)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4">
      <c r="A21" s="1624" t="s">
        <v>1836</v>
      </c>
      <c r="B21" s="1465" t="s">
        <v>2758</v>
      </c>
      <c r="C21" s="1152">
        <f>IF(B21="容积率修正",IF(G3&lt;=10,D22,J22),C23)</f>
        <v>0</v>
      </c>
      <c r="D21" s="1466"/>
      <c r="E21" s="1466"/>
      <c r="F21" s="1466"/>
      <c r="G21" s="1466"/>
      <c r="H21" s="1466"/>
      <c r="I21" s="1466"/>
      <c r="J21" s="1467"/>
      <c r="K21" s="3145"/>
      <c r="L21" s="1466"/>
      <c r="M21" s="1466"/>
      <c r="N21" s="1463" t="s">
        <v>974</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1869</v>
      </c>
      <c r="B22" s="1468" t="s">
        <v>975</v>
      </c>
      <c r="C22" s="1054" t="s">
        <v>1701</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48"/>
      <c r="L22" s="1466"/>
      <c r="M22" s="1466"/>
      <c r="N22" s="1463" t="s">
        <v>977</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1870</v>
      </c>
      <c r="B23" s="1468" t="s">
        <v>978</v>
      </c>
      <c r="C23" s="1055">
        <f>ROUND(IF(G3&gt;1,IF(I3&lt;7,SUMPRODUCT((B93:B98=I3)*(C92:N92=G2)*(C93:N98)),SUMIF(C92:N92,G2,C100:N100)),IF(I3&lt;7,SUMPRODUCT((B102:B107=I3)*(C92:N92=G2)*(C102:N107)),SUMIF(C92:N92,G2,C109:N109))),4)</f>
        <v>0</v>
      </c>
      <c r="D23" s="1514"/>
      <c r="E23" s="1514"/>
      <c r="F23" s="1515"/>
      <c r="G23" s="1516"/>
      <c r="H23" s="1517"/>
      <c r="I23" s="1518"/>
      <c r="J23" s="1518"/>
      <c r="K23" s="3149"/>
      <c r="L23" s="1394"/>
      <c r="M23" s="1394"/>
      <c r="N23" s="1463" t="s">
        <v>922</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1871</v>
      </c>
      <c r="B24" s="1408" t="s">
        <v>979</v>
      </c>
      <c r="C24" s="1056">
        <f>SUMIF(A44:A87,E2,B44:B87)</f>
        <v>0</v>
      </c>
      <c r="D24" s="1519"/>
      <c r="E24" s="1520"/>
      <c r="F24" s="1520"/>
      <c r="G24" s="1520"/>
      <c r="H24" s="1520"/>
      <c r="I24" s="1520"/>
      <c r="J24" s="1520"/>
      <c r="K24" s="3149"/>
      <c r="L24" s="1466"/>
      <c r="M24" s="1466"/>
      <c r="N24" s="1463" t="s">
        <v>980</v>
      </c>
      <c r="O24" s="3153"/>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5" t="s">
        <v>2645</v>
      </c>
      <c r="O25" s="3156"/>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985</v>
      </c>
      <c r="C26" s="1057"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8" t="e">
        <f>E30+SUM(I33:I39)</f>
        <v>#DIV/0!</v>
      </c>
      <c r="D27" s="1478"/>
      <c r="E27" s="1479"/>
      <c r="F27" s="1480"/>
      <c r="G27" s="1479"/>
      <c r="H27" s="1479"/>
      <c r="I27" s="1479"/>
      <c r="J27" s="1481"/>
      <c r="K27" s="1449"/>
      <c r="L27" s="1453" t="s">
        <v>986</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992</v>
      </c>
      <c r="C29" s="1057" t="e">
        <f>ROUND(C5*C18*C19*C20*C21*C24,0)</f>
        <v>#DIV/0!</v>
      </c>
      <c r="D29" s="1488"/>
      <c r="E29" s="1831" t="e">
        <f>ROUND(C29*D29/10000,0)</f>
        <v>#DIV/0!</v>
      </c>
      <c r="F29" s="1489" t="s">
        <v>1700</v>
      </c>
      <c r="G29" s="1490"/>
      <c r="H29" s="1490"/>
      <c r="I29" s="1490"/>
      <c r="J29" s="1491"/>
      <c r="K29" s="3150"/>
      <c r="L29" s="3150"/>
      <c r="M29" s="3150"/>
      <c r="N29" s="3150"/>
      <c r="O29" s="3150"/>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993</v>
      </c>
      <c r="C30" s="1049"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989</v>
      </c>
      <c r="D32" s="1504" t="s">
        <v>990</v>
      </c>
      <c r="E32" s="1504" t="s">
        <v>991</v>
      </c>
      <c r="F32" s="1505" t="s">
        <v>997</v>
      </c>
      <c r="G32" s="1464" t="s">
        <v>989</v>
      </c>
      <c r="H32" s="1464" t="s">
        <v>990</v>
      </c>
      <c r="I32" s="1464" t="s">
        <v>991</v>
      </c>
      <c r="J32" s="1506"/>
      <c r="K32" s="3151"/>
      <c r="L32" s="3151"/>
      <c r="M32" s="3151"/>
      <c r="N32" s="3151"/>
      <c r="O32" s="3151"/>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49" t="s">
        <v>2949</v>
      </c>
      <c r="B33" s="1508" t="s">
        <v>998</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2"/>
      <c r="L33" s="3152"/>
      <c r="M33" s="3152"/>
      <c r="N33" s="3152"/>
      <c r="O33" s="3152"/>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50"/>
      <c r="B34" s="1438" t="s">
        <v>999</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2"/>
      <c r="L34" s="3152"/>
      <c r="M34" s="3152"/>
      <c r="N34" s="3152"/>
      <c r="O34" s="3152"/>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50"/>
      <c r="B35" s="1438" t="s">
        <v>1000</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2"/>
      <c r="L35" s="3152"/>
      <c r="M35" s="3152"/>
      <c r="N35" s="3152"/>
      <c r="O35" s="3152"/>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51"/>
      <c r="B36" s="1438" t="s">
        <v>1001</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2"/>
      <c r="L36" s="3152"/>
      <c r="M36" s="3152"/>
      <c r="N36" s="3152"/>
      <c r="O36" s="3152"/>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1002</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1003</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1004</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3" t="s">
        <v>2976</v>
      </c>
      <c r="C41" s="837" t="e">
        <f>ROUND(POWER(1+E41,H41-G41)*(POWER(1+E41,G41)-1)/(POWER(1+E41,H41)-1),4)</f>
        <v>#DIV/0!</v>
      </c>
      <c r="D41" s="376" t="s">
        <v>2974</v>
      </c>
      <c r="E41" s="3142">
        <f>G20</f>
        <v>0</v>
      </c>
      <c r="F41" s="376" t="s">
        <v>2975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1006</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1007</v>
      </c>
      <c r="B46" s="2369" t="s">
        <v>1008</v>
      </c>
      <c r="C46" s="2391" t="s">
        <v>1009</v>
      </c>
      <c r="D46" s="2392" t="s">
        <v>1010</v>
      </c>
      <c r="E46" s="2393" t="s">
        <v>1012</v>
      </c>
      <c r="F46" s="2394" t="s">
        <v>2247</v>
      </c>
      <c r="G46" s="2392" t="s">
        <v>1013</v>
      </c>
      <c r="H46" s="2375" t="s">
        <v>2415</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1019</v>
      </c>
      <c r="B47" s="2372">
        <f>估价对象房地状况!C16</f>
        <v>0</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24">
      <c r="A48" s="1061" t="s">
        <v>1020</v>
      </c>
      <c r="B48" s="2369">
        <f>估价对象房地状况!C18</f>
        <v>0</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1021</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1022</v>
      </c>
      <c r="B50" s="3045" t="s">
        <v>2926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1023</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1024</v>
      </c>
      <c r="B52" s="3044" t="s">
        <v>2925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f>估价对象房地状况!C21</f>
        <v>0</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f>估价对象房地状况!C22</f>
        <v>0</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1027</v>
      </c>
      <c r="B55" s="2373">
        <f>估价对象房地状况!C20</f>
        <v>0</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1028</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1007</v>
      </c>
      <c r="B57" s="2369"/>
      <c r="C57" s="2391" t="s">
        <v>1009</v>
      </c>
      <c r="D57" s="2392" t="s">
        <v>1010</v>
      </c>
      <c r="E57" s="2393" t="s">
        <v>1012</v>
      </c>
      <c r="F57" s="2394" t="s">
        <v>2248</v>
      </c>
      <c r="G57" s="2392" t="s">
        <v>1013</v>
      </c>
      <c r="H57" s="2375" t="s">
        <v>2415</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1029</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24">
      <c r="A59" s="1061" t="s">
        <v>1020</v>
      </c>
      <c r="B59" s="2369">
        <f>估价对象房地状况!C18</f>
        <v>0</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1021</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1022</v>
      </c>
      <c r="B61" s="3045" t="s">
        <v>2927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1023</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1024</v>
      </c>
      <c r="B63" s="3044" t="s">
        <v>2925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1025</v>
      </c>
      <c r="B64" s="2370">
        <f>估价对象房地状况!C21</f>
        <v>0</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1026</v>
      </c>
      <c r="B65" s="2370">
        <f>估价对象房地状况!C22</f>
        <v>0</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1027</v>
      </c>
      <c r="B66" s="2374">
        <f>估价对象房地状况!C20</f>
        <v>0</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1030</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1007</v>
      </c>
      <c r="B68" s="2369"/>
      <c r="C68" s="2391" t="s">
        <v>1009</v>
      </c>
      <c r="D68" s="2392" t="s">
        <v>1010</v>
      </c>
      <c r="E68" s="2393" t="s">
        <v>1012</v>
      </c>
      <c r="F68" s="2394" t="s">
        <v>2249</v>
      </c>
      <c r="G68" s="2392" t="s">
        <v>1013</v>
      </c>
      <c r="H68" s="2375" t="s">
        <v>2415</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1031</v>
      </c>
      <c r="B69" s="2372">
        <f>估价对象房地状况!C15</f>
        <v>0</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24">
      <c r="A70" s="1061" t="s">
        <v>1032</v>
      </c>
      <c r="B70" s="2369">
        <f>估价对象房地状况!C18</f>
        <v>0</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1021</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1033</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1025</v>
      </c>
      <c r="B73" s="2370">
        <f>估价对象房地状况!C21</f>
        <v>0</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1026</v>
      </c>
      <c r="B74" s="2370">
        <f>估价对象房地状况!C22</f>
        <v>0</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1024</v>
      </c>
      <c r="B75" s="3044" t="s">
        <v>2925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1027</v>
      </c>
      <c r="B76" s="2372">
        <f>估价对象房地状况!C20</f>
        <v>0</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1034</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1035</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1007</v>
      </c>
      <c r="B79" s="2369"/>
      <c r="C79" s="2391" t="s">
        <v>1009</v>
      </c>
      <c r="D79" s="2392" t="s">
        <v>1010</v>
      </c>
      <c r="E79" s="2393" t="s">
        <v>1012</v>
      </c>
      <c r="F79" s="2394" t="s">
        <v>2250</v>
      </c>
      <c r="G79" s="2392" t="s">
        <v>1013</v>
      </c>
      <c r="H79" s="2375" t="s">
        <v>2415</v>
      </c>
      <c r="I79" s="2392" t="s">
        <v>1011</v>
      </c>
      <c r="J79" s="2395" t="s">
        <v>1014</v>
      </c>
      <c r="K79" s="2395" t="s">
        <v>1015</v>
      </c>
      <c r="L79" s="2395" t="s">
        <v>1016</v>
      </c>
      <c r="M79" s="2395" t="s">
        <v>1017</v>
      </c>
      <c r="N79" s="2395" t="s">
        <v>1018</v>
      </c>
      <c r="AC79" s="1398"/>
      <c r="AD79" s="1397"/>
      <c r="AJ79" s="1396"/>
      <c r="AN79" s="1397"/>
    </row>
    <row r="80" spans="1:40" ht="24">
      <c r="A80" s="1061" t="s">
        <v>1036</v>
      </c>
      <c r="B80" s="2369">
        <f>估价对象房地状况!G15</f>
        <v>0</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24">
      <c r="A81" s="1061" t="s">
        <v>1032</v>
      </c>
      <c r="B81" s="2369">
        <f>估价对象房地状况!G16</f>
        <v>0</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1021</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1033</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1025</v>
      </c>
      <c r="B84" s="2370">
        <f>估价对象房地状况!G19</f>
        <v>0</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1026</v>
      </c>
      <c r="B85" s="2370">
        <f>估价对象房地状况!G20</f>
        <v>0</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1024</v>
      </c>
      <c r="B86" s="3044" t="s">
        <v>2925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4.4" thickBot="1">
      <c r="A87" s="2402" t="s">
        <v>1037</v>
      </c>
      <c r="B87" s="2371">
        <f>估价对象房地状况!G18</f>
        <v>0</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7" t="s">
        <v>1632</v>
      </c>
      <c r="B90" s="3447"/>
      <c r="C90" s="3447"/>
      <c r="D90" s="3447"/>
      <c r="E90" s="3447"/>
      <c r="F90" s="3447"/>
      <c r="G90" s="3447"/>
      <c r="H90" s="3447"/>
      <c r="I90" s="3447"/>
      <c r="J90" s="3447"/>
      <c r="K90" s="2411"/>
      <c r="L90" s="2411"/>
      <c r="M90" s="2411"/>
      <c r="N90" s="2411"/>
    </row>
    <row r="91" spans="1:40">
      <c r="A91" s="3448" t="s">
        <v>1442</v>
      </c>
      <c r="B91" s="3448" t="s">
        <v>1633</v>
      </c>
      <c r="C91" s="1134" t="s">
        <v>1634</v>
      </c>
      <c r="D91" s="1135"/>
      <c r="E91" s="1135"/>
      <c r="F91" s="1135"/>
      <c r="G91" s="1135"/>
      <c r="H91" s="1135"/>
      <c r="I91" s="1135"/>
      <c r="J91" s="1136"/>
      <c r="K91" s="1128"/>
      <c r="L91" s="1128"/>
      <c r="M91" s="1128"/>
      <c r="N91" s="1128"/>
    </row>
    <row r="92" spans="1:40">
      <c r="A92" s="3448"/>
      <c r="B92" s="3448"/>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34"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5"/>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4" t="s">
        <v>1636</v>
      </c>
      <c r="B101" s="1141" t="s">
        <v>905</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5"/>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5"/>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5"/>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5"/>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5"/>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5"/>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5"/>
      <c r="B108" s="3437"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6"/>
      <c r="B109" s="3438"/>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41" t="s">
        <v>1638</v>
      </c>
      <c r="B110" s="3441"/>
      <c r="C110" s="3441"/>
      <c r="D110" s="3441"/>
      <c r="E110" s="3441"/>
      <c r="F110" s="3441"/>
      <c r="G110" s="3441"/>
      <c r="H110" s="3441"/>
      <c r="I110" s="3441"/>
      <c r="J110" s="3441"/>
      <c r="K110" s="2409"/>
      <c r="L110" s="2409"/>
      <c r="M110" s="2409"/>
      <c r="N110" s="2409"/>
    </row>
    <row r="112" spans="1:14" ht="12.6" thickBot="1"/>
    <row r="113" spans="1:13" ht="25.8" thickBot="1">
      <c r="A113" s="1014" t="s">
        <v>895</v>
      </c>
      <c r="B113" s="2412">
        <f>G3</f>
        <v>4</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3.2">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3.2">
      <c r="A115" s="1027" t="s">
        <v>899</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3.2">
      <c r="A116" s="1027" t="s">
        <v>900</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3.2">
      <c r="A117" s="1030" t="s">
        <v>901</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8" thickBot="1">
      <c r="A118" s="1031" t="s">
        <v>902</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2979</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1" customFormat="1" ht="19.5" customHeight="1">
      <c r="A18" s="3448" t="s">
        <v>1006</v>
      </c>
      <c r="B18" s="1148" t="s">
        <v>1445</v>
      </c>
      <c r="C18" s="1125" t="s">
        <v>1446</v>
      </c>
      <c r="D18" s="1126"/>
      <c r="E18" s="1148">
        <v>1</v>
      </c>
      <c r="F18" s="1127" t="s">
        <v>1447</v>
      </c>
      <c r="G18" s="1128"/>
      <c r="H18" s="1099"/>
      <c r="I18" s="1099"/>
    </row>
    <row r="19" spans="1:9" s="1581" customFormat="1" ht="19.5" customHeight="1">
      <c r="A19" s="3448"/>
      <c r="B19" s="3448" t="s">
        <v>1448</v>
      </c>
      <c r="C19" s="1125" t="s">
        <v>1449</v>
      </c>
      <c r="D19" s="1126"/>
      <c r="E19" s="1148">
        <v>0.9</v>
      </c>
      <c r="F19" s="1127" t="s">
        <v>1450</v>
      </c>
      <c r="G19" s="1128"/>
      <c r="H19" s="1099"/>
      <c r="I19" s="1099"/>
    </row>
    <row r="20" spans="1:9" s="1581" customFormat="1" ht="19.5" customHeight="1">
      <c r="A20" s="3448"/>
      <c r="B20" s="3448"/>
      <c r="C20" s="1125" t="s">
        <v>1451</v>
      </c>
      <c r="D20" s="1126"/>
      <c r="E20" s="1148">
        <v>1.1000000000000001</v>
      </c>
      <c r="F20" s="1127" t="s">
        <v>1452</v>
      </c>
      <c r="G20" s="1128"/>
      <c r="H20" s="1099"/>
      <c r="I20" s="1099"/>
    </row>
    <row r="21" spans="1:9" s="1581" customFormat="1" ht="19.5" customHeight="1">
      <c r="A21" s="3448"/>
      <c r="B21" s="3448"/>
      <c r="C21" s="1125" t="s">
        <v>1453</v>
      </c>
      <c r="D21" s="1126"/>
      <c r="E21" s="1148">
        <v>0.8</v>
      </c>
      <c r="F21" s="1127" t="s">
        <v>1454</v>
      </c>
      <c r="G21" s="1128"/>
      <c r="H21" s="1099"/>
      <c r="I21" s="1099"/>
    </row>
    <row r="22" spans="1:9" s="1581" customFormat="1" ht="19.5" customHeight="1">
      <c r="A22" s="3448"/>
      <c r="B22" s="3448"/>
      <c r="C22" s="1125" t="s">
        <v>1455</v>
      </c>
      <c r="D22" s="1126"/>
      <c r="E22" s="1148">
        <v>0.5</v>
      </c>
      <c r="F22" s="1127"/>
      <c r="G22" s="1128"/>
      <c r="H22" s="1099"/>
      <c r="I22" s="1099"/>
    </row>
    <row r="23" spans="1:9" s="1581" customFormat="1" ht="19.5" customHeight="1">
      <c r="A23" s="3448" t="s">
        <v>1028</v>
      </c>
      <c r="B23" s="1148" t="s">
        <v>1445</v>
      </c>
      <c r="C23" s="1125" t="s">
        <v>1456</v>
      </c>
      <c r="D23" s="1126"/>
      <c r="E23" s="1148">
        <v>1</v>
      </c>
      <c r="F23" s="1127" t="s">
        <v>1457</v>
      </c>
      <c r="G23" s="1128"/>
      <c r="H23" s="1099"/>
      <c r="I23" s="1099"/>
    </row>
    <row r="24" spans="1:9" s="1581" customFormat="1" ht="19.5" customHeight="1">
      <c r="A24" s="3448"/>
      <c r="B24" s="3448" t="s">
        <v>1448</v>
      </c>
      <c r="C24" s="1125" t="s">
        <v>1458</v>
      </c>
      <c r="D24" s="1126"/>
      <c r="E24" s="1148">
        <v>0.5</v>
      </c>
      <c r="F24" s="1127"/>
      <c r="G24" s="1128"/>
      <c r="H24" s="1099"/>
      <c r="I24" s="1099"/>
    </row>
    <row r="25" spans="1:9" s="1581" customFormat="1" ht="19.5" customHeight="1">
      <c r="A25" s="3448"/>
      <c r="B25" s="3448"/>
      <c r="C25" s="1125" t="s">
        <v>1459</v>
      </c>
      <c r="D25" s="1126"/>
      <c r="E25" s="1148">
        <v>1.1000000000000001</v>
      </c>
      <c r="F25" s="1127"/>
      <c r="G25" s="1128"/>
      <c r="H25" s="1099"/>
      <c r="I25" s="1099"/>
    </row>
    <row r="26" spans="1:9" s="1581" customFormat="1" ht="19.5" customHeight="1">
      <c r="A26" s="3448"/>
      <c r="B26" s="3448"/>
      <c r="C26" s="1125" t="s">
        <v>1460</v>
      </c>
      <c r="D26" s="1126"/>
      <c r="E26" s="1148">
        <v>1.1000000000000001</v>
      </c>
      <c r="F26" s="1127"/>
      <c r="G26" s="1128"/>
      <c r="H26" s="1099"/>
      <c r="I26" s="1099"/>
    </row>
    <row r="27" spans="1:9" s="1581" customFormat="1" ht="19.5" customHeight="1">
      <c r="A27" s="3448"/>
      <c r="B27" s="3448"/>
      <c r="C27" s="1125" t="s">
        <v>1461</v>
      </c>
      <c r="D27" s="1126"/>
      <c r="E27" s="1148">
        <v>0.9</v>
      </c>
      <c r="F27" s="1127" t="s">
        <v>1462</v>
      </c>
      <c r="G27" s="1128"/>
      <c r="H27" s="1099"/>
      <c r="I27" s="1099"/>
    </row>
    <row r="28" spans="1:9" s="1581" customFormat="1" ht="19.5" customHeight="1">
      <c r="A28" s="3448"/>
      <c r="B28" s="3448"/>
      <c r="C28" s="1125" t="s">
        <v>1463</v>
      </c>
      <c r="D28" s="1126"/>
      <c r="E28" s="1148">
        <v>0.9</v>
      </c>
      <c r="F28" s="1127" t="s">
        <v>1464</v>
      </c>
      <c r="G28" s="1128"/>
      <c r="H28" s="1099"/>
      <c r="I28" s="1099"/>
    </row>
    <row r="29" spans="1:9" s="1581" customFormat="1" ht="19.5" customHeight="1">
      <c r="A29" s="3448"/>
      <c r="B29" s="3448"/>
      <c r="C29" s="1125" t="s">
        <v>1465</v>
      </c>
      <c r="D29" s="1126"/>
      <c r="E29" s="1148">
        <v>0.9</v>
      </c>
      <c r="F29" s="1127" t="s">
        <v>1466</v>
      </c>
      <c r="G29" s="1128"/>
      <c r="H29" s="1099"/>
      <c r="I29" s="1099"/>
    </row>
    <row r="30" spans="1:9" s="1581" customFormat="1" ht="19.5" customHeight="1">
      <c r="A30" s="3448"/>
      <c r="B30" s="3448"/>
      <c r="C30" s="1125" t="s">
        <v>1467</v>
      </c>
      <c r="D30" s="1126"/>
      <c r="E30" s="1148">
        <v>0.9</v>
      </c>
      <c r="F30" s="1127" t="s">
        <v>1468</v>
      </c>
      <c r="G30" s="1128"/>
      <c r="H30" s="1099"/>
      <c r="I30" s="1099"/>
    </row>
    <row r="31" spans="1:9" s="1581" customFormat="1" ht="19.5" customHeight="1">
      <c r="A31" s="3448"/>
      <c r="B31" s="3448"/>
      <c r="C31" s="1125" t="s">
        <v>1469</v>
      </c>
      <c r="D31" s="1126"/>
      <c r="E31" s="1148">
        <v>0.8</v>
      </c>
      <c r="F31" s="1127" t="s">
        <v>1470</v>
      </c>
      <c r="G31" s="1128"/>
      <c r="H31" s="1099"/>
      <c r="I31" s="1099"/>
    </row>
    <row r="32" spans="1:9" s="1581" customFormat="1" ht="19.5" customHeight="1">
      <c r="A32" s="3448"/>
      <c r="B32" s="3448"/>
      <c r="C32" s="1125" t="s">
        <v>1471</v>
      </c>
      <c r="D32" s="1126"/>
      <c r="E32" s="1148">
        <v>0.8</v>
      </c>
      <c r="F32" s="1127" t="s">
        <v>1472</v>
      </c>
      <c r="G32" s="1128"/>
      <c r="H32" s="1099"/>
      <c r="I32" s="1099"/>
    </row>
    <row r="33" spans="1:9" s="1581" customFormat="1" ht="19.5" customHeight="1">
      <c r="A33" s="3448" t="s">
        <v>1473</v>
      </c>
      <c r="B33" s="1148" t="s">
        <v>1445</v>
      </c>
      <c r="C33" s="1125" t="s">
        <v>1474</v>
      </c>
      <c r="D33" s="1126"/>
      <c r="E33" s="1148">
        <v>1</v>
      </c>
      <c r="F33" s="1127" t="s">
        <v>1475</v>
      </c>
      <c r="G33" s="1128"/>
      <c r="H33" s="1099"/>
      <c r="I33" s="1099"/>
    </row>
    <row r="34" spans="1:9" s="1581" customFormat="1" ht="19.5" customHeight="1">
      <c r="A34" s="3448"/>
      <c r="B34" s="1148" t="s">
        <v>1448</v>
      </c>
      <c r="C34" s="1125" t="s">
        <v>1476</v>
      </c>
      <c r="D34" s="1126"/>
      <c r="E34" s="1148">
        <v>1.5</v>
      </c>
      <c r="F34" s="1127" t="s">
        <v>1477</v>
      </c>
      <c r="G34" s="1128"/>
      <c r="H34" s="1099"/>
      <c r="I34" s="1099"/>
    </row>
    <row r="35" spans="1:9" s="1581" customFormat="1" ht="19.5" customHeight="1">
      <c r="A35" s="3448" t="s">
        <v>1431</v>
      </c>
      <c r="B35" s="1148" t="s">
        <v>1445</v>
      </c>
      <c r="C35" s="1125" t="s">
        <v>1478</v>
      </c>
      <c r="D35" s="1126"/>
      <c r="E35" s="1148">
        <v>1</v>
      </c>
      <c r="F35" s="1127" t="s">
        <v>1479</v>
      </c>
      <c r="G35" s="1128"/>
      <c r="H35" s="1099"/>
      <c r="I35" s="1099"/>
    </row>
    <row r="36" spans="1:9" s="1581" customFormat="1" ht="19.5" customHeight="1">
      <c r="A36" s="3448"/>
      <c r="B36" s="3448" t="s">
        <v>1448</v>
      </c>
      <c r="C36" s="1125" t="s">
        <v>1480</v>
      </c>
      <c r="D36" s="1126"/>
      <c r="E36" s="1148">
        <v>1</v>
      </c>
      <c r="F36" s="1127" t="s">
        <v>1481</v>
      </c>
      <c r="G36" s="1128"/>
      <c r="H36" s="1099"/>
      <c r="I36" s="1099"/>
    </row>
    <row r="37" spans="1:9" s="1581" customFormat="1" ht="19.5" customHeight="1">
      <c r="A37" s="3448"/>
      <c r="B37" s="3448"/>
      <c r="C37" s="1125" t="s">
        <v>1482</v>
      </c>
      <c r="D37" s="1126"/>
      <c r="E37" s="1148">
        <v>1.5</v>
      </c>
      <c r="F37" s="1127" t="s">
        <v>1483</v>
      </c>
      <c r="G37" s="1128"/>
      <c r="H37" s="1099"/>
      <c r="I37" s="1099"/>
    </row>
    <row r="38" spans="1:9" s="1581" customFormat="1" ht="19.5" customHeight="1">
      <c r="A38" s="3448"/>
      <c r="B38" s="3448"/>
      <c r="C38" s="1125" t="s">
        <v>1484</v>
      </c>
      <c r="D38" s="1126"/>
      <c r="E38" s="1148">
        <v>1</v>
      </c>
      <c r="F38" s="1127" t="s">
        <v>1485</v>
      </c>
      <c r="G38" s="1128"/>
      <c r="H38" s="1099"/>
      <c r="I38" s="1099"/>
    </row>
    <row r="39" spans="1:9" s="1581" customFormat="1" ht="19.5" customHeight="1">
      <c r="A39" s="3448"/>
      <c r="B39" s="3448"/>
      <c r="C39" s="1125" t="s">
        <v>1486</v>
      </c>
      <c r="D39" s="1126"/>
      <c r="E39" s="1148">
        <v>1</v>
      </c>
      <c r="F39" s="1127" t="s">
        <v>1487</v>
      </c>
      <c r="G39" s="1128"/>
      <c r="H39" s="1099"/>
      <c r="I39" s="1099"/>
    </row>
    <row r="40" spans="1:9" s="1581" customFormat="1" ht="19.5" customHeight="1">
      <c r="A40" s="1582" t="s">
        <v>1488</v>
      </c>
      <c r="B40" s="1582"/>
      <c r="C40" s="1582"/>
      <c r="D40" s="1582"/>
      <c r="E40" s="1582"/>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36">
      <c r="A61" s="1148">
        <v>1</v>
      </c>
      <c r="B61" s="3448" t="s">
        <v>1500</v>
      </c>
      <c r="C61" s="1062" t="s">
        <v>1501</v>
      </c>
      <c r="D61" s="1062" t="s">
        <v>1502</v>
      </c>
      <c r="E61" s="1133">
        <v>0.5</v>
      </c>
      <c r="F61" s="1148">
        <v>80</v>
      </c>
      <c r="H61" s="1099">
        <f>SUMIF(C59:C119,基准地价!C8,E59:E119)</f>
        <v>0</v>
      </c>
    </row>
    <row r="62" spans="1:8" s="1099" customFormat="1" ht="36">
      <c r="A62" s="1148">
        <v>2</v>
      </c>
      <c r="B62" s="3448"/>
      <c r="C62" s="1062" t="s">
        <v>1503</v>
      </c>
      <c r="D62" s="1062" t="s">
        <v>1504</v>
      </c>
      <c r="E62" s="1133">
        <v>0.5</v>
      </c>
      <c r="F62" s="1148">
        <v>80</v>
      </c>
    </row>
    <row r="63" spans="1:8" s="1099" customFormat="1" ht="48">
      <c r="A63" s="1148">
        <v>3</v>
      </c>
      <c r="B63" s="3448"/>
      <c r="C63" s="1062" t="s">
        <v>1505</v>
      </c>
      <c r="D63" s="1062" t="s">
        <v>1506</v>
      </c>
      <c r="E63" s="1133">
        <v>0.5</v>
      </c>
      <c r="F63" s="1148">
        <v>80</v>
      </c>
    </row>
    <row r="64" spans="1:8" s="1099" customFormat="1" ht="48">
      <c r="A64" s="1148">
        <v>4</v>
      </c>
      <c r="B64" s="3448"/>
      <c r="C64" s="1062" t="s">
        <v>1507</v>
      </c>
      <c r="D64" s="1062" t="s">
        <v>1508</v>
      </c>
      <c r="E64" s="1133">
        <v>0.4</v>
      </c>
      <c r="F64" s="1148">
        <v>60</v>
      </c>
    </row>
    <row r="65" spans="1:6" s="1099" customFormat="1" ht="48">
      <c r="A65" s="1148">
        <v>5</v>
      </c>
      <c r="B65" s="3448"/>
      <c r="C65" s="1062" t="s">
        <v>1509</v>
      </c>
      <c r="D65" s="1062" t="s">
        <v>1510</v>
      </c>
      <c r="E65" s="1133">
        <v>0.2</v>
      </c>
      <c r="F65" s="1148">
        <v>30</v>
      </c>
    </row>
    <row r="66" spans="1:6" s="1099" customFormat="1" ht="48">
      <c r="A66" s="1148">
        <v>6</v>
      </c>
      <c r="B66" s="3448"/>
      <c r="C66" s="1062" t="s">
        <v>1511</v>
      </c>
      <c r="D66" s="1062" t="s">
        <v>1512</v>
      </c>
      <c r="E66" s="1133">
        <v>0.3</v>
      </c>
      <c r="F66" s="1148">
        <v>50</v>
      </c>
    </row>
    <row r="67" spans="1:6" s="1099" customFormat="1" ht="48">
      <c r="A67" s="1148">
        <v>7</v>
      </c>
      <c r="B67" s="3448"/>
      <c r="C67" s="1062" t="s">
        <v>1513</v>
      </c>
      <c r="D67" s="1062" t="s">
        <v>1514</v>
      </c>
      <c r="E67" s="1133">
        <v>0.2</v>
      </c>
      <c r="F67" s="1148">
        <v>30</v>
      </c>
    </row>
    <row r="68" spans="1:6" s="1099" customFormat="1" ht="48">
      <c r="A68" s="1148">
        <v>8</v>
      </c>
      <c r="B68" s="3448"/>
      <c r="C68" s="1062" t="s">
        <v>1515</v>
      </c>
      <c r="D68" s="1062" t="s">
        <v>1516</v>
      </c>
      <c r="E68" s="1133">
        <v>0.2</v>
      </c>
      <c r="F68" s="1148">
        <v>30</v>
      </c>
    </row>
    <row r="69" spans="1:6" s="1099" customFormat="1" ht="48">
      <c r="A69" s="1148">
        <v>9</v>
      </c>
      <c r="B69" s="3448"/>
      <c r="C69" s="1062" t="s">
        <v>1517</v>
      </c>
      <c r="D69" s="1062" t="s">
        <v>1518</v>
      </c>
      <c r="E69" s="1133">
        <v>0.2</v>
      </c>
      <c r="F69" s="1148">
        <v>30</v>
      </c>
    </row>
    <row r="70" spans="1:6" s="1099" customFormat="1" ht="60">
      <c r="A70" s="1148">
        <v>10</v>
      </c>
      <c r="B70" s="3448"/>
      <c r="C70" s="1062" t="s">
        <v>1519</v>
      </c>
      <c r="D70" s="1062" t="s">
        <v>1520</v>
      </c>
      <c r="E70" s="1133">
        <v>0.2</v>
      </c>
      <c r="F70" s="1148">
        <v>30</v>
      </c>
    </row>
    <row r="71" spans="1:6" s="1099" customFormat="1" ht="60">
      <c r="A71" s="1148">
        <v>11</v>
      </c>
      <c r="B71" s="3448"/>
      <c r="C71" s="1062" t="s">
        <v>1521</v>
      </c>
      <c r="D71" s="1062" t="s">
        <v>1522</v>
      </c>
      <c r="E71" s="1133">
        <v>0.2</v>
      </c>
      <c r="F71" s="1148">
        <v>30</v>
      </c>
    </row>
    <row r="72" spans="1:6" s="1099" customFormat="1" ht="36">
      <c r="A72" s="1148">
        <v>12</v>
      </c>
      <c r="B72" s="3448"/>
      <c r="C72" s="1062" t="s">
        <v>1523</v>
      </c>
      <c r="D72" s="1062" t="s">
        <v>1524</v>
      </c>
      <c r="E72" s="1133">
        <v>0.5</v>
      </c>
      <c r="F72" s="1148">
        <v>80</v>
      </c>
    </row>
    <row r="73" spans="1:6" s="1099" customFormat="1" ht="36">
      <c r="A73" s="1148">
        <v>13</v>
      </c>
      <c r="B73" s="3448"/>
      <c r="C73" s="1062" t="s">
        <v>1525</v>
      </c>
      <c r="D73" s="1062" t="s">
        <v>1526</v>
      </c>
      <c r="E73" s="1133">
        <v>0.4</v>
      </c>
      <c r="F73" s="1148">
        <v>60</v>
      </c>
    </row>
    <row r="74" spans="1:6" s="1099" customFormat="1" ht="36">
      <c r="A74" s="1148">
        <v>14</v>
      </c>
      <c r="B74" s="3448"/>
      <c r="C74" s="1062" t="s">
        <v>1527</v>
      </c>
      <c r="D74" s="1062" t="s">
        <v>1528</v>
      </c>
      <c r="E74" s="1133">
        <v>0.2</v>
      </c>
      <c r="F74" s="1148">
        <v>30</v>
      </c>
    </row>
    <row r="75" spans="1:6" s="1099" customFormat="1" ht="36">
      <c r="A75" s="1148">
        <v>15</v>
      </c>
      <c r="B75" s="3448"/>
      <c r="C75" s="1062" t="s">
        <v>1529</v>
      </c>
      <c r="D75" s="1062" t="s">
        <v>1530</v>
      </c>
      <c r="E75" s="1133">
        <v>0.2</v>
      </c>
      <c r="F75" s="1148">
        <v>30</v>
      </c>
    </row>
    <row r="76" spans="1:6" s="1099" customFormat="1" ht="36">
      <c r="A76" s="1148">
        <v>16</v>
      </c>
      <c r="B76" s="3448" t="s">
        <v>1531</v>
      </c>
      <c r="C76" s="1062" t="s">
        <v>1532</v>
      </c>
      <c r="D76" s="1062" t="s">
        <v>1533</v>
      </c>
      <c r="E76" s="1133">
        <v>0.5</v>
      </c>
      <c r="F76" s="1148">
        <v>80</v>
      </c>
    </row>
    <row r="77" spans="1:6" s="1099" customFormat="1" ht="36">
      <c r="A77" s="1148">
        <v>17</v>
      </c>
      <c r="B77" s="3448"/>
      <c r="C77" s="1062" t="s">
        <v>1534</v>
      </c>
      <c r="D77" s="1062" t="s">
        <v>1535</v>
      </c>
      <c r="E77" s="1133">
        <v>0.5</v>
      </c>
      <c r="F77" s="1148">
        <v>80</v>
      </c>
    </row>
    <row r="78" spans="1:6" s="1099" customFormat="1" ht="36">
      <c r="A78" s="1148">
        <v>18</v>
      </c>
      <c r="B78" s="3448"/>
      <c r="C78" s="1062" t="s">
        <v>1536</v>
      </c>
      <c r="D78" s="1062" t="s">
        <v>1537</v>
      </c>
      <c r="E78" s="1133">
        <v>0.2</v>
      </c>
      <c r="F78" s="1148">
        <v>30</v>
      </c>
    </row>
    <row r="79" spans="1:6" s="1099" customFormat="1" ht="36">
      <c r="A79" s="1148">
        <v>19</v>
      </c>
      <c r="B79" s="3448"/>
      <c r="C79" s="1062" t="s">
        <v>1538</v>
      </c>
      <c r="D79" s="1062" t="s">
        <v>1539</v>
      </c>
      <c r="E79" s="1133">
        <v>0.5</v>
      </c>
      <c r="F79" s="1148">
        <v>80</v>
      </c>
    </row>
    <row r="80" spans="1:6" s="1099" customFormat="1" ht="36">
      <c r="A80" s="1148">
        <v>20</v>
      </c>
      <c r="B80" s="3448"/>
      <c r="C80" s="1062" t="s">
        <v>1540</v>
      </c>
      <c r="D80" s="1062" t="s">
        <v>1541</v>
      </c>
      <c r="E80" s="1133">
        <v>0.2</v>
      </c>
      <c r="F80" s="1148">
        <v>30</v>
      </c>
    </row>
    <row r="81" spans="1:6" s="1099" customFormat="1" ht="36">
      <c r="A81" s="1148">
        <v>21</v>
      </c>
      <c r="B81" s="3448"/>
      <c r="C81" s="1062" t="s">
        <v>1542</v>
      </c>
      <c r="D81" s="1062" t="s">
        <v>1543</v>
      </c>
      <c r="E81" s="1133">
        <v>0.2</v>
      </c>
      <c r="F81" s="1148">
        <v>30</v>
      </c>
    </row>
    <row r="82" spans="1:6" s="1099" customFormat="1" ht="60">
      <c r="A82" s="1148">
        <v>22</v>
      </c>
      <c r="B82" s="3448"/>
      <c r="C82" s="1062" t="s">
        <v>1544</v>
      </c>
      <c r="D82" s="1062" t="s">
        <v>1545</v>
      </c>
      <c r="E82" s="1133">
        <v>0.2</v>
      </c>
      <c r="F82" s="1148">
        <v>30</v>
      </c>
    </row>
    <row r="83" spans="1:6" s="1099" customFormat="1" ht="60">
      <c r="A83" s="1148">
        <v>23</v>
      </c>
      <c r="B83" s="3448"/>
      <c r="C83" s="1062" t="s">
        <v>1546</v>
      </c>
      <c r="D83" s="1062" t="s">
        <v>1547</v>
      </c>
      <c r="E83" s="1133">
        <v>0.2</v>
      </c>
      <c r="F83" s="1148">
        <v>30</v>
      </c>
    </row>
    <row r="84" spans="1:6" s="1099" customFormat="1" ht="48">
      <c r="A84" s="1148">
        <v>24</v>
      </c>
      <c r="B84" s="3448"/>
      <c r="C84" s="1062" t="s">
        <v>1548</v>
      </c>
      <c r="D84" s="1062" t="s">
        <v>1549</v>
      </c>
      <c r="E84" s="1133">
        <v>0.2</v>
      </c>
      <c r="F84" s="1148">
        <v>30</v>
      </c>
    </row>
    <row r="85" spans="1:6" s="1099" customFormat="1" ht="36">
      <c r="A85" s="1148">
        <v>25</v>
      </c>
      <c r="B85" s="3448"/>
      <c r="C85" s="1062" t="s">
        <v>1550</v>
      </c>
      <c r="D85" s="1062" t="s">
        <v>1551</v>
      </c>
      <c r="E85" s="1133">
        <v>0.5</v>
      </c>
      <c r="F85" s="1148">
        <v>80</v>
      </c>
    </row>
    <row r="86" spans="1:6" s="1099" customFormat="1" ht="36">
      <c r="A86" s="1148">
        <v>26</v>
      </c>
      <c r="B86" s="3448"/>
      <c r="C86" s="1062" t="s">
        <v>1552</v>
      </c>
      <c r="D86" s="1062" t="s">
        <v>1553</v>
      </c>
      <c r="E86" s="1133">
        <v>0.2</v>
      </c>
      <c r="F86" s="1148">
        <v>30</v>
      </c>
    </row>
    <row r="87" spans="1:6" s="1099" customFormat="1" ht="36">
      <c r="A87" s="1148">
        <v>27</v>
      </c>
      <c r="B87" s="3448"/>
      <c r="C87" s="1062" t="s">
        <v>1554</v>
      </c>
      <c r="D87" s="1062" t="s">
        <v>1555</v>
      </c>
      <c r="E87" s="1133">
        <v>0.2</v>
      </c>
      <c r="F87" s="1148">
        <v>30</v>
      </c>
    </row>
    <row r="88" spans="1:6" s="1099" customFormat="1" ht="36">
      <c r="A88" s="1148">
        <v>28</v>
      </c>
      <c r="B88" s="3448"/>
      <c r="C88" s="1062" t="s">
        <v>1556</v>
      </c>
      <c r="D88" s="1062" t="s">
        <v>1557</v>
      </c>
      <c r="E88" s="1133">
        <v>0.2</v>
      </c>
      <c r="F88" s="1148">
        <v>30</v>
      </c>
    </row>
    <row r="89" spans="1:6" s="1099" customFormat="1" ht="36">
      <c r="A89" s="1148">
        <v>29</v>
      </c>
      <c r="B89" s="3448"/>
      <c r="C89" s="1062" t="s">
        <v>1558</v>
      </c>
      <c r="D89" s="1062" t="s">
        <v>1559</v>
      </c>
      <c r="E89" s="1133">
        <v>0.2</v>
      </c>
      <c r="F89" s="1148">
        <v>30</v>
      </c>
    </row>
    <row r="90" spans="1:6" s="1099" customFormat="1" ht="36">
      <c r="A90" s="1148">
        <v>30</v>
      </c>
      <c r="B90" s="3448"/>
      <c r="C90" s="1062" t="s">
        <v>1560</v>
      </c>
      <c r="D90" s="1062" t="s">
        <v>1561</v>
      </c>
      <c r="E90" s="1133">
        <v>0.2</v>
      </c>
      <c r="F90" s="1148">
        <v>30</v>
      </c>
    </row>
    <row r="91" spans="1:6" s="1099" customFormat="1" ht="48">
      <c r="A91" s="1148">
        <v>31</v>
      </c>
      <c r="B91" s="3448"/>
      <c r="C91" s="1062" t="s">
        <v>1562</v>
      </c>
      <c r="D91" s="1062" t="s">
        <v>1563</v>
      </c>
      <c r="E91" s="1133">
        <v>0.2</v>
      </c>
      <c r="F91" s="1148">
        <v>30</v>
      </c>
    </row>
    <row r="92" spans="1:6" s="1099" customFormat="1" ht="36">
      <c r="A92" s="1148">
        <v>32</v>
      </c>
      <c r="B92" s="3448" t="s">
        <v>1564</v>
      </c>
      <c r="C92" s="1148" t="s">
        <v>1565</v>
      </c>
      <c r="D92" s="1062" t="s">
        <v>1566</v>
      </c>
      <c r="E92" s="1133">
        <v>0.2</v>
      </c>
      <c r="F92" s="1148">
        <v>30</v>
      </c>
    </row>
    <row r="93" spans="1:6" s="1099" customFormat="1" ht="36">
      <c r="A93" s="1148">
        <v>33</v>
      </c>
      <c r="B93" s="3448"/>
      <c r="C93" s="1148" t="s">
        <v>1567</v>
      </c>
      <c r="D93" s="1062" t="s">
        <v>1568</v>
      </c>
      <c r="E93" s="1133">
        <v>0.2</v>
      </c>
      <c r="F93" s="1148">
        <v>30</v>
      </c>
    </row>
    <row r="94" spans="1:6" s="1099" customFormat="1" ht="60">
      <c r="A94" s="1148">
        <v>34</v>
      </c>
      <c r="B94" s="3448"/>
      <c r="C94" s="1148" t="s">
        <v>1569</v>
      </c>
      <c r="D94" s="1062" t="s">
        <v>1570</v>
      </c>
      <c r="E94" s="1133">
        <v>0.2</v>
      </c>
      <c r="F94" s="1148">
        <v>30</v>
      </c>
    </row>
    <row r="95" spans="1:6" s="1099" customFormat="1" ht="48">
      <c r="A95" s="1148">
        <v>35</v>
      </c>
      <c r="B95" s="3448"/>
      <c r="C95" s="1148" t="s">
        <v>1571</v>
      </c>
      <c r="D95" s="1062" t="s">
        <v>1572</v>
      </c>
      <c r="E95" s="1133">
        <v>0.2</v>
      </c>
      <c r="F95" s="1148">
        <v>30</v>
      </c>
    </row>
    <row r="96" spans="1:6" s="1099" customFormat="1" ht="72">
      <c r="A96" s="1148">
        <v>36</v>
      </c>
      <c r="B96" s="3448"/>
      <c r="C96" s="1062" t="s">
        <v>1573</v>
      </c>
      <c r="D96" s="1062" t="s">
        <v>1574</v>
      </c>
      <c r="E96" s="1133">
        <v>0.2</v>
      </c>
      <c r="F96" s="1148">
        <v>30</v>
      </c>
    </row>
    <row r="97" spans="1:6" s="1099" customFormat="1" ht="36">
      <c r="A97" s="1148">
        <v>37</v>
      </c>
      <c r="B97" s="3448"/>
      <c r="C97" s="1148" t="s">
        <v>1575</v>
      </c>
      <c r="D97" s="1062" t="s">
        <v>1576</v>
      </c>
      <c r="E97" s="1133">
        <v>0.2</v>
      </c>
      <c r="F97" s="1148">
        <v>30</v>
      </c>
    </row>
    <row r="98" spans="1:6" s="1099" customFormat="1" ht="36">
      <c r="A98" s="1148">
        <v>38</v>
      </c>
      <c r="B98" s="3448"/>
      <c r="C98" s="1148" t="s">
        <v>1577</v>
      </c>
      <c r="D98" s="1062" t="s">
        <v>1578</v>
      </c>
      <c r="E98" s="1133">
        <v>0.2</v>
      </c>
      <c r="F98" s="1148">
        <v>30</v>
      </c>
    </row>
    <row r="99" spans="1:6" s="1099" customFormat="1" ht="36">
      <c r="A99" s="1148">
        <v>39</v>
      </c>
      <c r="B99" s="3448" t="s">
        <v>1579</v>
      </c>
      <c r="C99" s="1148" t="s">
        <v>1580</v>
      </c>
      <c r="D99" s="1062" t="s">
        <v>1581</v>
      </c>
      <c r="E99" s="1133">
        <v>0.3</v>
      </c>
      <c r="F99" s="1148">
        <v>50</v>
      </c>
    </row>
    <row r="100" spans="1:6" s="1099" customFormat="1" ht="36">
      <c r="A100" s="1148">
        <v>40</v>
      </c>
      <c r="B100" s="3448"/>
      <c r="C100" s="1148" t="s">
        <v>1582</v>
      </c>
      <c r="D100" s="1062" t="s">
        <v>1583</v>
      </c>
      <c r="E100" s="1133">
        <v>0.2</v>
      </c>
      <c r="F100" s="1148">
        <v>30</v>
      </c>
    </row>
    <row r="101" spans="1:6" s="1099" customFormat="1" ht="36">
      <c r="A101" s="1148">
        <v>41</v>
      </c>
      <c r="B101" s="3448"/>
      <c r="C101" s="1148" t="s">
        <v>1584</v>
      </c>
      <c r="D101" s="1062" t="s">
        <v>1581</v>
      </c>
      <c r="E101" s="1133">
        <v>0.2</v>
      </c>
      <c r="F101" s="1148">
        <v>30</v>
      </c>
    </row>
    <row r="102" spans="1:6" s="1099" customFormat="1" ht="72">
      <c r="A102" s="1148">
        <v>42</v>
      </c>
      <c r="B102" s="1148" t="s">
        <v>1585</v>
      </c>
      <c r="C102" s="1062" t="s">
        <v>1586</v>
      </c>
      <c r="D102" s="1062" t="s">
        <v>1587</v>
      </c>
      <c r="E102" s="1133">
        <v>0.2</v>
      </c>
      <c r="F102" s="1148">
        <v>30</v>
      </c>
    </row>
    <row r="103" spans="1:6" s="1099" customFormat="1" ht="36">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48">
      <c r="A105" s="1148">
        <v>45</v>
      </c>
      <c r="B105" s="3448" t="s">
        <v>1594</v>
      </c>
      <c r="C105" s="1148" t="s">
        <v>1595</v>
      </c>
      <c r="D105" s="1062" t="s">
        <v>1596</v>
      </c>
      <c r="E105" s="1133">
        <v>0.2</v>
      </c>
      <c r="F105" s="1148">
        <v>30</v>
      </c>
    </row>
    <row r="106" spans="1:6" s="1099" customFormat="1" ht="48">
      <c r="A106" s="1148">
        <v>46</v>
      </c>
      <c r="B106" s="3448"/>
      <c r="C106" s="1148" t="s">
        <v>1597</v>
      </c>
      <c r="D106" s="1062" t="s">
        <v>1598</v>
      </c>
      <c r="E106" s="1133">
        <v>0.2</v>
      </c>
      <c r="F106" s="1148">
        <v>30</v>
      </c>
    </row>
    <row r="107" spans="1:6" s="1099" customFormat="1" ht="36">
      <c r="A107" s="1148">
        <v>47</v>
      </c>
      <c r="B107" s="3448" t="s">
        <v>1599</v>
      </c>
      <c r="C107" s="1148" t="s">
        <v>1600</v>
      </c>
      <c r="D107" s="1062" t="s">
        <v>1601</v>
      </c>
      <c r="E107" s="1133">
        <v>0.3</v>
      </c>
      <c r="F107" s="1148">
        <v>50</v>
      </c>
    </row>
    <row r="108" spans="1:6" s="1099" customFormat="1" ht="48">
      <c r="A108" s="1148">
        <v>48</v>
      </c>
      <c r="B108" s="3448"/>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48">
      <c r="A110" s="1148">
        <v>50</v>
      </c>
      <c r="B110" s="1148" t="s">
        <v>1607</v>
      </c>
      <c r="C110" s="1148" t="s">
        <v>1608</v>
      </c>
      <c r="D110" s="1062" t="s">
        <v>1609</v>
      </c>
      <c r="E110" s="1133">
        <v>0.2</v>
      </c>
      <c r="F110" s="1148">
        <v>30</v>
      </c>
    </row>
    <row r="111" spans="1:6" s="1099" customFormat="1" ht="48">
      <c r="A111" s="1148">
        <v>51</v>
      </c>
      <c r="B111" s="3448" t="s">
        <v>1610</v>
      </c>
      <c r="C111" s="1148" t="s">
        <v>1611</v>
      </c>
      <c r="D111" s="1062" t="s">
        <v>1612</v>
      </c>
      <c r="E111" s="1133">
        <v>0.2</v>
      </c>
      <c r="F111" s="1148">
        <v>30</v>
      </c>
    </row>
    <row r="112" spans="1:6" s="1099" customFormat="1" ht="36">
      <c r="A112" s="1148">
        <v>52</v>
      </c>
      <c r="B112" s="3448"/>
      <c r="C112" s="1148" t="s">
        <v>1613</v>
      </c>
      <c r="D112" s="1062" t="s">
        <v>1614</v>
      </c>
      <c r="E112" s="1133">
        <v>0.2</v>
      </c>
      <c r="F112" s="1148">
        <v>30</v>
      </c>
    </row>
    <row r="113" spans="1:14" s="1099" customFormat="1" ht="36">
      <c r="A113" s="1148">
        <v>53</v>
      </c>
      <c r="B113" s="3448"/>
      <c r="C113" s="1148" t="s">
        <v>1615</v>
      </c>
      <c r="D113" s="1062" t="s">
        <v>1616</v>
      </c>
      <c r="E113" s="1133">
        <v>0.2</v>
      </c>
      <c r="F113" s="1148">
        <v>30</v>
      </c>
    </row>
    <row r="114" spans="1:14" ht="48">
      <c r="A114" s="1148">
        <v>54</v>
      </c>
      <c r="B114" s="1148" t="s">
        <v>1617</v>
      </c>
      <c r="C114" s="1148" t="s">
        <v>1618</v>
      </c>
      <c r="D114" s="1062" t="s">
        <v>1619</v>
      </c>
      <c r="E114" s="1133">
        <v>0.2</v>
      </c>
      <c r="F114" s="1148">
        <v>30</v>
      </c>
    </row>
    <row r="115" spans="1:14" ht="36">
      <c r="A115" s="1148">
        <v>55</v>
      </c>
      <c r="B115" s="1148" t="s">
        <v>1620</v>
      </c>
      <c r="C115" s="1148" t="s">
        <v>1621</v>
      </c>
      <c r="D115" s="1062" t="s">
        <v>1622</v>
      </c>
      <c r="E115" s="1133">
        <v>0.2</v>
      </c>
      <c r="F115" s="1148">
        <v>30</v>
      </c>
    </row>
    <row r="116" spans="1:14" ht="36">
      <c r="A116" s="1148">
        <v>56</v>
      </c>
      <c r="B116" s="3448" t="s">
        <v>1623</v>
      </c>
      <c r="C116" s="1148" t="s">
        <v>1624</v>
      </c>
      <c r="D116" s="1062" t="s">
        <v>1625</v>
      </c>
      <c r="E116" s="1133">
        <v>0.2</v>
      </c>
      <c r="F116" s="1148">
        <v>30</v>
      </c>
    </row>
    <row r="117" spans="1:14" ht="36">
      <c r="A117" s="1148">
        <v>57</v>
      </c>
      <c r="B117" s="3448"/>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4.4">
      <c r="A119" s="1148"/>
      <c r="B119" s="1148"/>
      <c r="C119" s="1148"/>
      <c r="D119" s="1148"/>
      <c r="E119" s="1133"/>
      <c r="F119" s="1148"/>
    </row>
    <row r="121" spans="1:14" ht="19.5" customHeight="1">
      <c r="A121" s="3447" t="s">
        <v>1632</v>
      </c>
      <c r="B121" s="3447"/>
      <c r="C121" s="3447"/>
      <c r="D121" s="3447"/>
      <c r="E121" s="3447"/>
      <c r="F121" s="3447"/>
      <c r="G121" s="3447"/>
      <c r="H121" s="3447"/>
      <c r="I121" s="3447"/>
      <c r="J121" s="3447"/>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52" t="s">
        <v>1038</v>
      </c>
      <c r="B1" s="3452"/>
      <c r="C1" s="3452"/>
      <c r="D1" s="3452"/>
      <c r="E1" s="3452"/>
      <c r="F1" s="3452"/>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5" thickBot="1">
      <c r="A2" s="3453" t="s">
        <v>1051</v>
      </c>
      <c r="B2" s="3453"/>
      <c r="C2" s="3453"/>
      <c r="D2" s="3453"/>
      <c r="E2" s="3453"/>
      <c r="F2" s="3453"/>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4"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55"/>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2419</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2420</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903</v>
      </c>
      <c r="B103" s="1008"/>
      <c r="C103" s="1008"/>
      <c r="D103" s="1008"/>
      <c r="E103" s="1008"/>
      <c r="F103" s="1008"/>
      <c r="G103" s="1008"/>
      <c r="H103" s="1008"/>
      <c r="I103" s="1008"/>
      <c r="J103" s="1008"/>
      <c r="K103" s="1008"/>
      <c r="L103" s="1008"/>
      <c r="M103" s="1008"/>
      <c r="N103" s="1008"/>
    </row>
    <row r="104" spans="1:14" ht="15.6">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56" t="s">
        <v>2076</v>
      </c>
      <c r="B1" s="3456"/>
    </row>
    <row r="2" spans="1:6" ht="15" thickBot="1">
      <c r="A2" s="1833"/>
      <c r="B2" s="1833"/>
    </row>
    <row r="3" spans="1:6" ht="15" thickBot="1">
      <c r="A3" s="1833"/>
      <c r="B3" s="1833"/>
      <c r="C3" s="1834" t="s">
        <v>2077</v>
      </c>
      <c r="D3" s="1834" t="s">
        <v>2078</v>
      </c>
      <c r="E3" s="1834" t="s">
        <v>2079</v>
      </c>
      <c r="F3" s="1834" t="s">
        <v>2080</v>
      </c>
    </row>
    <row r="4" spans="1:6" ht="15" thickBot="1">
      <c r="A4" s="1835" t="s">
        <v>2081</v>
      </c>
      <c r="B4" s="1836" t="s">
        <v>2082</v>
      </c>
      <c r="C4" s="1834"/>
      <c r="D4" s="1834"/>
      <c r="E4" s="1834"/>
      <c r="F4" s="1834"/>
    </row>
    <row r="5" spans="1:6" ht="15" thickBot="1">
      <c r="A5" s="1837" t="s">
        <v>2083</v>
      </c>
      <c r="B5" s="1838" t="s">
        <v>2084</v>
      </c>
      <c r="C5" s="1839">
        <v>8.8999999999999996E-2</v>
      </c>
      <c r="D5" s="1839">
        <v>7.3999999999999996E-2</v>
      </c>
      <c r="E5" s="1839">
        <v>7.4999999999999997E-2</v>
      </c>
      <c r="F5" s="1840">
        <v>0.1</v>
      </c>
    </row>
    <row r="6" spans="1:6" ht="15" thickBot="1">
      <c r="A6" s="1837" t="s">
        <v>1095</v>
      </c>
      <c r="B6" s="1841" t="s">
        <v>2085</v>
      </c>
      <c r="C6" s="1842">
        <v>0.1</v>
      </c>
      <c r="D6" s="1842">
        <v>9.0999999999999998E-2</v>
      </c>
      <c r="E6" s="1842">
        <v>9.0999999999999998E-2</v>
      </c>
      <c r="F6" s="1843">
        <v>0.1</v>
      </c>
    </row>
    <row r="7" spans="1:6" ht="15" thickBot="1">
      <c r="A7" s="1837" t="s">
        <v>1095</v>
      </c>
      <c r="B7" s="1844" t="s">
        <v>1083</v>
      </c>
      <c r="C7" s="1842">
        <v>8.5999999999999993E-2</v>
      </c>
      <c r="D7" s="1842">
        <v>9.6000000000000002E-2</v>
      </c>
      <c r="E7" s="1842">
        <v>7.5999999999999998E-2</v>
      </c>
      <c r="F7" s="1843">
        <v>0.1</v>
      </c>
    </row>
    <row r="8" spans="1:6" ht="15" thickBot="1">
      <c r="A8" s="1837" t="s">
        <v>1095</v>
      </c>
      <c r="B8" s="1841" t="s">
        <v>1096</v>
      </c>
      <c r="C8" s="1842">
        <v>9.9000000000000005E-2</v>
      </c>
      <c r="D8" s="1842">
        <v>9.8000000000000004E-2</v>
      </c>
      <c r="E8" s="1842">
        <v>9.8000000000000004E-2</v>
      </c>
      <c r="F8" s="1843">
        <v>0.1</v>
      </c>
    </row>
    <row r="9" spans="1:6" ht="15" thickBot="1">
      <c r="A9" s="1845" t="s">
        <v>1095</v>
      </c>
      <c r="B9" s="1846" t="s">
        <v>1110</v>
      </c>
      <c r="C9" s="1847">
        <v>0.05</v>
      </c>
      <c r="D9" s="1848"/>
      <c r="E9" s="1848"/>
      <c r="F9" s="1849"/>
    </row>
    <row r="10" spans="1:6" ht="15" thickBot="1">
      <c r="A10" s="1837" t="s">
        <v>1154</v>
      </c>
      <c r="B10" s="1838" t="s">
        <v>2086</v>
      </c>
      <c r="C10" s="1839">
        <v>8.8999999999999996E-2</v>
      </c>
      <c r="D10" s="1839">
        <v>7.2999999999999995E-2</v>
      </c>
      <c r="E10" s="1839">
        <v>8.2000000000000003E-2</v>
      </c>
      <c r="F10" s="1840">
        <v>0.1</v>
      </c>
    </row>
    <row r="11" spans="1:6" ht="15" thickBot="1">
      <c r="A11" s="1837" t="s">
        <v>1154</v>
      </c>
      <c r="B11" s="1844" t="s">
        <v>1070</v>
      </c>
      <c r="C11" s="1842">
        <v>8.8999999999999996E-2</v>
      </c>
      <c r="D11" s="1842">
        <v>7.2999999999999995E-2</v>
      </c>
      <c r="E11" s="1842">
        <v>8.2000000000000003E-2</v>
      </c>
      <c r="F11" s="1843">
        <v>0.1</v>
      </c>
    </row>
    <row r="12" spans="1:6" ht="15" thickBot="1">
      <c r="A12" s="1837" t="s">
        <v>1154</v>
      </c>
      <c r="B12" s="1844" t="s">
        <v>1084</v>
      </c>
      <c r="C12" s="1842">
        <v>6.0999999999999999E-2</v>
      </c>
      <c r="D12" s="1842">
        <v>7.0999999999999994E-2</v>
      </c>
      <c r="E12" s="1842">
        <v>9.6000000000000002E-2</v>
      </c>
      <c r="F12" s="1843">
        <v>0.1</v>
      </c>
    </row>
    <row r="13" spans="1:6" ht="15" thickBot="1">
      <c r="A13" s="1837" t="s">
        <v>1154</v>
      </c>
      <c r="B13" s="1844" t="s">
        <v>1097</v>
      </c>
      <c r="C13" s="1842">
        <v>6.9000000000000006E-2</v>
      </c>
      <c r="D13" s="1842">
        <v>6.5000000000000002E-2</v>
      </c>
      <c r="E13" s="1842">
        <v>6.6000000000000003E-2</v>
      </c>
      <c r="F13" s="1843">
        <v>0.1</v>
      </c>
    </row>
    <row r="14" spans="1:6" ht="15" thickBot="1">
      <c r="A14" s="1837" t="s">
        <v>1154</v>
      </c>
      <c r="B14" s="1844" t="s">
        <v>1111</v>
      </c>
      <c r="C14" s="1842">
        <v>0.1</v>
      </c>
      <c r="D14" s="1842">
        <v>6.5000000000000002E-2</v>
      </c>
      <c r="E14" s="1842">
        <v>7.0000000000000007E-2</v>
      </c>
      <c r="F14" s="1843">
        <v>0.1</v>
      </c>
    </row>
    <row r="15" spans="1:6" ht="15" thickBot="1">
      <c r="A15" s="1837" t="s">
        <v>1154</v>
      </c>
      <c r="B15" s="1844" t="s">
        <v>1122</v>
      </c>
      <c r="C15" s="1842">
        <v>9.8000000000000004E-2</v>
      </c>
      <c r="D15" s="1842">
        <v>8.8999999999999996E-2</v>
      </c>
      <c r="E15" s="1842">
        <v>8.8999999999999996E-2</v>
      </c>
      <c r="F15" s="1843">
        <v>0.1</v>
      </c>
    </row>
    <row r="16" spans="1:6" ht="15" thickBot="1">
      <c r="A16" s="1837" t="s">
        <v>1154</v>
      </c>
      <c r="B16" s="1844" t="s">
        <v>1133</v>
      </c>
      <c r="C16" s="1842">
        <v>7.0000000000000007E-2</v>
      </c>
      <c r="D16" s="1842">
        <v>9.2999999999999999E-2</v>
      </c>
      <c r="E16" s="1842">
        <v>9.6000000000000002E-2</v>
      </c>
      <c r="F16" s="1843">
        <v>0.1</v>
      </c>
    </row>
    <row r="17" spans="1:6" ht="15" thickBot="1">
      <c r="A17" s="1837" t="s">
        <v>1154</v>
      </c>
      <c r="B17" s="1844" t="s">
        <v>1144</v>
      </c>
      <c r="C17" s="1842">
        <v>9.5000000000000001E-2</v>
      </c>
      <c r="D17" s="1842">
        <v>0.1</v>
      </c>
      <c r="E17" s="1842">
        <v>0.1</v>
      </c>
      <c r="F17" s="1850"/>
    </row>
    <row r="18" spans="1:6" ht="15" thickBot="1">
      <c r="A18" s="1837" t="s">
        <v>1154</v>
      </c>
      <c r="B18" s="1844" t="s">
        <v>1156</v>
      </c>
      <c r="C18" s="1842">
        <v>7.3999999999999996E-2</v>
      </c>
      <c r="D18" s="1842">
        <v>9.9000000000000005E-2</v>
      </c>
      <c r="E18" s="1842">
        <v>0.1</v>
      </c>
      <c r="F18" s="1850"/>
    </row>
    <row r="19" spans="1:6" ht="15" thickBot="1">
      <c r="A19" s="1837" t="s">
        <v>1154</v>
      </c>
      <c r="B19" s="1844" t="s">
        <v>1166</v>
      </c>
      <c r="C19" s="1842">
        <v>9.9000000000000005E-2</v>
      </c>
      <c r="D19" s="1842">
        <v>7.5999999999999998E-2</v>
      </c>
      <c r="E19" s="1842">
        <v>8.6999999999999994E-2</v>
      </c>
      <c r="F19" s="1850"/>
    </row>
    <row r="20" spans="1:6" ht="15" thickBot="1">
      <c r="A20" s="1837" t="s">
        <v>1154</v>
      </c>
      <c r="B20" s="1844" t="s">
        <v>1176</v>
      </c>
      <c r="C20" s="1842">
        <v>9.8000000000000004E-2</v>
      </c>
      <c r="D20" s="1842">
        <v>8.5000000000000006E-2</v>
      </c>
      <c r="E20" s="1842">
        <v>8.2000000000000003E-2</v>
      </c>
      <c r="F20" s="1850"/>
    </row>
    <row r="21" spans="1:6" ht="15" thickBot="1">
      <c r="A21" s="1837" t="s">
        <v>1154</v>
      </c>
      <c r="B21" s="1844" t="s">
        <v>1186</v>
      </c>
      <c r="C21" s="1842">
        <v>6.6000000000000003E-2</v>
      </c>
      <c r="D21" s="1842">
        <v>6.4000000000000001E-2</v>
      </c>
      <c r="E21" s="1842">
        <v>6.5000000000000002E-2</v>
      </c>
      <c r="F21" s="1850"/>
    </row>
    <row r="22" spans="1:6" ht="15" thickBot="1">
      <c r="A22" s="1837" t="s">
        <v>1154</v>
      </c>
      <c r="B22" s="1844" t="s">
        <v>2087</v>
      </c>
      <c r="C22" s="1842">
        <v>0.08</v>
      </c>
      <c r="D22" s="1842">
        <v>9.8000000000000004E-2</v>
      </c>
      <c r="E22" s="1842">
        <v>9.8000000000000004E-2</v>
      </c>
      <c r="F22" s="1850"/>
    </row>
    <row r="23" spans="1:6" ht="15" thickBot="1">
      <c r="A23" s="1837" t="s">
        <v>1154</v>
      </c>
      <c r="B23" s="1844" t="s">
        <v>1206</v>
      </c>
      <c r="C23" s="1842">
        <v>9.9000000000000005E-2</v>
      </c>
      <c r="D23" s="1842">
        <v>9.8000000000000004E-2</v>
      </c>
      <c r="E23" s="1842">
        <v>9.0999999999999998E-2</v>
      </c>
      <c r="F23" s="1850"/>
    </row>
    <row r="24" spans="1:6" ht="15" thickBot="1">
      <c r="A24" s="1837" t="s">
        <v>1154</v>
      </c>
      <c r="B24" s="1844" t="s">
        <v>1216</v>
      </c>
      <c r="C24" s="1842">
        <v>8.8999999999999996E-2</v>
      </c>
      <c r="D24" s="1842">
        <v>9.7000000000000003E-2</v>
      </c>
      <c r="E24" s="1842">
        <v>7.0000000000000007E-2</v>
      </c>
      <c r="F24" s="1850"/>
    </row>
    <row r="25" spans="1:6" ht="15" thickBot="1">
      <c r="A25" s="1837" t="s">
        <v>1154</v>
      </c>
      <c r="B25" s="1844" t="s">
        <v>1226</v>
      </c>
      <c r="C25" s="1842">
        <v>8.8999999999999996E-2</v>
      </c>
      <c r="D25" s="1842">
        <v>0.1</v>
      </c>
      <c r="E25" s="1842">
        <v>8.1000000000000003E-2</v>
      </c>
      <c r="F25" s="1850"/>
    </row>
    <row r="26" spans="1:6" ht="15" thickBot="1">
      <c r="A26" s="1837" t="s">
        <v>1154</v>
      </c>
      <c r="B26" s="1844" t="s">
        <v>1236</v>
      </c>
      <c r="C26" s="1851"/>
      <c r="D26" s="1842">
        <v>9.6000000000000002E-2</v>
      </c>
      <c r="E26" s="1842">
        <v>9.2999999999999999E-2</v>
      </c>
      <c r="F26" s="1850"/>
    </row>
    <row r="27" spans="1:6" ht="15" thickBot="1">
      <c r="A27" s="1837" t="s">
        <v>1154</v>
      </c>
      <c r="B27" s="1844" t="s">
        <v>1246</v>
      </c>
      <c r="C27" s="1851"/>
      <c r="D27" s="1842">
        <v>7.5999999999999998E-2</v>
      </c>
      <c r="E27" s="1842">
        <v>9.1999999999999998E-2</v>
      </c>
      <c r="F27" s="1850"/>
    </row>
    <row r="28" spans="1:6" ht="15" thickBot="1">
      <c r="A28" s="1845" t="s">
        <v>1154</v>
      </c>
      <c r="B28" s="1846" t="s">
        <v>1256</v>
      </c>
      <c r="C28" s="1848"/>
      <c r="D28" s="1847">
        <v>7.5999999999999998E-2</v>
      </c>
      <c r="E28" s="1847">
        <v>9.1999999999999998E-2</v>
      </c>
      <c r="F28" s="1849"/>
    </row>
    <row r="29" spans="1:6" ht="15" thickBot="1">
      <c r="A29" s="1837" t="s">
        <v>1325</v>
      </c>
      <c r="B29" s="1838" t="s">
        <v>2088</v>
      </c>
      <c r="C29" s="1839">
        <v>6.4000000000000001E-2</v>
      </c>
      <c r="D29" s="1839">
        <v>6.5000000000000002E-2</v>
      </c>
      <c r="E29" s="1839">
        <v>6.9000000000000006E-2</v>
      </c>
      <c r="F29" s="1840">
        <v>0.1</v>
      </c>
    </row>
    <row r="30" spans="1:6" ht="15" thickBot="1">
      <c r="A30" s="1837" t="s">
        <v>1325</v>
      </c>
      <c r="B30" s="1844" t="s">
        <v>1071</v>
      </c>
      <c r="C30" s="1842">
        <v>6.4000000000000001E-2</v>
      </c>
      <c r="D30" s="1842">
        <v>9.9000000000000005E-2</v>
      </c>
      <c r="E30" s="1842">
        <v>0.1</v>
      </c>
      <c r="F30" s="1843">
        <v>0.1</v>
      </c>
    </row>
    <row r="31" spans="1:6" ht="15" thickBot="1">
      <c r="A31" s="1837" t="s">
        <v>1325</v>
      </c>
      <c r="B31" s="1844" t="s">
        <v>1085</v>
      </c>
      <c r="C31" s="1842">
        <v>0.1</v>
      </c>
      <c r="D31" s="1842">
        <v>9.5000000000000001E-2</v>
      </c>
      <c r="E31" s="1842">
        <v>8.8999999999999996E-2</v>
      </c>
      <c r="F31" s="1843">
        <v>0.1</v>
      </c>
    </row>
    <row r="32" spans="1:6" ht="15" thickBot="1">
      <c r="A32" s="1837" t="s">
        <v>1325</v>
      </c>
      <c r="B32" s="1844" t="s">
        <v>1098</v>
      </c>
      <c r="C32" s="1842">
        <v>0.05</v>
      </c>
      <c r="D32" s="1842">
        <v>0.05</v>
      </c>
      <c r="E32" s="1842">
        <v>8.7999999999999995E-2</v>
      </c>
      <c r="F32" s="1843">
        <v>0.1</v>
      </c>
    </row>
    <row r="33" spans="1:6" ht="15" thickBot="1">
      <c r="A33" s="1837" t="s">
        <v>1325</v>
      </c>
      <c r="B33" s="1844" t="s">
        <v>1112</v>
      </c>
      <c r="C33" s="1842">
        <v>7.4999999999999997E-2</v>
      </c>
      <c r="D33" s="1842">
        <v>9.4E-2</v>
      </c>
      <c r="E33" s="1842">
        <v>9.7000000000000003E-2</v>
      </c>
      <c r="F33" s="1843">
        <v>0.1</v>
      </c>
    </row>
    <row r="34" spans="1:6" ht="15" thickBot="1">
      <c r="A34" s="1837" t="s">
        <v>1325</v>
      </c>
      <c r="B34" s="1844" t="s">
        <v>1123</v>
      </c>
      <c r="C34" s="1842">
        <v>9.8000000000000004E-2</v>
      </c>
      <c r="D34" s="1842">
        <v>8.5999999999999993E-2</v>
      </c>
      <c r="E34" s="1842">
        <v>9.7000000000000003E-2</v>
      </c>
      <c r="F34" s="1843">
        <v>0.1</v>
      </c>
    </row>
    <row r="35" spans="1:6" ht="15" thickBot="1">
      <c r="A35" s="1837" t="s">
        <v>1325</v>
      </c>
      <c r="B35" s="1844" t="s">
        <v>1134</v>
      </c>
      <c r="C35" s="1842">
        <v>5.8999999999999997E-2</v>
      </c>
      <c r="D35" s="1842">
        <v>6.5000000000000002E-2</v>
      </c>
      <c r="E35" s="1842">
        <v>7.0000000000000007E-2</v>
      </c>
      <c r="F35" s="1843">
        <v>0.1</v>
      </c>
    </row>
    <row r="36" spans="1:6" ht="15" thickBot="1">
      <c r="A36" s="1837" t="s">
        <v>1325</v>
      </c>
      <c r="B36" s="1844" t="s">
        <v>1145</v>
      </c>
      <c r="C36" s="1842">
        <v>6.3E-2</v>
      </c>
      <c r="D36" s="1842">
        <v>0.1</v>
      </c>
      <c r="E36" s="1842">
        <v>0.1</v>
      </c>
      <c r="F36" s="1843">
        <v>0.1</v>
      </c>
    </row>
    <row r="37" spans="1:6" ht="15" thickBot="1">
      <c r="A37" s="1837" t="s">
        <v>1325</v>
      </c>
      <c r="B37" s="1844" t="s">
        <v>1157</v>
      </c>
      <c r="C37" s="1842">
        <v>7.3999999999999996E-2</v>
      </c>
      <c r="D37" s="1842">
        <v>0.1</v>
      </c>
      <c r="E37" s="1842">
        <v>0.1</v>
      </c>
      <c r="F37" s="1843">
        <v>0.1</v>
      </c>
    </row>
    <row r="38" spans="1:6" ht="15" thickBot="1">
      <c r="A38" s="1837" t="s">
        <v>1325</v>
      </c>
      <c r="B38" s="1844" t="s">
        <v>1167</v>
      </c>
      <c r="C38" s="1842">
        <v>0.1</v>
      </c>
      <c r="D38" s="1842">
        <v>9.6000000000000002E-2</v>
      </c>
      <c r="E38" s="1842">
        <v>9.6000000000000002E-2</v>
      </c>
      <c r="F38" s="1850"/>
    </row>
    <row r="39" spans="1:6" ht="15" thickBot="1">
      <c r="A39" s="1837" t="s">
        <v>1325</v>
      </c>
      <c r="B39" s="1844" t="s">
        <v>1177</v>
      </c>
      <c r="C39" s="1842">
        <v>0.1</v>
      </c>
      <c r="D39" s="1842">
        <v>9.6000000000000002E-2</v>
      </c>
      <c r="E39" s="1842">
        <v>9.6000000000000002E-2</v>
      </c>
      <c r="F39" s="1850"/>
    </row>
    <row r="40" spans="1:6" ht="15" thickBot="1">
      <c r="A40" s="1837" t="s">
        <v>1325</v>
      </c>
      <c r="B40" s="1844" t="s">
        <v>1187</v>
      </c>
      <c r="C40" s="1842">
        <v>9.6000000000000002E-2</v>
      </c>
      <c r="D40" s="1842">
        <v>0.1</v>
      </c>
      <c r="E40" s="1842">
        <v>9.9000000000000005E-2</v>
      </c>
      <c r="F40" s="1850"/>
    </row>
    <row r="41" spans="1:6" ht="15" thickBot="1">
      <c r="A41" s="1837" t="s">
        <v>1325</v>
      </c>
      <c r="B41" s="1844" t="s">
        <v>1197</v>
      </c>
      <c r="C41" s="1842">
        <v>9.6000000000000002E-2</v>
      </c>
      <c r="D41" s="1842">
        <v>9.8000000000000004E-2</v>
      </c>
      <c r="E41" s="1842">
        <v>9.8000000000000004E-2</v>
      </c>
      <c r="F41" s="1850"/>
    </row>
    <row r="42" spans="1:6" ht="15" thickBot="1">
      <c r="A42" s="1837" t="s">
        <v>1325</v>
      </c>
      <c r="B42" s="1844" t="s">
        <v>1207</v>
      </c>
      <c r="C42" s="1842">
        <v>0.1</v>
      </c>
      <c r="D42" s="1842">
        <v>8.7999999999999995E-2</v>
      </c>
      <c r="E42" s="1842">
        <v>0.1</v>
      </c>
      <c r="F42" s="1850"/>
    </row>
    <row r="43" spans="1:6" ht="15" thickBot="1">
      <c r="A43" s="1837" t="s">
        <v>1325</v>
      </c>
      <c r="B43" s="1844" t="s">
        <v>1217</v>
      </c>
      <c r="C43" s="1842">
        <v>9.8000000000000004E-2</v>
      </c>
      <c r="D43" s="1842">
        <v>9.7000000000000003E-2</v>
      </c>
      <c r="E43" s="1842">
        <v>9.6000000000000002E-2</v>
      </c>
      <c r="F43" s="1850"/>
    </row>
    <row r="44" spans="1:6" ht="15" thickBot="1">
      <c r="A44" s="1837" t="s">
        <v>1325</v>
      </c>
      <c r="B44" s="1844" t="s">
        <v>1227</v>
      </c>
      <c r="C44" s="1842">
        <v>8.5999999999999993E-2</v>
      </c>
      <c r="D44" s="1842">
        <v>7.9000000000000001E-2</v>
      </c>
      <c r="E44" s="1842">
        <v>7.0999999999999994E-2</v>
      </c>
      <c r="F44" s="1850"/>
    </row>
    <row r="45" spans="1:6" ht="15" thickBot="1">
      <c r="A45" s="1837" t="s">
        <v>1325</v>
      </c>
      <c r="B45" s="1844" t="s">
        <v>1237</v>
      </c>
      <c r="C45" s="1842">
        <v>9.8000000000000004E-2</v>
      </c>
      <c r="D45" s="1842">
        <v>9.6000000000000002E-2</v>
      </c>
      <c r="E45" s="1842">
        <v>9.6000000000000002E-2</v>
      </c>
      <c r="F45" s="1850"/>
    </row>
    <row r="46" spans="1:6" ht="15" thickBot="1">
      <c r="A46" s="1837" t="s">
        <v>1325</v>
      </c>
      <c r="B46" s="1844" t="s">
        <v>1247</v>
      </c>
      <c r="C46" s="1842">
        <v>8.5999999999999993E-2</v>
      </c>
      <c r="D46" s="1842">
        <v>9.8000000000000004E-2</v>
      </c>
      <c r="E46" s="1842">
        <v>8.7999999999999995E-2</v>
      </c>
      <c r="F46" s="1850"/>
    </row>
    <row r="47" spans="1:6" ht="15" thickBot="1">
      <c r="A47" s="1837" t="s">
        <v>1325</v>
      </c>
      <c r="B47" s="1844" t="s">
        <v>1257</v>
      </c>
      <c r="C47" s="1842">
        <v>9.6000000000000002E-2</v>
      </c>
      <c r="D47" s="1851"/>
      <c r="E47" s="1842">
        <v>6.9000000000000006E-2</v>
      </c>
      <c r="F47" s="1850"/>
    </row>
    <row r="48" spans="1:6" ht="15" thickBot="1">
      <c r="A48" s="1845" t="s">
        <v>1325</v>
      </c>
      <c r="B48" s="1846" t="s">
        <v>1266</v>
      </c>
      <c r="C48" s="1847">
        <v>9.8000000000000004E-2</v>
      </c>
      <c r="D48" s="1848"/>
      <c r="E48" s="1847">
        <v>9.5000000000000001E-2</v>
      </c>
      <c r="F48" s="1849"/>
    </row>
    <row r="49" spans="1:6" ht="15" thickBot="1">
      <c r="A49" s="1837" t="s">
        <v>924</v>
      </c>
      <c r="B49" s="1838" t="s">
        <v>2089</v>
      </c>
      <c r="C49" s="1839">
        <v>9.7000000000000003E-2</v>
      </c>
      <c r="D49" s="1839">
        <v>9.5000000000000001E-2</v>
      </c>
      <c r="E49" s="1839">
        <v>9.7000000000000003E-2</v>
      </c>
      <c r="F49" s="1840">
        <v>0.1</v>
      </c>
    </row>
    <row r="50" spans="1:6" ht="15" thickBot="1">
      <c r="A50" s="1837" t="s">
        <v>924</v>
      </c>
      <c r="B50" s="1841" t="s">
        <v>1072</v>
      </c>
      <c r="C50" s="1842">
        <v>7.4999999999999997E-2</v>
      </c>
      <c r="D50" s="1842">
        <v>9.5000000000000001E-2</v>
      </c>
      <c r="E50" s="1842">
        <v>0.1</v>
      </c>
      <c r="F50" s="1843">
        <v>0.1</v>
      </c>
    </row>
    <row r="51" spans="1:6" ht="15" thickBot="1">
      <c r="A51" s="1837" t="s">
        <v>924</v>
      </c>
      <c r="B51" s="1841" t="s">
        <v>1086</v>
      </c>
      <c r="C51" s="1842">
        <v>9.8000000000000004E-2</v>
      </c>
      <c r="D51" s="1842">
        <v>8.8999999999999996E-2</v>
      </c>
      <c r="E51" s="1842">
        <v>0.1</v>
      </c>
      <c r="F51" s="1843">
        <v>0.1</v>
      </c>
    </row>
    <row r="52" spans="1:6" ht="15" thickBot="1">
      <c r="A52" s="1837" t="s">
        <v>924</v>
      </c>
      <c r="B52" s="1841" t="s">
        <v>1099</v>
      </c>
      <c r="C52" s="1842">
        <v>9.8000000000000004E-2</v>
      </c>
      <c r="D52" s="1842">
        <v>9.7000000000000003E-2</v>
      </c>
      <c r="E52" s="1842">
        <v>8.1000000000000003E-2</v>
      </c>
      <c r="F52" s="1843">
        <v>0.1</v>
      </c>
    </row>
    <row r="53" spans="1:6" ht="15" thickBot="1">
      <c r="A53" s="1837" t="s">
        <v>924</v>
      </c>
      <c r="B53" s="1841" t="s">
        <v>1113</v>
      </c>
      <c r="C53" s="1842">
        <v>9.7000000000000003E-2</v>
      </c>
      <c r="D53" s="1842">
        <v>7.5999999999999998E-2</v>
      </c>
      <c r="E53" s="1842">
        <v>7.0999999999999994E-2</v>
      </c>
      <c r="F53" s="1843">
        <v>0.1</v>
      </c>
    </row>
    <row r="54" spans="1:6" ht="15" thickBot="1">
      <c r="A54" s="1837" t="s">
        <v>924</v>
      </c>
      <c r="B54" s="1841" t="s">
        <v>1124</v>
      </c>
      <c r="C54" s="1842">
        <v>7.5999999999999998E-2</v>
      </c>
      <c r="D54" s="1842">
        <v>0.1</v>
      </c>
      <c r="E54" s="1842">
        <v>9.9000000000000005E-2</v>
      </c>
      <c r="F54" s="1843">
        <v>0.1</v>
      </c>
    </row>
    <row r="55" spans="1:6" ht="15" thickBot="1">
      <c r="A55" s="1837" t="s">
        <v>924</v>
      </c>
      <c r="B55" s="1841" t="s">
        <v>1135</v>
      </c>
      <c r="C55" s="1842">
        <v>0.1</v>
      </c>
      <c r="D55" s="1842">
        <v>0.1</v>
      </c>
      <c r="E55" s="1842">
        <v>9.6000000000000002E-2</v>
      </c>
      <c r="F55" s="1843">
        <v>0.1</v>
      </c>
    </row>
    <row r="56" spans="1:6" ht="15" thickBot="1">
      <c r="A56" s="1837" t="s">
        <v>924</v>
      </c>
      <c r="B56" s="1841" t="s">
        <v>1146</v>
      </c>
      <c r="C56" s="1842">
        <v>0.1</v>
      </c>
      <c r="D56" s="1842">
        <v>9.6000000000000002E-2</v>
      </c>
      <c r="E56" s="1842">
        <v>5.1999999999999998E-2</v>
      </c>
      <c r="F56" s="1843">
        <v>0.1</v>
      </c>
    </row>
    <row r="57" spans="1:6" ht="15" thickBot="1">
      <c r="A57" s="1837" t="s">
        <v>924</v>
      </c>
      <c r="B57" s="1841" t="s">
        <v>1158</v>
      </c>
      <c r="C57" s="1842">
        <v>9.7000000000000003E-2</v>
      </c>
      <c r="D57" s="1842">
        <v>9.6000000000000002E-2</v>
      </c>
      <c r="E57" s="1842">
        <v>9.6000000000000002E-2</v>
      </c>
      <c r="F57" s="1843">
        <v>0.1</v>
      </c>
    </row>
    <row r="58" spans="1:6" ht="15" thickBot="1">
      <c r="A58" s="1837" t="s">
        <v>924</v>
      </c>
      <c r="B58" s="1841" t="s">
        <v>1168</v>
      </c>
      <c r="C58" s="1842">
        <v>9.6000000000000002E-2</v>
      </c>
      <c r="D58" s="1842">
        <v>9.9000000000000005E-2</v>
      </c>
      <c r="E58" s="1842">
        <v>9.6000000000000002E-2</v>
      </c>
      <c r="F58" s="1843">
        <v>0.1</v>
      </c>
    </row>
    <row r="59" spans="1:6" ht="15" thickBot="1">
      <c r="A59" s="1837" t="s">
        <v>924</v>
      </c>
      <c r="B59" s="1841" t="s">
        <v>1178</v>
      </c>
      <c r="C59" s="1842">
        <v>7.1999999999999995E-2</v>
      </c>
      <c r="D59" s="1842">
        <v>9.6000000000000002E-2</v>
      </c>
      <c r="E59" s="1842">
        <v>7.0999999999999994E-2</v>
      </c>
      <c r="F59" s="1843">
        <v>0.1</v>
      </c>
    </row>
    <row r="60" spans="1:6" ht="15" thickBot="1">
      <c r="A60" s="1837" t="s">
        <v>924</v>
      </c>
      <c r="B60" s="1841" t="s">
        <v>1188</v>
      </c>
      <c r="C60" s="1842">
        <v>9.6000000000000002E-2</v>
      </c>
      <c r="D60" s="1842">
        <v>8.8999999999999996E-2</v>
      </c>
      <c r="E60" s="1842">
        <v>9.6000000000000002E-2</v>
      </c>
      <c r="F60" s="1843">
        <v>0.1</v>
      </c>
    </row>
    <row r="61" spans="1:6" ht="15" thickBot="1">
      <c r="A61" s="1837" t="s">
        <v>924</v>
      </c>
      <c r="B61" s="1841" t="s">
        <v>1198</v>
      </c>
      <c r="C61" s="1842">
        <v>8.8999999999999996E-2</v>
      </c>
      <c r="D61" s="1842">
        <v>9.8000000000000004E-2</v>
      </c>
      <c r="E61" s="1842">
        <v>8.7999999999999995E-2</v>
      </c>
      <c r="F61" s="1850"/>
    </row>
    <row r="62" spans="1:6" ht="15" thickBot="1">
      <c r="A62" s="1837" t="s">
        <v>924</v>
      </c>
      <c r="B62" s="1841" t="s">
        <v>1208</v>
      </c>
      <c r="C62" s="1842">
        <v>9.8000000000000004E-2</v>
      </c>
      <c r="D62" s="1842">
        <v>9.2999999999999999E-2</v>
      </c>
      <c r="E62" s="1842">
        <v>9.7000000000000003E-2</v>
      </c>
      <c r="F62" s="1850"/>
    </row>
    <row r="63" spans="1:6" ht="15" thickBot="1">
      <c r="A63" s="1837" t="s">
        <v>924</v>
      </c>
      <c r="B63" s="1841" t="s">
        <v>1218</v>
      </c>
      <c r="C63" s="1842">
        <v>9.6000000000000002E-2</v>
      </c>
      <c r="D63" s="1842">
        <v>9.8000000000000004E-2</v>
      </c>
      <c r="E63" s="1842">
        <v>0.09</v>
      </c>
      <c r="F63" s="1850"/>
    </row>
    <row r="64" spans="1:6" ht="15" thickBot="1">
      <c r="A64" s="1837" t="s">
        <v>924</v>
      </c>
      <c r="B64" s="1841" t="s">
        <v>1228</v>
      </c>
      <c r="C64" s="1842">
        <v>9.9000000000000005E-2</v>
      </c>
      <c r="D64" s="1842">
        <v>9.7000000000000003E-2</v>
      </c>
      <c r="E64" s="1842">
        <v>9.9000000000000005E-2</v>
      </c>
      <c r="F64" s="1850"/>
    </row>
    <row r="65" spans="1:6" ht="15" thickBot="1">
      <c r="A65" s="1837" t="s">
        <v>924</v>
      </c>
      <c r="B65" s="1841" t="s">
        <v>1238</v>
      </c>
      <c r="C65" s="1842">
        <v>9.8000000000000004E-2</v>
      </c>
      <c r="D65" s="1842">
        <v>9.6000000000000002E-2</v>
      </c>
      <c r="E65" s="1842">
        <v>9.6000000000000002E-2</v>
      </c>
      <c r="F65" s="1850"/>
    </row>
    <row r="66" spans="1:6" ht="15" thickBot="1">
      <c r="A66" s="1837" t="s">
        <v>924</v>
      </c>
      <c r="B66" s="1841" t="s">
        <v>1248</v>
      </c>
      <c r="C66" s="1842">
        <v>9.6000000000000002E-2</v>
      </c>
      <c r="D66" s="1842">
        <v>9.1999999999999998E-2</v>
      </c>
      <c r="E66" s="1842">
        <v>9.6000000000000002E-2</v>
      </c>
      <c r="F66" s="1850"/>
    </row>
    <row r="67" spans="1:6" ht="15" thickBot="1">
      <c r="A67" s="1837" t="s">
        <v>924</v>
      </c>
      <c r="B67" s="1841" t="s">
        <v>1258</v>
      </c>
      <c r="C67" s="1842">
        <v>9.4E-2</v>
      </c>
      <c r="D67" s="1842">
        <v>0.1</v>
      </c>
      <c r="E67" s="1842">
        <v>8.7999999999999995E-2</v>
      </c>
      <c r="F67" s="1850"/>
    </row>
    <row r="68" spans="1:6" ht="15" thickBot="1">
      <c r="A68" s="1837" t="s">
        <v>924</v>
      </c>
      <c r="B68" s="1841" t="s">
        <v>1267</v>
      </c>
      <c r="C68" s="1842">
        <v>0.1</v>
      </c>
      <c r="D68" s="1842">
        <v>8.7999999999999995E-2</v>
      </c>
      <c r="E68" s="1842">
        <v>9.7000000000000003E-2</v>
      </c>
      <c r="F68" s="1850"/>
    </row>
    <row r="69" spans="1:6" ht="15" thickBot="1">
      <c r="A69" s="1837" t="s">
        <v>924</v>
      </c>
      <c r="B69" s="1841" t="s">
        <v>1276</v>
      </c>
      <c r="C69" s="1842">
        <v>6.4000000000000001E-2</v>
      </c>
      <c r="D69" s="1842">
        <v>0.1</v>
      </c>
      <c r="E69" s="1842">
        <v>0.1</v>
      </c>
      <c r="F69" s="1850"/>
    </row>
    <row r="70" spans="1:6" ht="15" thickBot="1">
      <c r="A70" s="1837" t="s">
        <v>924</v>
      </c>
      <c r="B70" s="1841" t="s">
        <v>1284</v>
      </c>
      <c r="C70" s="1842">
        <v>9.0999999999999998E-2</v>
      </c>
      <c r="D70" s="1851"/>
      <c r="E70" s="1851"/>
      <c r="F70" s="1850"/>
    </row>
    <row r="71" spans="1:6" ht="15" thickBot="1">
      <c r="A71" s="1837" t="s">
        <v>924</v>
      </c>
      <c r="B71" s="1841" t="s">
        <v>1291</v>
      </c>
      <c r="C71" s="1842">
        <v>0.1</v>
      </c>
      <c r="D71" s="1851"/>
      <c r="E71" s="1851"/>
      <c r="F71" s="1850"/>
    </row>
    <row r="72" spans="1:6" ht="24.6" thickBot="1">
      <c r="A72" s="1837" t="s">
        <v>924</v>
      </c>
      <c r="B72" s="1841" t="s">
        <v>2090</v>
      </c>
      <c r="C72" s="1851"/>
      <c r="D72" s="1851"/>
      <c r="E72" s="1851"/>
      <c r="F72" s="1843">
        <v>0.05</v>
      </c>
    </row>
    <row r="73" spans="1:6" ht="24.6" thickBot="1">
      <c r="A73" s="1837" t="s">
        <v>924</v>
      </c>
      <c r="B73" s="1841" t="s">
        <v>2091</v>
      </c>
      <c r="C73" s="1851"/>
      <c r="D73" s="1851"/>
      <c r="E73" s="1851"/>
      <c r="F73" s="1843">
        <v>0.05</v>
      </c>
    </row>
    <row r="74" spans="1:6" ht="24.6" thickBot="1">
      <c r="A74" s="1837" t="s">
        <v>924</v>
      </c>
      <c r="B74" s="1841" t="s">
        <v>2092</v>
      </c>
      <c r="C74" s="1851"/>
      <c r="D74" s="1851"/>
      <c r="E74" s="1851"/>
      <c r="F74" s="1843">
        <v>0.05</v>
      </c>
    </row>
    <row r="75" spans="1:6" ht="24.6" thickBot="1">
      <c r="A75" s="1845" t="s">
        <v>924</v>
      </c>
      <c r="B75" s="1852" t="s">
        <v>2093</v>
      </c>
      <c r="C75" s="1848"/>
      <c r="D75" s="1848"/>
      <c r="E75" s="1848"/>
      <c r="F75" s="1853">
        <v>0.05</v>
      </c>
    </row>
    <row r="76" spans="1:6" ht="15" thickBot="1">
      <c r="A76" s="1837" t="s">
        <v>1406</v>
      </c>
      <c r="B76" s="1838" t="s">
        <v>2094</v>
      </c>
      <c r="C76" s="1839">
        <v>0.1</v>
      </c>
      <c r="D76" s="1839">
        <v>0.1</v>
      </c>
      <c r="E76" s="1839">
        <v>0.1</v>
      </c>
      <c r="F76" s="1840">
        <v>0.1</v>
      </c>
    </row>
    <row r="77" spans="1:6" ht="15" thickBot="1">
      <c r="A77" s="1837" t="s">
        <v>1406</v>
      </c>
      <c r="B77" s="1841" t="s">
        <v>1073</v>
      </c>
      <c r="C77" s="1842">
        <v>8.7999999999999995E-2</v>
      </c>
      <c r="D77" s="1842">
        <v>8.6999999999999994E-2</v>
      </c>
      <c r="E77" s="1842">
        <v>7.9000000000000001E-2</v>
      </c>
      <c r="F77" s="1843">
        <v>0.1</v>
      </c>
    </row>
    <row r="78" spans="1:6" ht="15" thickBot="1">
      <c r="A78" s="1837" t="s">
        <v>1406</v>
      </c>
      <c r="B78" s="1841" t="s">
        <v>1087</v>
      </c>
      <c r="C78" s="1842">
        <v>8.6999999999999994E-2</v>
      </c>
      <c r="D78" s="1842">
        <v>8.4000000000000005E-2</v>
      </c>
      <c r="E78" s="1842">
        <v>9.6000000000000002E-2</v>
      </c>
      <c r="F78" s="1843">
        <v>0.1</v>
      </c>
    </row>
    <row r="79" spans="1:6" ht="15" thickBot="1">
      <c r="A79" s="1837" t="s">
        <v>1406</v>
      </c>
      <c r="B79" s="1841" t="s">
        <v>1100</v>
      </c>
      <c r="C79" s="1842">
        <v>9.8000000000000004E-2</v>
      </c>
      <c r="D79" s="1842">
        <v>9.8000000000000004E-2</v>
      </c>
      <c r="E79" s="1842">
        <v>9.0999999999999998E-2</v>
      </c>
      <c r="F79" s="1843">
        <v>0.1</v>
      </c>
    </row>
    <row r="80" spans="1:6" ht="15" thickBot="1">
      <c r="A80" s="1837" t="s">
        <v>1406</v>
      </c>
      <c r="B80" s="1841" t="s">
        <v>1114</v>
      </c>
      <c r="C80" s="1842">
        <v>9.6000000000000002E-2</v>
      </c>
      <c r="D80" s="1842">
        <v>9.6000000000000002E-2</v>
      </c>
      <c r="E80" s="1842">
        <v>0.1</v>
      </c>
      <c r="F80" s="1843">
        <v>0.1</v>
      </c>
    </row>
    <row r="81" spans="1:6" ht="15" thickBot="1">
      <c r="A81" s="1837" t="s">
        <v>1406</v>
      </c>
      <c r="B81" s="1841" t="s">
        <v>1125</v>
      </c>
      <c r="C81" s="1842">
        <v>9.9000000000000005E-2</v>
      </c>
      <c r="D81" s="1842">
        <v>9.9000000000000005E-2</v>
      </c>
      <c r="E81" s="1842">
        <v>9.8000000000000004E-2</v>
      </c>
      <c r="F81" s="1843">
        <v>0.1</v>
      </c>
    </row>
    <row r="82" spans="1:6" ht="15" thickBot="1">
      <c r="A82" s="1837" t="s">
        <v>1406</v>
      </c>
      <c r="B82" s="1841" t="s">
        <v>1136</v>
      </c>
      <c r="C82" s="1842">
        <v>9.9000000000000005E-2</v>
      </c>
      <c r="D82" s="1842">
        <v>9.9000000000000005E-2</v>
      </c>
      <c r="E82" s="1842">
        <v>9.7000000000000003E-2</v>
      </c>
      <c r="F82" s="1843">
        <v>0.1</v>
      </c>
    </row>
    <row r="83" spans="1:6" ht="15" thickBot="1">
      <c r="A83" s="1837" t="s">
        <v>1406</v>
      </c>
      <c r="B83" s="1841" t="s">
        <v>1147</v>
      </c>
      <c r="C83" s="1842">
        <v>9.8000000000000004E-2</v>
      </c>
      <c r="D83" s="1842">
        <v>9.8000000000000004E-2</v>
      </c>
      <c r="E83" s="1842">
        <v>9.8000000000000004E-2</v>
      </c>
      <c r="F83" s="1843">
        <v>0.1</v>
      </c>
    </row>
    <row r="84" spans="1:6" ht="15" thickBot="1">
      <c r="A84" s="1837" t="s">
        <v>1406</v>
      </c>
      <c r="B84" s="1841" t="s">
        <v>1159</v>
      </c>
      <c r="C84" s="1842">
        <v>9.9000000000000005E-2</v>
      </c>
      <c r="D84" s="1842">
        <v>9.9000000000000005E-2</v>
      </c>
      <c r="E84" s="1842">
        <v>9.9000000000000005E-2</v>
      </c>
      <c r="F84" s="1843">
        <v>0.1</v>
      </c>
    </row>
    <row r="85" spans="1:6" ht="15" thickBot="1">
      <c r="A85" s="1837" t="s">
        <v>1406</v>
      </c>
      <c r="B85" s="1841" t="s">
        <v>1169</v>
      </c>
      <c r="C85" s="1842">
        <v>9.9000000000000005E-2</v>
      </c>
      <c r="D85" s="1842">
        <v>9.9000000000000005E-2</v>
      </c>
      <c r="E85" s="1842">
        <v>9.9000000000000005E-2</v>
      </c>
      <c r="F85" s="1843">
        <v>0.1</v>
      </c>
    </row>
    <row r="86" spans="1:6" ht="15" thickBot="1">
      <c r="A86" s="1837" t="s">
        <v>1406</v>
      </c>
      <c r="B86" s="1841" t="s">
        <v>1179</v>
      </c>
      <c r="C86" s="1842">
        <v>0.1</v>
      </c>
      <c r="D86" s="1842">
        <v>0.1</v>
      </c>
      <c r="E86" s="1842">
        <v>7.6999999999999999E-2</v>
      </c>
      <c r="F86" s="1843">
        <v>0.1</v>
      </c>
    </row>
    <row r="87" spans="1:6" ht="15" thickBot="1">
      <c r="A87" s="1837" t="s">
        <v>1406</v>
      </c>
      <c r="B87" s="1841" t="s">
        <v>1189</v>
      </c>
      <c r="C87" s="1842">
        <v>0.1</v>
      </c>
      <c r="D87" s="1842">
        <v>0.1</v>
      </c>
      <c r="E87" s="1842">
        <v>9.8000000000000004E-2</v>
      </c>
      <c r="F87" s="1850"/>
    </row>
    <row r="88" spans="1:6" ht="15" thickBot="1">
      <c r="A88" s="1837" t="s">
        <v>1406</v>
      </c>
      <c r="B88" s="1841" t="s">
        <v>1199</v>
      </c>
      <c r="C88" s="1842">
        <v>9.1999999999999998E-2</v>
      </c>
      <c r="D88" s="1842">
        <v>8.5000000000000006E-2</v>
      </c>
      <c r="E88" s="1842">
        <v>9.6000000000000002E-2</v>
      </c>
      <c r="F88" s="1850"/>
    </row>
    <row r="89" spans="1:6" ht="15" thickBot="1">
      <c r="A89" s="1837" t="s">
        <v>1406</v>
      </c>
      <c r="B89" s="1841" t="s">
        <v>1209</v>
      </c>
      <c r="C89" s="1842">
        <v>0.1</v>
      </c>
      <c r="D89" s="1842">
        <v>0.1</v>
      </c>
      <c r="E89" s="1842">
        <v>9.7000000000000003E-2</v>
      </c>
      <c r="F89" s="1850"/>
    </row>
    <row r="90" spans="1:6" ht="15" thickBot="1">
      <c r="A90" s="1837" t="s">
        <v>1406</v>
      </c>
      <c r="B90" s="1841" t="s">
        <v>1219</v>
      </c>
      <c r="C90" s="1842">
        <v>9.8000000000000004E-2</v>
      </c>
      <c r="D90" s="1842">
        <v>9.8000000000000004E-2</v>
      </c>
      <c r="E90" s="1842">
        <v>8.7999999999999995E-2</v>
      </c>
      <c r="F90" s="1850"/>
    </row>
    <row r="91" spans="1:6" ht="15" thickBot="1">
      <c r="A91" s="1837" t="s">
        <v>1406</v>
      </c>
      <c r="B91" s="1841" t="s">
        <v>1229</v>
      </c>
      <c r="C91" s="1842">
        <v>9.9000000000000005E-2</v>
      </c>
      <c r="D91" s="1842">
        <v>9.9000000000000005E-2</v>
      </c>
      <c r="E91" s="1842">
        <v>9.0999999999999998E-2</v>
      </c>
      <c r="F91" s="1850"/>
    </row>
    <row r="92" spans="1:6" ht="15" thickBot="1">
      <c r="A92" s="1837" t="s">
        <v>1406</v>
      </c>
      <c r="B92" s="1841" t="s">
        <v>1239</v>
      </c>
      <c r="C92" s="1842">
        <v>9.6000000000000002E-2</v>
      </c>
      <c r="D92" s="1842">
        <v>9.6000000000000002E-2</v>
      </c>
      <c r="E92" s="1842">
        <v>7.2999999999999995E-2</v>
      </c>
      <c r="F92" s="1850"/>
    </row>
    <row r="93" spans="1:6" ht="15" thickBot="1">
      <c r="A93" s="1837" t="s">
        <v>1406</v>
      </c>
      <c r="B93" s="1841" t="s">
        <v>1249</v>
      </c>
      <c r="C93" s="1842">
        <v>9.6000000000000002E-2</v>
      </c>
      <c r="D93" s="1842">
        <v>9.6000000000000002E-2</v>
      </c>
      <c r="E93" s="1842">
        <v>9.9000000000000005E-2</v>
      </c>
      <c r="F93" s="1850"/>
    </row>
    <row r="94" spans="1:6" ht="15" thickBot="1">
      <c r="A94" s="1837" t="s">
        <v>1406</v>
      </c>
      <c r="B94" s="1841" t="s">
        <v>1259</v>
      </c>
      <c r="C94" s="1842">
        <v>7.5999999999999998E-2</v>
      </c>
      <c r="D94" s="1842">
        <v>7.3999999999999996E-2</v>
      </c>
      <c r="E94" s="1842">
        <v>9.7000000000000003E-2</v>
      </c>
      <c r="F94" s="1850"/>
    </row>
    <row r="95" spans="1:6" ht="15" thickBot="1">
      <c r="A95" s="1837" t="s">
        <v>1406</v>
      </c>
      <c r="B95" s="1841" t="s">
        <v>1268</v>
      </c>
      <c r="C95" s="1842">
        <v>9.9000000000000005E-2</v>
      </c>
      <c r="D95" s="1842">
        <v>9.4E-2</v>
      </c>
      <c r="E95" s="1842">
        <v>9.6000000000000002E-2</v>
      </c>
      <c r="F95" s="1850"/>
    </row>
    <row r="96" spans="1:6" ht="15" thickBot="1">
      <c r="A96" s="1837" t="s">
        <v>1406</v>
      </c>
      <c r="B96" s="1841" t="s">
        <v>1277</v>
      </c>
      <c r="C96" s="1842">
        <v>9.9000000000000005E-2</v>
      </c>
      <c r="D96" s="1842">
        <v>9.9000000000000005E-2</v>
      </c>
      <c r="E96" s="1842">
        <v>9.9000000000000005E-2</v>
      </c>
      <c r="F96" s="1850"/>
    </row>
    <row r="97" spans="1:6" ht="15" thickBot="1">
      <c r="A97" s="1837" t="s">
        <v>1406</v>
      </c>
      <c r="B97" s="1841" t="s">
        <v>1285</v>
      </c>
      <c r="C97" s="1842">
        <v>9.8000000000000004E-2</v>
      </c>
      <c r="D97" s="1842">
        <v>9.8000000000000004E-2</v>
      </c>
      <c r="E97" s="1842">
        <v>9.7000000000000003E-2</v>
      </c>
      <c r="F97" s="1850"/>
    </row>
    <row r="98" spans="1:6" ht="15" thickBot="1">
      <c r="A98" s="1837" t="s">
        <v>1406</v>
      </c>
      <c r="B98" s="1841" t="s">
        <v>1292</v>
      </c>
      <c r="C98" s="1842">
        <v>0.1</v>
      </c>
      <c r="D98" s="1842">
        <v>0.1</v>
      </c>
      <c r="E98" s="1842">
        <v>9.7000000000000003E-2</v>
      </c>
      <c r="F98" s="1850"/>
    </row>
    <row r="99" spans="1:6" ht="15" thickBot="1">
      <c r="A99" s="1837" t="s">
        <v>1406</v>
      </c>
      <c r="B99" s="1841" t="s">
        <v>1299</v>
      </c>
      <c r="C99" s="1842">
        <v>0.1</v>
      </c>
      <c r="D99" s="1842">
        <v>0.1</v>
      </c>
      <c r="E99" s="1851"/>
      <c r="F99" s="1850"/>
    </row>
    <row r="100" spans="1:6" ht="15" thickBot="1">
      <c r="A100" s="1837" t="s">
        <v>1406</v>
      </c>
      <c r="B100" s="1841" t="s">
        <v>1306</v>
      </c>
      <c r="C100" s="1842">
        <v>0.09</v>
      </c>
      <c r="D100" s="1842">
        <v>8.8999999999999996E-2</v>
      </c>
      <c r="E100" s="1851"/>
      <c r="F100" s="1850"/>
    </row>
    <row r="101" spans="1:6" ht="15" thickBot="1">
      <c r="A101" s="1837" t="s">
        <v>1406</v>
      </c>
      <c r="B101" s="1841" t="s">
        <v>1313</v>
      </c>
      <c r="C101" s="1842">
        <v>9.8000000000000004E-2</v>
      </c>
      <c r="D101" s="1842">
        <v>9.7000000000000003E-2</v>
      </c>
      <c r="E101" s="1851"/>
      <c r="F101" s="1850"/>
    </row>
    <row r="102" spans="1:6" ht="24.6" thickBot="1">
      <c r="A102" s="1837" t="s">
        <v>1406</v>
      </c>
      <c r="B102" s="1841" t="s">
        <v>2095</v>
      </c>
      <c r="C102" s="1851"/>
      <c r="D102" s="1851"/>
      <c r="E102" s="1851"/>
      <c r="F102" s="1843">
        <v>0.05</v>
      </c>
    </row>
    <row r="103" spans="1:6" ht="24.6" thickBot="1">
      <c r="A103" s="1837" t="s">
        <v>1406</v>
      </c>
      <c r="B103" s="1841" t="s">
        <v>2096</v>
      </c>
      <c r="C103" s="1851"/>
      <c r="D103" s="1851"/>
      <c r="E103" s="1851"/>
      <c r="F103" s="1843">
        <v>0.05</v>
      </c>
    </row>
    <row r="104" spans="1:6" ht="15" thickBot="1">
      <c r="A104" s="1837" t="s">
        <v>1406</v>
      </c>
      <c r="B104" s="1841" t="s">
        <v>2097</v>
      </c>
      <c r="C104" s="1851"/>
      <c r="D104" s="1851"/>
      <c r="E104" s="1851"/>
      <c r="F104" s="1843">
        <v>0.05</v>
      </c>
    </row>
    <row r="105" spans="1:6" ht="24.6" thickBot="1">
      <c r="A105" s="1837" t="s">
        <v>1406</v>
      </c>
      <c r="B105" s="1841" t="s">
        <v>2098</v>
      </c>
      <c r="C105" s="1851"/>
      <c r="D105" s="1851"/>
      <c r="E105" s="1851"/>
      <c r="F105" s="1843">
        <v>0.05</v>
      </c>
    </row>
    <row r="106" spans="1:6" ht="24.6" thickBot="1">
      <c r="A106" s="1837" t="s">
        <v>1406</v>
      </c>
      <c r="B106" s="1841" t="s">
        <v>2099</v>
      </c>
      <c r="C106" s="1851"/>
      <c r="D106" s="1851"/>
      <c r="E106" s="1851"/>
      <c r="F106" s="1843">
        <v>0.05</v>
      </c>
    </row>
    <row r="107" spans="1:6" ht="24.6" thickBot="1">
      <c r="A107" s="1837" t="s">
        <v>1406</v>
      </c>
      <c r="B107" s="1841" t="s">
        <v>2100</v>
      </c>
      <c r="C107" s="1851"/>
      <c r="D107" s="1851"/>
      <c r="E107" s="1851"/>
      <c r="F107" s="1843">
        <v>0.05</v>
      </c>
    </row>
    <row r="108" spans="1:6" ht="24.6" thickBot="1">
      <c r="A108" s="1837" t="s">
        <v>1406</v>
      </c>
      <c r="B108" s="1841" t="s">
        <v>2101</v>
      </c>
      <c r="C108" s="1851"/>
      <c r="D108" s="1851"/>
      <c r="E108" s="1851"/>
      <c r="F108" s="1843">
        <v>0.05</v>
      </c>
    </row>
    <row r="109" spans="1:6" ht="24.6" thickBot="1">
      <c r="A109" s="1845" t="s">
        <v>1406</v>
      </c>
      <c r="B109" s="1852" t="s">
        <v>2102</v>
      </c>
      <c r="C109" s="1848"/>
      <c r="D109" s="1848"/>
      <c r="E109" s="1848"/>
      <c r="F109" s="1853">
        <v>0.05</v>
      </c>
    </row>
    <row r="110" spans="1:6" ht="15" thickBot="1">
      <c r="A110" s="1837" t="s">
        <v>1408</v>
      </c>
      <c r="B110" s="1838" t="s">
        <v>2103</v>
      </c>
      <c r="C110" s="1839">
        <v>0.129</v>
      </c>
      <c r="D110" s="1839">
        <v>0.129</v>
      </c>
      <c r="E110" s="1839">
        <v>0.126</v>
      </c>
      <c r="F110" s="1840">
        <v>0.13</v>
      </c>
    </row>
    <row r="111" spans="1:6" ht="15" thickBot="1">
      <c r="A111" s="1837" t="s">
        <v>1408</v>
      </c>
      <c r="B111" s="1841" t="s">
        <v>1074</v>
      </c>
      <c r="C111" s="1842">
        <v>0.11</v>
      </c>
      <c r="D111" s="1842">
        <v>0.11</v>
      </c>
      <c r="E111" s="1842">
        <v>9.9000000000000005E-2</v>
      </c>
      <c r="F111" s="1843">
        <v>0.128</v>
      </c>
    </row>
    <row r="112" spans="1:6" ht="15" thickBot="1">
      <c r="A112" s="1837" t="s">
        <v>1408</v>
      </c>
      <c r="B112" s="1841" t="s">
        <v>1088</v>
      </c>
      <c r="C112" s="1842">
        <v>0.125</v>
      </c>
      <c r="D112" s="1842">
        <v>0.125</v>
      </c>
      <c r="E112" s="1842">
        <v>0.12</v>
      </c>
      <c r="F112" s="1843">
        <v>0.125</v>
      </c>
    </row>
    <row r="113" spans="1:6" ht="15" thickBot="1">
      <c r="A113" s="1837" t="s">
        <v>1408</v>
      </c>
      <c r="B113" s="1841" t="s">
        <v>1101</v>
      </c>
      <c r="C113" s="1842">
        <v>0.13</v>
      </c>
      <c r="D113" s="1842">
        <v>0.13</v>
      </c>
      <c r="E113" s="1842">
        <v>0.13</v>
      </c>
      <c r="F113" s="1843">
        <v>0.13</v>
      </c>
    </row>
    <row r="114" spans="1:6" ht="15" thickBot="1">
      <c r="A114" s="1837" t="s">
        <v>1408</v>
      </c>
      <c r="B114" s="1841" t="s">
        <v>1115</v>
      </c>
      <c r="C114" s="1842">
        <v>0.123</v>
      </c>
      <c r="D114" s="1842">
        <v>0.123</v>
      </c>
      <c r="E114" s="1842">
        <v>0.12</v>
      </c>
      <c r="F114" s="1843">
        <v>0.13</v>
      </c>
    </row>
    <row r="115" spans="1:6" ht="15" thickBot="1">
      <c r="A115" s="1837" t="s">
        <v>1408</v>
      </c>
      <c r="B115" s="1841" t="s">
        <v>1126</v>
      </c>
      <c r="C115" s="1842">
        <v>0.125</v>
      </c>
      <c r="D115" s="1842">
        <v>0.125</v>
      </c>
      <c r="E115" s="1842">
        <v>0.11700000000000001</v>
      </c>
      <c r="F115" s="1843">
        <v>0.13</v>
      </c>
    </row>
    <row r="116" spans="1:6" ht="15" thickBot="1">
      <c r="A116" s="1837" t="s">
        <v>1408</v>
      </c>
      <c r="B116" s="1841" t="s">
        <v>1137</v>
      </c>
      <c r="C116" s="1842">
        <v>0.11700000000000001</v>
      </c>
      <c r="D116" s="1842">
        <v>0.11700000000000001</v>
      </c>
      <c r="E116" s="1842">
        <v>8.7999999999999995E-2</v>
      </c>
      <c r="F116" s="1843">
        <v>0.13</v>
      </c>
    </row>
    <row r="117" spans="1:6" ht="15" thickBot="1">
      <c r="A117" s="1837" t="s">
        <v>1408</v>
      </c>
      <c r="B117" s="1841" t="s">
        <v>1148</v>
      </c>
      <c r="C117" s="1842">
        <v>0.13</v>
      </c>
      <c r="D117" s="1842">
        <v>0.13</v>
      </c>
      <c r="E117" s="1842">
        <v>0.129</v>
      </c>
      <c r="F117" s="1843">
        <v>0.13</v>
      </c>
    </row>
    <row r="118" spans="1:6" ht="15" thickBot="1">
      <c r="A118" s="1837" t="s">
        <v>1408</v>
      </c>
      <c r="B118" s="1841" t="s">
        <v>1160</v>
      </c>
      <c r="C118" s="1842">
        <v>0.123</v>
      </c>
      <c r="D118" s="1842">
        <v>0.123</v>
      </c>
      <c r="E118" s="1842">
        <v>0.11600000000000001</v>
      </c>
      <c r="F118" s="1843">
        <v>0.13</v>
      </c>
    </row>
    <row r="119" spans="1:6" ht="15" thickBot="1">
      <c r="A119" s="1837" t="s">
        <v>1408</v>
      </c>
      <c r="B119" s="1841" t="s">
        <v>1170</v>
      </c>
      <c r="C119" s="1842">
        <v>0.127</v>
      </c>
      <c r="D119" s="1842">
        <v>0.127</v>
      </c>
      <c r="E119" s="1842">
        <v>0.124</v>
      </c>
      <c r="F119" s="1843">
        <v>0.13</v>
      </c>
    </row>
    <row r="120" spans="1:6" ht="15" thickBot="1">
      <c r="A120" s="1837" t="s">
        <v>1408</v>
      </c>
      <c r="B120" s="1841" t="s">
        <v>1180</v>
      </c>
      <c r="C120" s="1842">
        <v>0.125</v>
      </c>
      <c r="D120" s="1842">
        <v>0.125</v>
      </c>
      <c r="E120" s="1842">
        <v>0.122</v>
      </c>
      <c r="F120" s="1843">
        <v>0.13</v>
      </c>
    </row>
    <row r="121" spans="1:6" ht="15" thickBot="1">
      <c r="A121" s="1837" t="s">
        <v>1408</v>
      </c>
      <c r="B121" s="1841" t="s">
        <v>1190</v>
      </c>
      <c r="C121" s="1842">
        <v>0.13</v>
      </c>
      <c r="D121" s="1842">
        <v>0.13</v>
      </c>
      <c r="E121" s="1842">
        <v>0.13</v>
      </c>
      <c r="F121" s="1843">
        <v>0.13</v>
      </c>
    </row>
    <row r="122" spans="1:6" ht="15" thickBot="1">
      <c r="A122" s="1837" t="s">
        <v>1408</v>
      </c>
      <c r="B122" s="1841" t="s">
        <v>1200</v>
      </c>
      <c r="C122" s="1842">
        <v>0.13</v>
      </c>
      <c r="D122" s="1842">
        <v>0.13</v>
      </c>
      <c r="E122" s="1842">
        <v>0.125</v>
      </c>
      <c r="F122" s="1843">
        <v>0.13</v>
      </c>
    </row>
    <row r="123" spans="1:6" ht="15" thickBot="1">
      <c r="A123" s="1837" t="s">
        <v>1408</v>
      </c>
      <c r="B123" s="1841" t="s">
        <v>1210</v>
      </c>
      <c r="C123" s="1842">
        <v>0.129</v>
      </c>
      <c r="D123" s="1842">
        <v>0.129</v>
      </c>
      <c r="E123" s="1842">
        <v>0.123</v>
      </c>
      <c r="F123" s="1843">
        <v>0.13</v>
      </c>
    </row>
    <row r="124" spans="1:6" ht="15" thickBot="1">
      <c r="A124" s="1837" t="s">
        <v>1408</v>
      </c>
      <c r="B124" s="1841" t="s">
        <v>1220</v>
      </c>
      <c r="C124" s="1842">
        <v>0.10199999999999999</v>
      </c>
      <c r="D124" s="1842">
        <v>0.10100000000000001</v>
      </c>
      <c r="E124" s="1842">
        <v>0.08</v>
      </c>
      <c r="F124" s="1850"/>
    </row>
    <row r="125" spans="1:6" ht="15" thickBot="1">
      <c r="A125" s="1837" t="s">
        <v>1408</v>
      </c>
      <c r="B125" s="1841" t="s">
        <v>1230</v>
      </c>
      <c r="C125" s="1842">
        <v>0.13</v>
      </c>
      <c r="D125" s="1842">
        <v>0.13</v>
      </c>
      <c r="E125" s="1842">
        <v>0.129</v>
      </c>
      <c r="F125" s="1850"/>
    </row>
    <row r="126" spans="1:6" ht="15" thickBot="1">
      <c r="A126" s="1837" t="s">
        <v>1408</v>
      </c>
      <c r="B126" s="1841" t="s">
        <v>1240</v>
      </c>
      <c r="C126" s="1842">
        <v>0.13</v>
      </c>
      <c r="D126" s="1842">
        <v>0.13</v>
      </c>
      <c r="E126" s="1842">
        <v>0.126</v>
      </c>
      <c r="F126" s="1850"/>
    </row>
    <row r="127" spans="1:6" ht="15" thickBot="1">
      <c r="A127" s="1837" t="s">
        <v>1408</v>
      </c>
      <c r="B127" s="1841" t="s">
        <v>1250</v>
      </c>
      <c r="C127" s="1842">
        <v>0.125</v>
      </c>
      <c r="D127" s="1842">
        <v>0.125</v>
      </c>
      <c r="E127" s="1842">
        <v>0.121</v>
      </c>
      <c r="F127" s="1850"/>
    </row>
    <row r="128" spans="1:6" ht="15" thickBot="1">
      <c r="A128" s="1837" t="s">
        <v>1408</v>
      </c>
      <c r="B128" s="1841" t="s">
        <v>1260</v>
      </c>
      <c r="C128" s="1842">
        <v>0.12</v>
      </c>
      <c r="D128" s="1842">
        <v>0.12</v>
      </c>
      <c r="E128" s="1842">
        <v>0.105</v>
      </c>
      <c r="F128" s="1850"/>
    </row>
    <row r="129" spans="1:6" ht="15" thickBot="1">
      <c r="A129" s="1837" t="s">
        <v>1408</v>
      </c>
      <c r="B129" s="1841" t="s">
        <v>1269</v>
      </c>
      <c r="C129" s="1842">
        <v>0.13</v>
      </c>
      <c r="D129" s="1842">
        <v>0.13</v>
      </c>
      <c r="E129" s="1842">
        <v>0.126</v>
      </c>
      <c r="F129" s="1850"/>
    </row>
    <row r="130" spans="1:6" ht="15" thickBot="1">
      <c r="A130" s="1837" t="s">
        <v>1408</v>
      </c>
      <c r="B130" s="1841" t="s">
        <v>1278</v>
      </c>
      <c r="C130" s="1842">
        <v>0.125</v>
      </c>
      <c r="D130" s="1842">
        <v>0.125</v>
      </c>
      <c r="E130" s="1842">
        <v>0.122</v>
      </c>
      <c r="F130" s="1850"/>
    </row>
    <row r="131" spans="1:6" ht="15" thickBot="1">
      <c r="A131" s="1837" t="s">
        <v>1408</v>
      </c>
      <c r="B131" s="1841" t="s">
        <v>1286</v>
      </c>
      <c r="C131" s="1842">
        <v>0.127</v>
      </c>
      <c r="D131" s="1842">
        <v>0.126</v>
      </c>
      <c r="E131" s="1842">
        <v>0.123</v>
      </c>
      <c r="F131" s="1850"/>
    </row>
    <row r="132" spans="1:6" ht="15" thickBot="1">
      <c r="A132" s="1837" t="s">
        <v>1408</v>
      </c>
      <c r="B132" s="1841" t="s">
        <v>1293</v>
      </c>
      <c r="C132" s="1842">
        <v>9.0999999999999998E-2</v>
      </c>
      <c r="D132" s="1842">
        <v>0.121</v>
      </c>
      <c r="E132" s="1842">
        <v>9.9000000000000005E-2</v>
      </c>
      <c r="F132" s="1850"/>
    </row>
    <row r="133" spans="1:6" ht="15" thickBot="1">
      <c r="A133" s="1837" t="s">
        <v>1408</v>
      </c>
      <c r="B133" s="1841" t="s">
        <v>1300</v>
      </c>
      <c r="C133" s="1842">
        <v>0.13</v>
      </c>
      <c r="D133" s="1842">
        <v>0.13</v>
      </c>
      <c r="E133" s="1842">
        <v>0.129</v>
      </c>
      <c r="F133" s="1850"/>
    </row>
    <row r="134" spans="1:6" ht="15" thickBot="1">
      <c r="A134" s="1837" t="s">
        <v>1408</v>
      </c>
      <c r="B134" s="1841" t="s">
        <v>2104</v>
      </c>
      <c r="C134" s="1842">
        <v>6.8000000000000005E-2</v>
      </c>
      <c r="D134" s="1842">
        <v>6.5000000000000002E-2</v>
      </c>
      <c r="E134" s="1842">
        <v>6.5000000000000002E-2</v>
      </c>
      <c r="F134" s="1843">
        <v>0.13</v>
      </c>
    </row>
    <row r="135" spans="1:6" ht="15" thickBot="1">
      <c r="A135" s="1837" t="s">
        <v>1408</v>
      </c>
      <c r="B135" s="1841" t="s">
        <v>1314</v>
      </c>
      <c r="C135" s="1842">
        <v>0.123</v>
      </c>
      <c r="D135" s="1842">
        <v>0.123</v>
      </c>
      <c r="E135" s="1842">
        <v>0.11</v>
      </c>
      <c r="F135" s="1850"/>
    </row>
    <row r="136" spans="1:6" ht="15" thickBot="1">
      <c r="A136" s="1837" t="s">
        <v>1408</v>
      </c>
      <c r="B136" s="1841" t="s">
        <v>1321</v>
      </c>
      <c r="C136" s="1842">
        <v>0.13</v>
      </c>
      <c r="D136" s="1842">
        <v>0.13</v>
      </c>
      <c r="E136" s="1842">
        <v>0.125</v>
      </c>
      <c r="F136" s="1850"/>
    </row>
    <row r="137" spans="1:6" ht="15" thickBot="1">
      <c r="A137" s="1837" t="s">
        <v>1408</v>
      </c>
      <c r="B137" s="1841" t="s">
        <v>1328</v>
      </c>
      <c r="C137" s="1842">
        <v>0.121</v>
      </c>
      <c r="D137" s="1842">
        <v>0.122</v>
      </c>
      <c r="E137" s="1842">
        <v>0.115</v>
      </c>
      <c r="F137" s="1850"/>
    </row>
    <row r="138" spans="1:6" ht="15" thickBot="1">
      <c r="A138" s="1837" t="s">
        <v>1408</v>
      </c>
      <c r="B138" s="1841" t="s">
        <v>2105</v>
      </c>
      <c r="C138" s="1842">
        <v>0.105</v>
      </c>
      <c r="D138" s="1842">
        <v>0.125</v>
      </c>
      <c r="E138" s="1842">
        <v>0.112</v>
      </c>
      <c r="F138" s="1850"/>
    </row>
    <row r="139" spans="1:6" ht="15" thickBot="1">
      <c r="A139" s="1837" t="s">
        <v>1408</v>
      </c>
      <c r="B139" s="1841" t="s">
        <v>2106</v>
      </c>
      <c r="C139" s="1842">
        <v>0.127</v>
      </c>
      <c r="D139" s="1842">
        <v>0.127</v>
      </c>
      <c r="E139" s="1842">
        <v>0.122</v>
      </c>
      <c r="F139" s="1843">
        <v>0.13</v>
      </c>
    </row>
    <row r="140" spans="1:6" ht="15" thickBot="1">
      <c r="A140" s="1837" t="s">
        <v>1408</v>
      </c>
      <c r="B140" s="1841" t="s">
        <v>2107</v>
      </c>
      <c r="C140" s="1842">
        <v>0.125</v>
      </c>
      <c r="D140" s="1842">
        <v>0.125</v>
      </c>
      <c r="E140" s="1842">
        <v>0.11899999999999999</v>
      </c>
      <c r="F140" s="1843">
        <v>0.13</v>
      </c>
    </row>
    <row r="141" spans="1:6" ht="15" thickBot="1">
      <c r="A141" s="1837" t="s">
        <v>1408</v>
      </c>
      <c r="B141" s="1841" t="s">
        <v>1347</v>
      </c>
      <c r="C141" s="1842">
        <v>0.125</v>
      </c>
      <c r="D141" s="1842">
        <v>0.125</v>
      </c>
      <c r="E141" s="1842">
        <v>0.11700000000000001</v>
      </c>
      <c r="F141" s="1850"/>
    </row>
    <row r="142" spans="1:6" ht="15" thickBot="1">
      <c r="A142" s="1837" t="s">
        <v>1408</v>
      </c>
      <c r="B142" s="1841" t="s">
        <v>1352</v>
      </c>
      <c r="C142" s="1842">
        <v>0.125</v>
      </c>
      <c r="D142" s="1842">
        <v>0.125</v>
      </c>
      <c r="E142" s="1842">
        <v>0.115</v>
      </c>
      <c r="F142" s="1850"/>
    </row>
    <row r="143" spans="1:6" ht="15" thickBot="1">
      <c r="A143" s="1837" t="s">
        <v>1408</v>
      </c>
      <c r="B143" s="1841" t="s">
        <v>1357</v>
      </c>
      <c r="C143" s="1842">
        <v>0.121</v>
      </c>
      <c r="D143" s="1842">
        <v>0.121</v>
      </c>
      <c r="E143" s="1842">
        <v>0.108</v>
      </c>
      <c r="F143" s="1850"/>
    </row>
    <row r="144" spans="1:6" ht="15" thickBot="1">
      <c r="A144" s="1837" t="s">
        <v>1408</v>
      </c>
      <c r="B144" s="1854" t="s">
        <v>2108</v>
      </c>
      <c r="C144" s="1855">
        <v>0.126</v>
      </c>
      <c r="D144" s="1855">
        <v>0.126</v>
      </c>
      <c r="E144" s="1855">
        <v>0.121</v>
      </c>
      <c r="F144" s="1850"/>
    </row>
    <row r="145" spans="1:6" ht="15" thickBot="1">
      <c r="A145" s="1845" t="s">
        <v>1408</v>
      </c>
      <c r="B145" s="1856" t="s">
        <v>2109</v>
      </c>
      <c r="C145" s="1857"/>
      <c r="D145" s="1857"/>
      <c r="E145" s="1857"/>
      <c r="F145" s="1858">
        <v>0.05</v>
      </c>
    </row>
    <row r="146" spans="1:6" ht="24.6" thickBot="1">
      <c r="A146" s="1859" t="s">
        <v>1408</v>
      </c>
      <c r="B146" s="1844" t="s">
        <v>2110</v>
      </c>
      <c r="C146" s="1851"/>
      <c r="D146" s="1851"/>
      <c r="E146" s="1851"/>
      <c r="F146" s="1860">
        <v>0.05</v>
      </c>
    </row>
    <row r="147" spans="1:6" ht="24.6" thickBot="1">
      <c r="A147" s="1837" t="s">
        <v>1408</v>
      </c>
      <c r="B147" s="1841" t="s">
        <v>2111</v>
      </c>
      <c r="C147" s="1851"/>
      <c r="D147" s="1851"/>
      <c r="E147" s="1851"/>
      <c r="F147" s="1843">
        <v>0.05</v>
      </c>
    </row>
    <row r="148" spans="1:6" ht="24.6" thickBot="1">
      <c r="A148" s="1837" t="s">
        <v>1408</v>
      </c>
      <c r="B148" s="1841" t="s">
        <v>2112</v>
      </c>
      <c r="C148" s="1851"/>
      <c r="D148" s="1851"/>
      <c r="E148" s="1851"/>
      <c r="F148" s="1843">
        <v>0.05</v>
      </c>
    </row>
    <row r="149" spans="1:6" ht="24.6" thickBot="1">
      <c r="A149" s="1837" t="s">
        <v>1408</v>
      </c>
      <c r="B149" s="1841" t="s">
        <v>2113</v>
      </c>
      <c r="C149" s="1851"/>
      <c r="D149" s="1851"/>
      <c r="E149" s="1851"/>
      <c r="F149" s="1843">
        <v>0.05</v>
      </c>
    </row>
    <row r="150" spans="1:6" ht="24.6" thickBot="1">
      <c r="A150" s="1837" t="s">
        <v>1408</v>
      </c>
      <c r="B150" s="1841" t="s">
        <v>2114</v>
      </c>
      <c r="C150" s="1851"/>
      <c r="D150" s="1851"/>
      <c r="E150" s="1851"/>
      <c r="F150" s="1843">
        <v>0.05</v>
      </c>
    </row>
    <row r="151" spans="1:6" ht="24.6" thickBot="1">
      <c r="A151" s="1837" t="s">
        <v>1408</v>
      </c>
      <c r="B151" s="1841" t="s">
        <v>2115</v>
      </c>
      <c r="C151" s="1851"/>
      <c r="D151" s="1851"/>
      <c r="E151" s="1851"/>
      <c r="F151" s="1843">
        <v>0.05</v>
      </c>
    </row>
    <row r="152" spans="1:6" ht="24.6" thickBot="1">
      <c r="A152" s="1837" t="s">
        <v>1408</v>
      </c>
      <c r="B152" s="1841" t="s">
        <v>1390</v>
      </c>
      <c r="C152" s="1851"/>
      <c r="D152" s="1851"/>
      <c r="E152" s="1851"/>
      <c r="F152" s="1843">
        <v>0.05</v>
      </c>
    </row>
    <row r="153" spans="1:6" ht="15" thickBot="1">
      <c r="A153" s="1837" t="s">
        <v>1408</v>
      </c>
      <c r="B153" s="1841" t="s">
        <v>2116</v>
      </c>
      <c r="C153" s="1851"/>
      <c r="D153" s="1851"/>
      <c r="E153" s="1851"/>
      <c r="F153" s="1843">
        <v>0.05</v>
      </c>
    </row>
    <row r="154" spans="1:6" ht="15" thickBot="1">
      <c r="A154" s="1837" t="s">
        <v>1408</v>
      </c>
      <c r="B154" s="1841" t="s">
        <v>2117</v>
      </c>
      <c r="C154" s="1851"/>
      <c r="D154" s="1851"/>
      <c r="E154" s="1851"/>
      <c r="F154" s="1843">
        <v>0.05</v>
      </c>
    </row>
    <row r="155" spans="1:6" ht="24.6" thickBot="1">
      <c r="A155" s="1837" t="s">
        <v>1408</v>
      </c>
      <c r="B155" s="1841" t="s">
        <v>2118</v>
      </c>
      <c r="C155" s="1851"/>
      <c r="D155" s="1851"/>
      <c r="E155" s="1851"/>
      <c r="F155" s="1843">
        <v>0.05</v>
      </c>
    </row>
    <row r="156" spans="1:6" ht="24.6" thickBot="1">
      <c r="A156" s="1837" t="s">
        <v>1408</v>
      </c>
      <c r="B156" s="1841" t="s">
        <v>2119</v>
      </c>
      <c r="C156" s="1851"/>
      <c r="D156" s="1851"/>
      <c r="E156" s="1851"/>
      <c r="F156" s="1843">
        <v>0.05</v>
      </c>
    </row>
    <row r="157" spans="1:6" ht="24.6" thickBot="1">
      <c r="A157" s="1845" t="s">
        <v>1408</v>
      </c>
      <c r="B157" s="1852" t="s">
        <v>2120</v>
      </c>
      <c r="C157" s="1848"/>
      <c r="D157" s="1848"/>
      <c r="E157" s="1848"/>
      <c r="F157" s="1853">
        <v>0.05</v>
      </c>
    </row>
    <row r="158" spans="1:6" ht="15" thickBot="1">
      <c r="A158" s="1837" t="s">
        <v>1410</v>
      </c>
      <c r="B158" s="1838" t="s">
        <v>2121</v>
      </c>
      <c r="C158" s="1839">
        <v>0.13</v>
      </c>
      <c r="D158" s="1839">
        <v>0.13</v>
      </c>
      <c r="E158" s="1839">
        <v>0.13</v>
      </c>
      <c r="F158" s="1840">
        <v>0.13</v>
      </c>
    </row>
    <row r="159" spans="1:6" ht="15" thickBot="1">
      <c r="A159" s="1837" t="s">
        <v>1410</v>
      </c>
      <c r="B159" s="1841" t="s">
        <v>1075</v>
      </c>
      <c r="C159" s="1842">
        <v>0.13</v>
      </c>
      <c r="D159" s="1842">
        <v>0.13</v>
      </c>
      <c r="E159" s="1842">
        <v>0.13</v>
      </c>
      <c r="F159" s="1843">
        <v>0.13</v>
      </c>
    </row>
    <row r="160" spans="1:6" ht="15" thickBot="1">
      <c r="A160" s="1837" t="s">
        <v>1410</v>
      </c>
      <c r="B160" s="1841" t="s">
        <v>1089</v>
      </c>
      <c r="C160" s="1842">
        <v>0.13</v>
      </c>
      <c r="D160" s="1842">
        <v>0.13</v>
      </c>
      <c r="E160" s="1842">
        <v>0.129</v>
      </c>
      <c r="F160" s="1843">
        <v>0.13</v>
      </c>
    </row>
    <row r="161" spans="1:6" ht="15" thickBot="1">
      <c r="A161" s="1837" t="s">
        <v>1410</v>
      </c>
      <c r="B161" s="1841" t="s">
        <v>1102</v>
      </c>
      <c r="C161" s="1842">
        <v>0.128</v>
      </c>
      <c r="D161" s="1842">
        <v>0.128</v>
      </c>
      <c r="E161" s="1842">
        <v>0.125</v>
      </c>
      <c r="F161" s="1843">
        <v>0.13</v>
      </c>
    </row>
    <row r="162" spans="1:6" ht="15" thickBot="1">
      <c r="A162" s="1837" t="s">
        <v>1410</v>
      </c>
      <c r="B162" s="1841" t="s">
        <v>1116</v>
      </c>
      <c r="C162" s="1842">
        <v>0.122</v>
      </c>
      <c r="D162" s="1842">
        <v>0.122</v>
      </c>
      <c r="E162" s="1842">
        <v>0.126</v>
      </c>
      <c r="F162" s="1843">
        <v>0.122</v>
      </c>
    </row>
    <row r="163" spans="1:6" ht="15" thickBot="1">
      <c r="A163" s="1837" t="s">
        <v>1410</v>
      </c>
      <c r="B163" s="1841" t="s">
        <v>1127</v>
      </c>
      <c r="C163" s="1842">
        <v>0.13</v>
      </c>
      <c r="D163" s="1842">
        <v>0.13</v>
      </c>
      <c r="E163" s="1842">
        <v>0.125</v>
      </c>
      <c r="F163" s="1843">
        <v>0.13</v>
      </c>
    </row>
    <row r="164" spans="1:6" ht="15" thickBot="1">
      <c r="A164" s="1837" t="s">
        <v>1410</v>
      </c>
      <c r="B164" s="1841" t="s">
        <v>1138</v>
      </c>
      <c r="C164" s="1842">
        <v>0.13</v>
      </c>
      <c r="D164" s="1842">
        <v>0.13</v>
      </c>
      <c r="E164" s="1842">
        <v>0.13</v>
      </c>
      <c r="F164" s="1843">
        <v>0.13</v>
      </c>
    </row>
    <row r="165" spans="1:6" ht="15" thickBot="1">
      <c r="A165" s="1837" t="s">
        <v>1410</v>
      </c>
      <c r="B165" s="1841" t="s">
        <v>1149</v>
      </c>
      <c r="C165" s="1842">
        <v>0.13</v>
      </c>
      <c r="D165" s="1842">
        <v>0.13</v>
      </c>
      <c r="E165" s="1842">
        <v>0.124</v>
      </c>
      <c r="F165" s="1843">
        <v>0.13</v>
      </c>
    </row>
    <row r="166" spans="1:6" ht="15" thickBot="1">
      <c r="A166" s="1837" t="s">
        <v>1410</v>
      </c>
      <c r="B166" s="1841" t="s">
        <v>1161</v>
      </c>
      <c r="C166" s="1842">
        <v>0.13</v>
      </c>
      <c r="D166" s="1842">
        <v>0.13</v>
      </c>
      <c r="E166" s="1842">
        <v>0.13</v>
      </c>
      <c r="F166" s="1843">
        <v>0.13</v>
      </c>
    </row>
    <row r="167" spans="1:6" ht="15" thickBot="1">
      <c r="A167" s="1837" t="s">
        <v>1410</v>
      </c>
      <c r="B167" s="1841" t="s">
        <v>1171</v>
      </c>
      <c r="C167" s="1842">
        <v>0.125</v>
      </c>
      <c r="D167" s="1842">
        <v>0.125</v>
      </c>
      <c r="E167" s="1842">
        <v>0.121</v>
      </c>
      <c r="F167" s="1850"/>
    </row>
    <row r="168" spans="1:6" ht="15" thickBot="1">
      <c r="A168" s="1837" t="s">
        <v>1410</v>
      </c>
      <c r="B168" s="1841" t="s">
        <v>1181</v>
      </c>
      <c r="C168" s="1842">
        <v>0.13</v>
      </c>
      <c r="D168" s="1842">
        <v>0.13</v>
      </c>
      <c r="E168" s="1842">
        <v>0.126</v>
      </c>
      <c r="F168" s="1850"/>
    </row>
    <row r="169" spans="1:6" ht="15" thickBot="1">
      <c r="A169" s="1837" t="s">
        <v>1410</v>
      </c>
      <c r="B169" s="1841" t="s">
        <v>1191</v>
      </c>
      <c r="C169" s="1842">
        <v>0.128</v>
      </c>
      <c r="D169" s="1842">
        <v>0.129</v>
      </c>
      <c r="E169" s="1842">
        <v>0.13</v>
      </c>
      <c r="F169" s="1850"/>
    </row>
    <row r="170" spans="1:6" ht="15" thickBot="1">
      <c r="A170" s="1837" t="s">
        <v>1410</v>
      </c>
      <c r="B170" s="1841" t="s">
        <v>1201</v>
      </c>
      <c r="C170" s="1842">
        <v>0.14099999999999999</v>
      </c>
      <c r="D170" s="1842">
        <v>0.13</v>
      </c>
      <c r="E170" s="1842">
        <v>0.125</v>
      </c>
      <c r="F170" s="1850"/>
    </row>
    <row r="171" spans="1:6" ht="15" thickBot="1">
      <c r="A171" s="1837" t="s">
        <v>1410</v>
      </c>
      <c r="B171" s="1841" t="s">
        <v>2122</v>
      </c>
      <c r="C171" s="1842">
        <v>0.127</v>
      </c>
      <c r="D171" s="1842">
        <v>0.126</v>
      </c>
      <c r="E171" s="1842">
        <v>0.126</v>
      </c>
      <c r="F171" s="1843">
        <v>0.11799999999999999</v>
      </c>
    </row>
    <row r="172" spans="1:6" ht="15" thickBot="1">
      <c r="A172" s="1837" t="s">
        <v>1410</v>
      </c>
      <c r="B172" s="1841" t="s">
        <v>2123</v>
      </c>
      <c r="C172" s="1842">
        <v>0.13</v>
      </c>
      <c r="D172" s="1842">
        <v>0.13</v>
      </c>
      <c r="E172" s="1842">
        <v>0.13</v>
      </c>
      <c r="F172" s="1850"/>
    </row>
    <row r="173" spans="1:6" ht="15" thickBot="1">
      <c r="A173" s="1837" t="s">
        <v>1410</v>
      </c>
      <c r="B173" s="1841" t="s">
        <v>1231</v>
      </c>
      <c r="C173" s="1842">
        <v>0.13</v>
      </c>
      <c r="D173" s="1842">
        <v>0.13</v>
      </c>
      <c r="E173" s="1842">
        <v>0.13</v>
      </c>
      <c r="F173" s="1850"/>
    </row>
    <row r="174" spans="1:6" ht="15" thickBot="1">
      <c r="A174" s="1837" t="s">
        <v>1410</v>
      </c>
      <c r="B174" s="1841" t="s">
        <v>2124</v>
      </c>
      <c r="C174" s="1842">
        <v>0.13</v>
      </c>
      <c r="D174" s="1842">
        <v>0.13</v>
      </c>
      <c r="E174" s="1842">
        <v>0.13</v>
      </c>
      <c r="F174" s="1843">
        <v>0.13</v>
      </c>
    </row>
    <row r="175" spans="1:6" ht="15" thickBot="1">
      <c r="A175" s="1837" t="s">
        <v>1410</v>
      </c>
      <c r="B175" s="1841" t="s">
        <v>2125</v>
      </c>
      <c r="C175" s="1842">
        <v>0.13</v>
      </c>
      <c r="D175" s="1842">
        <v>0.13</v>
      </c>
      <c r="E175" s="1842">
        <v>0.13</v>
      </c>
      <c r="F175" s="1843">
        <v>0.13</v>
      </c>
    </row>
    <row r="176" spans="1:6" ht="15" thickBot="1">
      <c r="A176" s="1837" t="s">
        <v>1410</v>
      </c>
      <c r="B176" s="1841" t="s">
        <v>1261</v>
      </c>
      <c r="C176" s="1842">
        <v>0.13</v>
      </c>
      <c r="D176" s="1842">
        <v>0.13</v>
      </c>
      <c r="E176" s="1842">
        <v>0.13</v>
      </c>
      <c r="F176" s="1843">
        <v>0.13</v>
      </c>
    </row>
    <row r="177" spans="1:6" ht="15" thickBot="1">
      <c r="A177" s="1837" t="s">
        <v>1410</v>
      </c>
      <c r="B177" s="1841" t="s">
        <v>2126</v>
      </c>
      <c r="C177" s="1842">
        <v>0.13</v>
      </c>
      <c r="D177" s="1842">
        <v>0.13</v>
      </c>
      <c r="E177" s="1842">
        <v>0.13</v>
      </c>
      <c r="F177" s="1843">
        <v>0.13</v>
      </c>
    </row>
    <row r="178" spans="1:6" ht="15" thickBot="1">
      <c r="A178" s="1837" t="s">
        <v>1410</v>
      </c>
      <c r="B178" s="1841" t="s">
        <v>1279</v>
      </c>
      <c r="C178" s="1842">
        <v>0.13</v>
      </c>
      <c r="D178" s="1842">
        <v>0.13</v>
      </c>
      <c r="E178" s="1842">
        <v>0.13</v>
      </c>
      <c r="F178" s="1843">
        <v>0.127</v>
      </c>
    </row>
    <row r="179" spans="1:6" ht="15" thickBot="1">
      <c r="A179" s="1837" t="s">
        <v>1410</v>
      </c>
      <c r="B179" s="1841" t="s">
        <v>1287</v>
      </c>
      <c r="C179" s="1842">
        <v>0.13</v>
      </c>
      <c r="D179" s="1842">
        <v>0.13</v>
      </c>
      <c r="E179" s="1842">
        <v>0.13</v>
      </c>
      <c r="F179" s="1850"/>
    </row>
    <row r="180" spans="1:6" ht="15" thickBot="1">
      <c r="A180" s="1837" t="s">
        <v>1410</v>
      </c>
      <c r="B180" s="1841" t="s">
        <v>2127</v>
      </c>
      <c r="C180" s="1842">
        <v>0.13</v>
      </c>
      <c r="D180" s="1842">
        <v>0.13</v>
      </c>
      <c r="E180" s="1842">
        <v>0.125</v>
      </c>
      <c r="F180" s="1843">
        <v>0.13</v>
      </c>
    </row>
    <row r="181" spans="1:6" ht="15" thickBot="1">
      <c r="A181" s="1837" t="s">
        <v>1410</v>
      </c>
      <c r="B181" s="1841" t="s">
        <v>1301</v>
      </c>
      <c r="C181" s="1842">
        <v>0.122</v>
      </c>
      <c r="D181" s="1842">
        <v>0.123</v>
      </c>
      <c r="E181" s="1842">
        <v>0.126</v>
      </c>
      <c r="F181" s="1843">
        <v>0.121</v>
      </c>
    </row>
    <row r="182" spans="1:6" ht="15" thickBot="1">
      <c r="A182" s="1837" t="s">
        <v>1410</v>
      </c>
      <c r="B182" s="1841" t="s">
        <v>1308</v>
      </c>
      <c r="C182" s="1842">
        <v>0.125</v>
      </c>
      <c r="D182" s="1842">
        <v>0.125</v>
      </c>
      <c r="E182" s="1842">
        <v>0.11700000000000001</v>
      </c>
      <c r="F182" s="1843">
        <v>0.13</v>
      </c>
    </row>
    <row r="183" spans="1:6" ht="15" thickBot="1">
      <c r="A183" s="1837" t="s">
        <v>1410</v>
      </c>
      <c r="B183" s="1841" t="s">
        <v>1315</v>
      </c>
      <c r="C183" s="1842">
        <v>0.127</v>
      </c>
      <c r="D183" s="1842">
        <v>0.127</v>
      </c>
      <c r="E183" s="1842">
        <v>0.128</v>
      </c>
      <c r="F183" s="1850"/>
    </row>
    <row r="184" spans="1:6" ht="15" thickBot="1">
      <c r="A184" s="1837" t="s">
        <v>1410</v>
      </c>
      <c r="B184" s="1841" t="s">
        <v>1322</v>
      </c>
      <c r="C184" s="1842">
        <v>0.125</v>
      </c>
      <c r="D184" s="1842">
        <v>0.125</v>
      </c>
      <c r="E184" s="1842">
        <v>0.127</v>
      </c>
      <c r="F184" s="1850"/>
    </row>
    <row r="185" spans="1:6" ht="15" thickBot="1">
      <c r="A185" s="1837" t="s">
        <v>1410</v>
      </c>
      <c r="B185" s="1841" t="s">
        <v>2128</v>
      </c>
      <c r="C185" s="1842">
        <v>0.127</v>
      </c>
      <c r="D185" s="1842">
        <v>0.127</v>
      </c>
      <c r="E185" s="1842">
        <v>0.128</v>
      </c>
      <c r="F185" s="1843">
        <v>0.13</v>
      </c>
    </row>
    <row r="186" spans="1:6" ht="24.6" thickBot="1">
      <c r="A186" s="1837" t="s">
        <v>1410</v>
      </c>
      <c r="B186" s="1841" t="s">
        <v>2129</v>
      </c>
      <c r="C186" s="1851"/>
      <c r="D186" s="1851"/>
      <c r="E186" s="1851"/>
      <c r="F186" s="1843">
        <v>0.05</v>
      </c>
    </row>
    <row r="187" spans="1:6" ht="15" thickBot="1">
      <c r="A187" s="1837" t="s">
        <v>1410</v>
      </c>
      <c r="B187" s="1841" t="s">
        <v>2130</v>
      </c>
      <c r="C187" s="1851"/>
      <c r="D187" s="1851"/>
      <c r="E187" s="1851"/>
      <c r="F187" s="1843">
        <v>0.05</v>
      </c>
    </row>
    <row r="188" spans="1:6" ht="24.6" thickBot="1">
      <c r="A188" s="1837" t="s">
        <v>1410</v>
      </c>
      <c r="B188" s="1841" t="s">
        <v>2131</v>
      </c>
      <c r="C188" s="1851"/>
      <c r="D188" s="1851"/>
      <c r="E188" s="1851"/>
      <c r="F188" s="1843">
        <v>0.05</v>
      </c>
    </row>
    <row r="189" spans="1:6" ht="24.6" thickBot="1">
      <c r="A189" s="1837" t="s">
        <v>1410</v>
      </c>
      <c r="B189" s="1841" t="s">
        <v>2132</v>
      </c>
      <c r="C189" s="1851"/>
      <c r="D189" s="1851"/>
      <c r="E189" s="1851"/>
      <c r="F189" s="1843">
        <v>0.05</v>
      </c>
    </row>
    <row r="190" spans="1:6" ht="24.6" thickBot="1">
      <c r="A190" s="1837" t="s">
        <v>1410</v>
      </c>
      <c r="B190" s="1841" t="s">
        <v>2133</v>
      </c>
      <c r="C190" s="1851"/>
      <c r="D190" s="1851"/>
      <c r="E190" s="1851"/>
      <c r="F190" s="1843">
        <v>0.05</v>
      </c>
    </row>
    <row r="191" spans="1:6" ht="24.6" thickBot="1">
      <c r="A191" s="1837" t="s">
        <v>1410</v>
      </c>
      <c r="B191" s="1841" t="s">
        <v>2134</v>
      </c>
      <c r="C191" s="1851"/>
      <c r="D191" s="1851"/>
      <c r="E191" s="1851"/>
      <c r="F191" s="1843">
        <v>0.05</v>
      </c>
    </row>
    <row r="192" spans="1:6" ht="24.6" thickBot="1">
      <c r="A192" s="1837" t="s">
        <v>1410</v>
      </c>
      <c r="B192" s="1841" t="s">
        <v>2135</v>
      </c>
      <c r="C192" s="1851"/>
      <c r="D192" s="1851"/>
      <c r="E192" s="1851"/>
      <c r="F192" s="1843">
        <v>0.05</v>
      </c>
    </row>
    <row r="193" spans="1:6" ht="24.6" thickBot="1">
      <c r="A193" s="1837" t="s">
        <v>1410</v>
      </c>
      <c r="B193" s="1841" t="s">
        <v>2136</v>
      </c>
      <c r="C193" s="1851"/>
      <c r="D193" s="1851"/>
      <c r="E193" s="1851"/>
      <c r="F193" s="1843">
        <v>0.05</v>
      </c>
    </row>
    <row r="194" spans="1:6" ht="24.6" thickBot="1">
      <c r="A194" s="1837" t="s">
        <v>1410</v>
      </c>
      <c r="B194" s="1841" t="s">
        <v>2137</v>
      </c>
      <c r="C194" s="1851"/>
      <c r="D194" s="1851"/>
      <c r="E194" s="1851"/>
      <c r="F194" s="1843">
        <v>0.05</v>
      </c>
    </row>
    <row r="195" spans="1:6" ht="15" thickBot="1">
      <c r="A195" s="1837" t="s">
        <v>1410</v>
      </c>
      <c r="B195" s="1841" t="s">
        <v>2138</v>
      </c>
      <c r="C195" s="1851"/>
      <c r="D195" s="1851"/>
      <c r="E195" s="1851"/>
      <c r="F195" s="1843">
        <v>0.05</v>
      </c>
    </row>
    <row r="196" spans="1:6" ht="24.6" thickBot="1">
      <c r="A196" s="1837" t="s">
        <v>1410</v>
      </c>
      <c r="B196" s="1841" t="s">
        <v>2139</v>
      </c>
      <c r="C196" s="1851"/>
      <c r="D196" s="1851"/>
      <c r="E196" s="1851"/>
      <c r="F196" s="1843">
        <v>0.05</v>
      </c>
    </row>
    <row r="197" spans="1:6" ht="24.6" thickBot="1">
      <c r="A197" s="1837" t="s">
        <v>1410</v>
      </c>
      <c r="B197" s="1841" t="s">
        <v>2140</v>
      </c>
      <c r="C197" s="1851"/>
      <c r="D197" s="1851"/>
      <c r="E197" s="1851"/>
      <c r="F197" s="1843">
        <v>0.05</v>
      </c>
    </row>
    <row r="198" spans="1:6" ht="24.6" thickBot="1">
      <c r="A198" s="1837" t="s">
        <v>1410</v>
      </c>
      <c r="B198" s="1841" t="s">
        <v>2141</v>
      </c>
      <c r="C198" s="1851"/>
      <c r="D198" s="1851"/>
      <c r="E198" s="1851"/>
      <c r="F198" s="1843">
        <v>0.05</v>
      </c>
    </row>
    <row r="199" spans="1:6" ht="24.6" thickBot="1">
      <c r="A199" s="1837" t="s">
        <v>1410</v>
      </c>
      <c r="B199" s="1841" t="s">
        <v>2142</v>
      </c>
      <c r="C199" s="1851"/>
      <c r="D199" s="1851"/>
      <c r="E199" s="1851"/>
      <c r="F199" s="1843">
        <v>0.05</v>
      </c>
    </row>
    <row r="200" spans="1:6" ht="24.6" thickBot="1">
      <c r="A200" s="1837" t="s">
        <v>1410</v>
      </c>
      <c r="B200" s="1841" t="s">
        <v>2143</v>
      </c>
      <c r="C200" s="1851"/>
      <c r="D200" s="1851"/>
      <c r="E200" s="1851"/>
      <c r="F200" s="1843">
        <v>0.05</v>
      </c>
    </row>
    <row r="201" spans="1:6" ht="24.6" thickBot="1">
      <c r="A201" s="1837" t="s">
        <v>1410</v>
      </c>
      <c r="B201" s="1841" t="s">
        <v>2144</v>
      </c>
      <c r="C201" s="1851"/>
      <c r="D201" s="1851"/>
      <c r="E201" s="1851"/>
      <c r="F201" s="1843">
        <v>0.05</v>
      </c>
    </row>
    <row r="202" spans="1:6" ht="24.6" thickBot="1">
      <c r="A202" s="1837" t="s">
        <v>1410</v>
      </c>
      <c r="B202" s="1841" t="s">
        <v>2145</v>
      </c>
      <c r="C202" s="1851"/>
      <c r="D202" s="1851"/>
      <c r="E202" s="1851"/>
      <c r="F202" s="1843">
        <v>0.05</v>
      </c>
    </row>
    <row r="203" spans="1:6" ht="24.6" thickBot="1">
      <c r="A203" s="1837" t="s">
        <v>1410</v>
      </c>
      <c r="B203" s="1841" t="s">
        <v>2146</v>
      </c>
      <c r="C203" s="1851"/>
      <c r="D203" s="1851"/>
      <c r="E203" s="1851"/>
      <c r="F203" s="1843">
        <v>0.05</v>
      </c>
    </row>
    <row r="204" spans="1:6" ht="15" thickBot="1">
      <c r="A204" s="1837" t="s">
        <v>1410</v>
      </c>
      <c r="B204" s="1841" t="s">
        <v>2147</v>
      </c>
      <c r="C204" s="1851"/>
      <c r="D204" s="1851"/>
      <c r="E204" s="1851"/>
      <c r="F204" s="1843">
        <v>0.05</v>
      </c>
    </row>
    <row r="205" spans="1:6" ht="15" thickBot="1">
      <c r="A205" s="1845" t="s">
        <v>1410</v>
      </c>
      <c r="B205" s="1852" t="s">
        <v>2148</v>
      </c>
      <c r="C205" s="1848"/>
      <c r="D205" s="1848"/>
      <c r="E205" s="1848"/>
      <c r="F205" s="1853">
        <v>0.05</v>
      </c>
    </row>
    <row r="206" spans="1:6" ht="15" thickBot="1">
      <c r="A206" s="1837" t="s">
        <v>1412</v>
      </c>
      <c r="B206" s="1838" t="s">
        <v>2149</v>
      </c>
      <c r="C206" s="1839">
        <v>0.15</v>
      </c>
      <c r="D206" s="1839">
        <v>0.15</v>
      </c>
      <c r="E206" s="1839">
        <v>0.15</v>
      </c>
      <c r="F206" s="1840">
        <v>0.15</v>
      </c>
    </row>
    <row r="207" spans="1:6" ht="15" thickBot="1">
      <c r="A207" s="1837" t="s">
        <v>1412</v>
      </c>
      <c r="B207" s="1841" t="s">
        <v>1076</v>
      </c>
      <c r="C207" s="1842">
        <v>0.15</v>
      </c>
      <c r="D207" s="1842">
        <v>0.15</v>
      </c>
      <c r="E207" s="1842">
        <v>0.15</v>
      </c>
      <c r="F207" s="1843">
        <v>0.14399999999999999</v>
      </c>
    </row>
    <row r="208" spans="1:6" ht="15" thickBot="1">
      <c r="A208" s="1837" t="s">
        <v>1412</v>
      </c>
      <c r="B208" s="1841" t="s">
        <v>1090</v>
      </c>
      <c r="C208" s="1842">
        <v>0.15</v>
      </c>
      <c r="D208" s="1842">
        <v>0.15</v>
      </c>
      <c r="E208" s="1842">
        <v>0.15</v>
      </c>
      <c r="F208" s="1843">
        <v>0.15</v>
      </c>
    </row>
    <row r="209" spans="1:6" ht="15" thickBot="1">
      <c r="A209" s="1837" t="s">
        <v>1412</v>
      </c>
      <c r="B209" s="1841" t="s">
        <v>1103</v>
      </c>
      <c r="C209" s="1842">
        <v>0.13700000000000001</v>
      </c>
      <c r="D209" s="1842">
        <v>0.13700000000000001</v>
      </c>
      <c r="E209" s="1842">
        <v>0.14000000000000001</v>
      </c>
      <c r="F209" s="1843">
        <v>0.11700000000000001</v>
      </c>
    </row>
    <row r="210" spans="1:6" ht="15" thickBot="1">
      <c r="A210" s="1837" t="s">
        <v>1412</v>
      </c>
      <c r="B210" s="1841" t="s">
        <v>2150</v>
      </c>
      <c r="C210" s="1842">
        <v>0.15</v>
      </c>
      <c r="D210" s="1842">
        <v>0.15</v>
      </c>
      <c r="E210" s="1842">
        <v>0.15</v>
      </c>
      <c r="F210" s="1843">
        <v>0.13800000000000001</v>
      </c>
    </row>
    <row r="211" spans="1:6" ht="15" thickBot="1">
      <c r="A211" s="1837" t="s">
        <v>1412</v>
      </c>
      <c r="B211" s="1841" t="s">
        <v>2151</v>
      </c>
      <c r="C211" s="1842">
        <v>0.13700000000000001</v>
      </c>
      <c r="D211" s="1842">
        <v>0.13500000000000001</v>
      </c>
      <c r="E211" s="1842">
        <v>0.13600000000000001</v>
      </c>
      <c r="F211" s="1843">
        <v>0.1</v>
      </c>
    </row>
    <row r="212" spans="1:6" ht="15" thickBot="1">
      <c r="A212" s="1837" t="s">
        <v>1412</v>
      </c>
      <c r="B212" s="1841" t="s">
        <v>2152</v>
      </c>
      <c r="C212" s="1842">
        <v>0.15</v>
      </c>
      <c r="D212" s="1842">
        <v>0.15</v>
      </c>
      <c r="E212" s="1842">
        <v>0.14799999999999999</v>
      </c>
      <c r="F212" s="1843">
        <v>0.13600000000000001</v>
      </c>
    </row>
    <row r="213" spans="1:6" ht="15" thickBot="1">
      <c r="A213" s="1837" t="s">
        <v>1412</v>
      </c>
      <c r="B213" s="1841" t="s">
        <v>1150</v>
      </c>
      <c r="C213" s="1842">
        <v>0.15</v>
      </c>
      <c r="D213" s="1842">
        <v>0.15</v>
      </c>
      <c r="E213" s="1842">
        <v>0.15</v>
      </c>
      <c r="F213" s="1843">
        <v>0.13800000000000001</v>
      </c>
    </row>
    <row r="214" spans="1:6" ht="15" thickBot="1">
      <c r="A214" s="1837" t="s">
        <v>1412</v>
      </c>
      <c r="B214" s="1841" t="s">
        <v>1162</v>
      </c>
      <c r="C214" s="1842">
        <v>9.0999999999999998E-2</v>
      </c>
      <c r="D214" s="1842">
        <v>0.09</v>
      </c>
      <c r="E214" s="1842">
        <v>9.1999999999999998E-2</v>
      </c>
      <c r="F214" s="1850"/>
    </row>
    <row r="215" spans="1:6" ht="15" thickBot="1">
      <c r="A215" s="1837" t="s">
        <v>1412</v>
      </c>
      <c r="B215" s="1841" t="s">
        <v>2153</v>
      </c>
      <c r="C215" s="1842">
        <v>0.15</v>
      </c>
      <c r="D215" s="1842">
        <v>0.15</v>
      </c>
      <c r="E215" s="1842">
        <v>0.15</v>
      </c>
      <c r="F215" s="1843">
        <v>0.15</v>
      </c>
    </row>
    <row r="216" spans="1:6" ht="15" thickBot="1">
      <c r="A216" s="1837" t="s">
        <v>1412</v>
      </c>
      <c r="B216" s="1841" t="s">
        <v>1182</v>
      </c>
      <c r="C216" s="1842">
        <v>0.14699999999999999</v>
      </c>
      <c r="D216" s="1842">
        <v>0.14699999999999999</v>
      </c>
      <c r="E216" s="1842">
        <v>0.15</v>
      </c>
      <c r="F216" s="1843">
        <v>0.14000000000000001</v>
      </c>
    </row>
    <row r="217" spans="1:6" ht="15" thickBot="1">
      <c r="A217" s="1837" t="s">
        <v>1412</v>
      </c>
      <c r="B217" s="1841" t="s">
        <v>1192</v>
      </c>
      <c r="C217" s="1842">
        <v>0.15</v>
      </c>
      <c r="D217" s="1842">
        <v>0.15</v>
      </c>
      <c r="E217" s="1842">
        <v>0.15</v>
      </c>
      <c r="F217" s="1843">
        <v>0.15</v>
      </c>
    </row>
    <row r="218" spans="1:6" ht="15" thickBot="1">
      <c r="A218" s="1837" t="s">
        <v>1412</v>
      </c>
      <c r="B218" s="1841" t="s">
        <v>2154</v>
      </c>
      <c r="C218" s="1842">
        <v>0.15</v>
      </c>
      <c r="D218" s="1842">
        <v>0.15</v>
      </c>
      <c r="E218" s="1842">
        <v>0.15</v>
      </c>
      <c r="F218" s="1843">
        <v>0.15</v>
      </c>
    </row>
    <row r="219" spans="1:6" ht="15" thickBot="1">
      <c r="A219" s="1837" t="s">
        <v>1412</v>
      </c>
      <c r="B219" s="1841" t="s">
        <v>1212</v>
      </c>
      <c r="C219" s="1842">
        <v>0.15</v>
      </c>
      <c r="D219" s="1842">
        <v>0.15</v>
      </c>
      <c r="E219" s="1842">
        <v>0.15</v>
      </c>
      <c r="F219" s="1843">
        <v>0.14799999999999999</v>
      </c>
    </row>
    <row r="220" spans="1:6" ht="15" thickBot="1">
      <c r="A220" s="1837" t="s">
        <v>1412</v>
      </c>
      <c r="B220" s="1841" t="s">
        <v>2155</v>
      </c>
      <c r="C220" s="1842">
        <v>0.15</v>
      </c>
      <c r="D220" s="1842">
        <v>0.15</v>
      </c>
      <c r="E220" s="1842">
        <v>0.15</v>
      </c>
      <c r="F220" s="1843">
        <v>0.15</v>
      </c>
    </row>
    <row r="221" spans="1:6" ht="15" thickBot="1">
      <c r="A221" s="1837" t="s">
        <v>1412</v>
      </c>
      <c r="B221" s="1841" t="s">
        <v>1232</v>
      </c>
      <c r="C221" s="1842"/>
      <c r="D221" s="1851"/>
      <c r="E221" s="1851"/>
      <c r="F221" s="1843">
        <v>0.14799999999999999</v>
      </c>
    </row>
    <row r="222" spans="1:6" ht="15" thickBot="1">
      <c r="A222" s="1837" t="s">
        <v>1412</v>
      </c>
      <c r="B222" s="1841" t="s">
        <v>1242</v>
      </c>
      <c r="C222" s="1842"/>
      <c r="D222" s="1851"/>
      <c r="E222" s="1851"/>
      <c r="F222" s="1843">
        <v>0.1</v>
      </c>
    </row>
    <row r="223" spans="1:6" ht="15" thickBot="1">
      <c r="A223" s="1837" t="s">
        <v>1412</v>
      </c>
      <c r="B223" s="1841" t="s">
        <v>1252</v>
      </c>
      <c r="C223" s="1842"/>
      <c r="D223" s="1851"/>
      <c r="E223" s="1851"/>
      <c r="F223" s="1843">
        <v>0.15</v>
      </c>
    </row>
    <row r="224" spans="1:6" ht="15" thickBot="1">
      <c r="A224" s="1837" t="s">
        <v>1412</v>
      </c>
      <c r="B224" s="1841" t="s">
        <v>1262</v>
      </c>
      <c r="C224" s="1842"/>
      <c r="D224" s="1851"/>
      <c r="E224" s="1851"/>
      <c r="F224" s="1843">
        <v>0.15</v>
      </c>
    </row>
    <row r="225" spans="1:6" ht="15" thickBot="1">
      <c r="A225" s="1837" t="s">
        <v>1412</v>
      </c>
      <c r="B225" s="1841" t="s">
        <v>2156</v>
      </c>
      <c r="C225" s="1842">
        <v>0.15</v>
      </c>
      <c r="D225" s="1842">
        <v>0.15</v>
      </c>
      <c r="E225" s="1842">
        <v>0.15</v>
      </c>
      <c r="F225" s="1843">
        <v>0.15</v>
      </c>
    </row>
    <row r="226" spans="1:6" ht="15" thickBot="1">
      <c r="A226" s="1837" t="s">
        <v>1412</v>
      </c>
      <c r="B226" s="1841" t="s">
        <v>1280</v>
      </c>
      <c r="C226" s="1842">
        <v>0.15</v>
      </c>
      <c r="D226" s="1842">
        <v>0.15</v>
      </c>
      <c r="E226" s="1842">
        <v>0.15</v>
      </c>
      <c r="F226" s="1843">
        <v>0.14799999999999999</v>
      </c>
    </row>
    <row r="227" spans="1:6" ht="15" thickBot="1">
      <c r="A227" s="1837" t="s">
        <v>1412</v>
      </c>
      <c r="B227" s="1841" t="s">
        <v>2157</v>
      </c>
      <c r="C227" s="1842">
        <v>0.15</v>
      </c>
      <c r="D227" s="1842">
        <v>0.15</v>
      </c>
      <c r="E227" s="1842">
        <v>0.15</v>
      </c>
      <c r="F227" s="1843">
        <v>0.15</v>
      </c>
    </row>
    <row r="228" spans="1:6" ht="15" thickBot="1">
      <c r="A228" s="1837" t="s">
        <v>1412</v>
      </c>
      <c r="B228" s="1841" t="s">
        <v>1295</v>
      </c>
      <c r="C228" s="1842">
        <v>0.15</v>
      </c>
      <c r="D228" s="1842">
        <v>0.15</v>
      </c>
      <c r="E228" s="1842">
        <v>0.15</v>
      </c>
      <c r="F228" s="1843">
        <v>0.15</v>
      </c>
    </row>
    <row r="229" spans="1:6" ht="15" thickBot="1">
      <c r="A229" s="1837" t="s">
        <v>1412</v>
      </c>
      <c r="B229" s="1841" t="s">
        <v>1302</v>
      </c>
      <c r="C229" s="1842">
        <v>0.15</v>
      </c>
      <c r="D229" s="1842">
        <v>0.15</v>
      </c>
      <c r="E229" s="1842">
        <v>0.15</v>
      </c>
      <c r="F229" s="1850"/>
    </row>
    <row r="230" spans="1:6" ht="15" thickBot="1">
      <c r="A230" s="1837" t="s">
        <v>1412</v>
      </c>
      <c r="B230" s="1841" t="s">
        <v>1309</v>
      </c>
      <c r="C230" s="1842">
        <v>0.14499999999999999</v>
      </c>
      <c r="D230" s="1842">
        <v>0.14499999999999999</v>
      </c>
      <c r="E230" s="1842">
        <v>0.14399999999999999</v>
      </c>
      <c r="F230" s="1850"/>
    </row>
    <row r="231" spans="1:6" ht="15" thickBot="1">
      <c r="A231" s="1837" t="s">
        <v>1412</v>
      </c>
      <c r="B231" s="1841" t="s">
        <v>2158</v>
      </c>
      <c r="C231" s="1842">
        <v>0.128</v>
      </c>
      <c r="D231" s="1842">
        <v>0.125</v>
      </c>
      <c r="E231" s="1842">
        <v>0.13200000000000001</v>
      </c>
      <c r="F231" s="1850"/>
    </row>
    <row r="232" spans="1:6" ht="15" thickBot="1">
      <c r="A232" s="1837" t="s">
        <v>1412</v>
      </c>
      <c r="B232" s="1841" t="s">
        <v>2159</v>
      </c>
      <c r="C232" s="1842">
        <v>0.14499999999999999</v>
      </c>
      <c r="D232" s="1842">
        <v>0.14399999999999999</v>
      </c>
      <c r="E232" s="1842">
        <v>0.14599999999999999</v>
      </c>
      <c r="F232" s="1843">
        <v>0.13800000000000001</v>
      </c>
    </row>
    <row r="233" spans="1:6" ht="15" thickBot="1">
      <c r="A233" s="1837" t="s">
        <v>1412</v>
      </c>
      <c r="B233" s="1841" t="s">
        <v>2160</v>
      </c>
      <c r="C233" s="1842">
        <v>0.14499999999999999</v>
      </c>
      <c r="D233" s="1842">
        <v>0.14299999999999999</v>
      </c>
      <c r="E233" s="1842">
        <v>0.14199999999999999</v>
      </c>
      <c r="F233" s="1850"/>
    </row>
    <row r="234" spans="1:6" ht="15" thickBot="1">
      <c r="A234" s="1837" t="s">
        <v>1412</v>
      </c>
      <c r="B234" s="1841" t="s">
        <v>2161</v>
      </c>
      <c r="C234" s="1842">
        <v>0.14000000000000001</v>
      </c>
      <c r="D234" s="1842">
        <v>0.14000000000000001</v>
      </c>
      <c r="E234" s="1842">
        <v>0.14399999999999999</v>
      </c>
      <c r="F234" s="1850"/>
    </row>
    <row r="235" spans="1:6" ht="15" thickBot="1">
      <c r="A235" s="1837" t="s">
        <v>1412</v>
      </c>
      <c r="B235" s="1841" t="s">
        <v>2162</v>
      </c>
      <c r="C235" s="1842">
        <v>0.14099999999999999</v>
      </c>
      <c r="D235" s="1842">
        <v>0.14199999999999999</v>
      </c>
      <c r="E235" s="1842">
        <v>0.14499999999999999</v>
      </c>
      <c r="F235" s="1843">
        <v>0.15</v>
      </c>
    </row>
    <row r="236" spans="1:6" ht="15" thickBot="1">
      <c r="A236" s="1837" t="s">
        <v>1412</v>
      </c>
      <c r="B236" s="1841" t="s">
        <v>1344</v>
      </c>
      <c r="C236" s="1851"/>
      <c r="D236" s="1851"/>
      <c r="E236" s="1851"/>
      <c r="F236" s="1843">
        <v>0.14299999999999999</v>
      </c>
    </row>
    <row r="237" spans="1:6" ht="24.6" thickBot="1">
      <c r="A237" s="1837" t="s">
        <v>1412</v>
      </c>
      <c r="B237" s="1841" t="s">
        <v>2163</v>
      </c>
      <c r="C237" s="1851"/>
      <c r="D237" s="1851"/>
      <c r="E237" s="1851"/>
      <c r="F237" s="1843">
        <v>0.05</v>
      </c>
    </row>
    <row r="238" spans="1:6" ht="24.6" thickBot="1">
      <c r="A238" s="1837" t="s">
        <v>1412</v>
      </c>
      <c r="B238" s="1841" t="s">
        <v>2164</v>
      </c>
      <c r="C238" s="1851"/>
      <c r="D238" s="1851"/>
      <c r="E238" s="1851"/>
      <c r="F238" s="1843">
        <v>0.05</v>
      </c>
    </row>
    <row r="239" spans="1:6" ht="24.6" thickBot="1">
      <c r="A239" s="1837" t="s">
        <v>1412</v>
      </c>
      <c r="B239" s="1841" t="s">
        <v>2165</v>
      </c>
      <c r="C239" s="1851"/>
      <c r="D239" s="1851"/>
      <c r="E239" s="1851"/>
      <c r="F239" s="1843">
        <v>0.05</v>
      </c>
    </row>
    <row r="240" spans="1:6" ht="24.6" thickBot="1">
      <c r="A240" s="1837" t="s">
        <v>1412</v>
      </c>
      <c r="B240" s="1841" t="s">
        <v>2166</v>
      </c>
      <c r="C240" s="1851"/>
      <c r="D240" s="1851"/>
      <c r="E240" s="1851"/>
      <c r="F240" s="1843">
        <v>0.05</v>
      </c>
    </row>
    <row r="241" spans="1:6" ht="24.6" thickBot="1">
      <c r="A241" s="1837" t="s">
        <v>1412</v>
      </c>
      <c r="B241" s="1841" t="s">
        <v>2167</v>
      </c>
      <c r="C241" s="1851"/>
      <c r="D241" s="1851"/>
      <c r="E241" s="1851"/>
      <c r="F241" s="1843">
        <v>0.05</v>
      </c>
    </row>
    <row r="242" spans="1:6" ht="24.6" thickBot="1">
      <c r="A242" s="1837" t="s">
        <v>1412</v>
      </c>
      <c r="B242" s="1841" t="s">
        <v>2168</v>
      </c>
      <c r="C242" s="1851"/>
      <c r="D242" s="1851"/>
      <c r="E242" s="1851"/>
      <c r="F242" s="1843">
        <v>0.05</v>
      </c>
    </row>
    <row r="243" spans="1:6" ht="24.6" thickBot="1">
      <c r="A243" s="1837" t="s">
        <v>1412</v>
      </c>
      <c r="B243" s="1841" t="s">
        <v>2169</v>
      </c>
      <c r="C243" s="1851"/>
      <c r="D243" s="1851"/>
      <c r="E243" s="1851"/>
      <c r="F243" s="1843">
        <v>0.05</v>
      </c>
    </row>
    <row r="244" spans="1:6" ht="24.6" thickBot="1">
      <c r="A244" s="1845" t="s">
        <v>1412</v>
      </c>
      <c r="B244" s="1852" t="s">
        <v>2170</v>
      </c>
      <c r="C244" s="1848"/>
      <c r="D244" s="1848"/>
      <c r="E244" s="1848"/>
      <c r="F244" s="1853">
        <v>0.05</v>
      </c>
    </row>
    <row r="245" spans="1:6" ht="15" thickBot="1">
      <c r="A245" s="1837" t="s">
        <v>1414</v>
      </c>
      <c r="B245" s="1838" t="s">
        <v>2171</v>
      </c>
      <c r="C245" s="1839">
        <v>0.15</v>
      </c>
      <c r="D245" s="1839">
        <v>0.15</v>
      </c>
      <c r="E245" s="1839">
        <v>0.15</v>
      </c>
      <c r="F245" s="1840">
        <v>0.14299999999999999</v>
      </c>
    </row>
    <row r="246" spans="1:6" ht="15" thickBot="1">
      <c r="A246" s="1837" t="s">
        <v>1414</v>
      </c>
      <c r="B246" s="1841" t="s">
        <v>1077</v>
      </c>
      <c r="C246" s="1842">
        <v>0.15</v>
      </c>
      <c r="D246" s="1842">
        <v>0.15</v>
      </c>
      <c r="E246" s="1842">
        <v>0.15</v>
      </c>
      <c r="F246" s="1843">
        <v>0.114</v>
      </c>
    </row>
    <row r="247" spans="1:6" ht="15" thickBot="1">
      <c r="A247" s="1837" t="s">
        <v>1414</v>
      </c>
      <c r="B247" s="1841" t="s">
        <v>2172</v>
      </c>
      <c r="C247" s="1842">
        <v>0.15</v>
      </c>
      <c r="D247" s="1842">
        <v>0.15</v>
      </c>
      <c r="E247" s="1842">
        <v>0.15</v>
      </c>
      <c r="F247" s="1843">
        <v>0.15</v>
      </c>
    </row>
    <row r="248" spans="1:6" ht="15" thickBot="1">
      <c r="A248" s="1837" t="s">
        <v>1414</v>
      </c>
      <c r="B248" s="1841" t="s">
        <v>2173</v>
      </c>
      <c r="C248" s="1842">
        <v>0.15</v>
      </c>
      <c r="D248" s="1842">
        <v>0.15</v>
      </c>
      <c r="E248" s="1842">
        <v>0.15</v>
      </c>
      <c r="F248" s="1843">
        <v>0.14000000000000001</v>
      </c>
    </row>
    <row r="249" spans="1:6" ht="15" thickBot="1">
      <c r="A249" s="1837" t="s">
        <v>1414</v>
      </c>
      <c r="B249" s="1841" t="s">
        <v>2174</v>
      </c>
      <c r="C249" s="1842">
        <v>0.15</v>
      </c>
      <c r="D249" s="1842">
        <v>0.14899999999999999</v>
      </c>
      <c r="E249" s="1842">
        <v>0.15</v>
      </c>
      <c r="F249" s="1843">
        <v>0.1</v>
      </c>
    </row>
    <row r="250" spans="1:6" ht="15" thickBot="1">
      <c r="A250" s="1837" t="s">
        <v>1414</v>
      </c>
      <c r="B250" s="1841" t="s">
        <v>2175</v>
      </c>
      <c r="C250" s="1842">
        <v>0.15</v>
      </c>
      <c r="D250" s="1842">
        <v>0.15</v>
      </c>
      <c r="E250" s="1842">
        <v>0.15</v>
      </c>
      <c r="F250" s="1843">
        <v>0.14399999999999999</v>
      </c>
    </row>
    <row r="251" spans="1:6" ht="15" thickBot="1">
      <c r="A251" s="1837" t="s">
        <v>1414</v>
      </c>
      <c r="B251" s="1841" t="s">
        <v>1140</v>
      </c>
      <c r="C251" s="1842">
        <v>0.15</v>
      </c>
      <c r="D251" s="1842">
        <v>0.15</v>
      </c>
      <c r="E251" s="1842">
        <v>0.15</v>
      </c>
      <c r="F251" s="1843">
        <v>0.14299999999999999</v>
      </c>
    </row>
    <row r="252" spans="1:6" ht="15" thickBot="1">
      <c r="A252" s="1837" t="s">
        <v>1414</v>
      </c>
      <c r="B252" s="1841" t="s">
        <v>1151</v>
      </c>
      <c r="C252" s="1842">
        <v>0.15</v>
      </c>
      <c r="D252" s="1842">
        <v>0.15</v>
      </c>
      <c r="E252" s="1842">
        <v>0.15</v>
      </c>
      <c r="F252" s="1843">
        <v>0.1</v>
      </c>
    </row>
    <row r="253" spans="1:6" ht="15" thickBot="1">
      <c r="A253" s="1837" t="s">
        <v>1414</v>
      </c>
      <c r="B253" s="1841" t="s">
        <v>1163</v>
      </c>
      <c r="C253" s="1842">
        <v>0.15</v>
      </c>
      <c r="D253" s="1842">
        <v>0.15</v>
      </c>
      <c r="E253" s="1842">
        <v>0.15</v>
      </c>
      <c r="F253" s="1843">
        <v>0.1</v>
      </c>
    </row>
    <row r="254" spans="1:6" ht="15" thickBot="1">
      <c r="A254" s="1837" t="s">
        <v>1414</v>
      </c>
      <c r="B254" s="1841" t="s">
        <v>1173</v>
      </c>
      <c r="C254" s="1851"/>
      <c r="D254" s="1851"/>
      <c r="E254" s="1851"/>
      <c r="F254" s="1843">
        <v>0.15</v>
      </c>
    </row>
    <row r="255" spans="1:6" ht="15" thickBot="1">
      <c r="A255" s="1837" t="s">
        <v>1414</v>
      </c>
      <c r="B255" s="1841" t="s">
        <v>1183</v>
      </c>
      <c r="C255" s="1851"/>
      <c r="D255" s="1851"/>
      <c r="E255" s="1851"/>
      <c r="F255" s="1843">
        <v>0.14299999999999999</v>
      </c>
    </row>
    <row r="256" spans="1:6" ht="15" thickBot="1">
      <c r="A256" s="1837" t="s">
        <v>1414</v>
      </c>
      <c r="B256" s="1841" t="s">
        <v>2176</v>
      </c>
      <c r="C256" s="1842">
        <v>0.14599999999999999</v>
      </c>
      <c r="D256" s="1842">
        <v>0.14699999999999999</v>
      </c>
      <c r="E256" s="1842">
        <v>0.15</v>
      </c>
      <c r="F256" s="1843">
        <v>0.13200000000000001</v>
      </c>
    </row>
    <row r="257" spans="1:6" ht="15" thickBot="1">
      <c r="A257" s="1837" t="s">
        <v>1414</v>
      </c>
      <c r="B257" s="1841" t="s">
        <v>1203</v>
      </c>
      <c r="C257" s="1842">
        <v>0.15</v>
      </c>
      <c r="D257" s="1842">
        <v>0.15</v>
      </c>
      <c r="E257" s="1842">
        <v>0.15</v>
      </c>
      <c r="F257" s="1843">
        <v>0.13900000000000001</v>
      </c>
    </row>
    <row r="258" spans="1:6" ht="15" thickBot="1">
      <c r="A258" s="1837" t="s">
        <v>1414</v>
      </c>
      <c r="B258" s="1841" t="s">
        <v>1213</v>
      </c>
      <c r="C258" s="1842">
        <v>0.15</v>
      </c>
      <c r="D258" s="1842">
        <v>0.15</v>
      </c>
      <c r="E258" s="1842">
        <v>0.15</v>
      </c>
      <c r="F258" s="1843">
        <v>0.13</v>
      </c>
    </row>
    <row r="259" spans="1:6" ht="15" thickBot="1">
      <c r="A259" s="1837" t="s">
        <v>1414</v>
      </c>
      <c r="B259" s="1841" t="s">
        <v>2177</v>
      </c>
      <c r="C259" s="1842">
        <v>0.14799999999999999</v>
      </c>
      <c r="D259" s="1842">
        <v>0.14899999999999999</v>
      </c>
      <c r="E259" s="1842">
        <v>0.15</v>
      </c>
      <c r="F259" s="1843">
        <v>0.13700000000000001</v>
      </c>
    </row>
    <row r="260" spans="1:6" ht="15" thickBot="1">
      <c r="A260" s="1837" t="s">
        <v>1414</v>
      </c>
      <c r="B260" s="1841" t="s">
        <v>1233</v>
      </c>
      <c r="C260" s="1842">
        <v>0.15</v>
      </c>
      <c r="D260" s="1842">
        <v>0.15</v>
      </c>
      <c r="E260" s="1842">
        <v>0.15</v>
      </c>
      <c r="F260" s="1843">
        <v>0.14199999999999999</v>
      </c>
    </row>
    <row r="261" spans="1:6" ht="15" thickBot="1">
      <c r="A261" s="1837" t="s">
        <v>1414</v>
      </c>
      <c r="B261" s="1841" t="s">
        <v>1243</v>
      </c>
      <c r="C261" s="1842">
        <v>0.15</v>
      </c>
      <c r="D261" s="1842">
        <v>0.15</v>
      </c>
      <c r="E261" s="1842">
        <v>0.14899999999999999</v>
      </c>
      <c r="F261" s="1843">
        <v>0.14799999999999999</v>
      </c>
    </row>
    <row r="262" spans="1:6" ht="15" thickBot="1">
      <c r="A262" s="1837" t="s">
        <v>1414</v>
      </c>
      <c r="B262" s="1841" t="s">
        <v>1253</v>
      </c>
      <c r="C262" s="1842">
        <v>0.15</v>
      </c>
      <c r="D262" s="1842">
        <v>0.15</v>
      </c>
      <c r="E262" s="1842">
        <v>0.15</v>
      </c>
      <c r="F262" s="1850"/>
    </row>
    <row r="263" spans="1:6" ht="15" thickBot="1">
      <c r="A263" s="1837" t="s">
        <v>1414</v>
      </c>
      <c r="B263" s="1841" t="s">
        <v>2178</v>
      </c>
      <c r="C263" s="1842">
        <v>0.14899999999999999</v>
      </c>
      <c r="D263" s="1842">
        <v>0.14899999999999999</v>
      </c>
      <c r="E263" s="1842">
        <v>0.15</v>
      </c>
      <c r="F263" s="1843">
        <v>0.13</v>
      </c>
    </row>
    <row r="264" spans="1:6" ht="15" thickBot="1">
      <c r="A264" s="1837" t="s">
        <v>1414</v>
      </c>
      <c r="B264" s="1841" t="s">
        <v>1272</v>
      </c>
      <c r="C264" s="1842">
        <v>0.14799999999999999</v>
      </c>
      <c r="D264" s="1842">
        <v>0.14699999999999999</v>
      </c>
      <c r="E264" s="1842">
        <v>0.15</v>
      </c>
      <c r="F264" s="1843">
        <v>7.8E-2</v>
      </c>
    </row>
    <row r="265" spans="1:6" ht="15" thickBot="1">
      <c r="A265" s="1837" t="s">
        <v>1414</v>
      </c>
      <c r="B265" s="1841" t="s">
        <v>1281</v>
      </c>
      <c r="C265" s="1842">
        <v>0.15</v>
      </c>
      <c r="D265" s="1842">
        <v>0.15</v>
      </c>
      <c r="E265" s="1842">
        <v>0.15</v>
      </c>
      <c r="F265" s="1843">
        <v>7.3999999999999996E-2</v>
      </c>
    </row>
    <row r="266" spans="1:6" ht="15" thickBot="1">
      <c r="A266" s="1837" t="s">
        <v>1414</v>
      </c>
      <c r="B266" s="1841" t="s">
        <v>1289</v>
      </c>
      <c r="C266" s="1842">
        <v>0.14699999999999999</v>
      </c>
      <c r="D266" s="1842">
        <v>0.14699999999999999</v>
      </c>
      <c r="E266" s="1842">
        <v>0.15</v>
      </c>
      <c r="F266" s="1843">
        <v>0.14299999999999999</v>
      </c>
    </row>
    <row r="267" spans="1:6" ht="15" thickBot="1">
      <c r="A267" s="1837" t="s">
        <v>1414</v>
      </c>
      <c r="B267" s="1841" t="s">
        <v>1296</v>
      </c>
      <c r="C267" s="1842">
        <v>0.14199999999999999</v>
      </c>
      <c r="D267" s="1842">
        <v>0.14299999999999999</v>
      </c>
      <c r="E267" s="1842">
        <v>0.15</v>
      </c>
      <c r="F267" s="1850"/>
    </row>
    <row r="268" spans="1:6" ht="15" thickBot="1">
      <c r="A268" s="1837" t="s">
        <v>1414</v>
      </c>
      <c r="B268" s="1841" t="s">
        <v>2179</v>
      </c>
      <c r="C268" s="1842">
        <v>0.15</v>
      </c>
      <c r="D268" s="1842">
        <v>0.15</v>
      </c>
      <c r="E268" s="1842">
        <v>0.15</v>
      </c>
      <c r="F268" s="1843">
        <v>0.13</v>
      </c>
    </row>
    <row r="269" spans="1:6" ht="15" thickBot="1">
      <c r="A269" s="1837" t="s">
        <v>1414</v>
      </c>
      <c r="B269" s="1841" t="s">
        <v>1310</v>
      </c>
      <c r="C269" s="1842">
        <v>0.15</v>
      </c>
      <c r="D269" s="1842">
        <v>0.15</v>
      </c>
      <c r="E269" s="1842">
        <v>0.15</v>
      </c>
      <c r="F269" s="1843">
        <v>0.14299999999999999</v>
      </c>
    </row>
    <row r="270" spans="1:6" ht="15" thickBot="1">
      <c r="A270" s="1837" t="s">
        <v>1414</v>
      </c>
      <c r="B270" s="1841" t="s">
        <v>1317</v>
      </c>
      <c r="C270" s="1842">
        <v>0.14499999999999999</v>
      </c>
      <c r="D270" s="1842">
        <v>0.14499999999999999</v>
      </c>
      <c r="E270" s="1842">
        <v>0.15</v>
      </c>
      <c r="F270" s="1843">
        <v>0.14699999999999999</v>
      </c>
    </row>
    <row r="271" spans="1:6" ht="15" thickBot="1">
      <c r="A271" s="1837" t="s">
        <v>1414</v>
      </c>
      <c r="B271" s="1841" t="s">
        <v>1324</v>
      </c>
      <c r="C271" s="1842">
        <v>0.15</v>
      </c>
      <c r="D271" s="1842">
        <v>0.15</v>
      </c>
      <c r="E271" s="1842">
        <v>0.15</v>
      </c>
      <c r="F271" s="1843">
        <v>0.13800000000000001</v>
      </c>
    </row>
    <row r="272" spans="1:6" ht="15" thickBot="1">
      <c r="A272" s="1837" t="s">
        <v>1414</v>
      </c>
      <c r="B272" s="1841" t="s">
        <v>1331</v>
      </c>
      <c r="C272" s="1851"/>
      <c r="D272" s="1851"/>
      <c r="E272" s="1851"/>
      <c r="F272" s="1843">
        <v>0.14000000000000001</v>
      </c>
    </row>
    <row r="273" spans="1:6" ht="15" thickBot="1">
      <c r="A273" s="1837" t="s">
        <v>1414</v>
      </c>
      <c r="B273" s="1841" t="s">
        <v>2180</v>
      </c>
      <c r="C273" s="1842">
        <v>0.14199999999999999</v>
      </c>
      <c r="D273" s="1842">
        <v>0.14299999999999999</v>
      </c>
      <c r="E273" s="1842">
        <v>0.15</v>
      </c>
      <c r="F273" s="1843">
        <v>0.1</v>
      </c>
    </row>
    <row r="274" spans="1:6" ht="15" thickBot="1">
      <c r="A274" s="1837" t="s">
        <v>1414</v>
      </c>
      <c r="B274" s="1841" t="s">
        <v>2181</v>
      </c>
      <c r="C274" s="1842">
        <v>0.14799999999999999</v>
      </c>
      <c r="D274" s="1842">
        <v>0.14799999999999999</v>
      </c>
      <c r="E274" s="1842">
        <v>0.15</v>
      </c>
      <c r="F274" s="1843">
        <v>6.7000000000000004E-2</v>
      </c>
    </row>
    <row r="275" spans="1:6" ht="15" thickBot="1">
      <c r="A275" s="1837" t="s">
        <v>1414</v>
      </c>
      <c r="B275" s="1841" t="s">
        <v>2182</v>
      </c>
      <c r="C275" s="1842">
        <v>0.15</v>
      </c>
      <c r="D275" s="1842">
        <v>0.15</v>
      </c>
      <c r="E275" s="1842">
        <v>0.15</v>
      </c>
      <c r="F275" s="1843">
        <v>0.15</v>
      </c>
    </row>
    <row r="276" spans="1:6" ht="15" thickBot="1">
      <c r="A276" s="1837" t="s">
        <v>1414</v>
      </c>
      <c r="B276" s="1841" t="s">
        <v>2183</v>
      </c>
      <c r="C276" s="1842">
        <v>0.14499999999999999</v>
      </c>
      <c r="D276" s="1842">
        <v>0.14299999999999999</v>
      </c>
      <c r="E276" s="1842">
        <v>0.15</v>
      </c>
      <c r="F276" s="1843">
        <v>5.8999999999999997E-2</v>
      </c>
    </row>
    <row r="277" spans="1:6" ht="15" thickBot="1">
      <c r="A277" s="1837" t="s">
        <v>1414</v>
      </c>
      <c r="B277" s="1841" t="s">
        <v>2184</v>
      </c>
      <c r="C277" s="1842">
        <v>0.15</v>
      </c>
      <c r="D277" s="1842">
        <v>0.15</v>
      </c>
      <c r="E277" s="1842">
        <v>0.15</v>
      </c>
      <c r="F277" s="1843">
        <v>0.121</v>
      </c>
    </row>
    <row r="278" spans="1:6" ht="15" thickBot="1">
      <c r="A278" s="1837" t="s">
        <v>1414</v>
      </c>
      <c r="B278" s="1841" t="s">
        <v>2185</v>
      </c>
      <c r="C278" s="1842">
        <v>0.15</v>
      </c>
      <c r="D278" s="1842">
        <v>0.15</v>
      </c>
      <c r="E278" s="1842">
        <v>0.15</v>
      </c>
      <c r="F278" s="1843">
        <v>0.13800000000000001</v>
      </c>
    </row>
    <row r="279" spans="1:6" ht="24.6" thickBot="1">
      <c r="A279" s="1837" t="s">
        <v>1414</v>
      </c>
      <c r="B279" s="1841" t="s">
        <v>2186</v>
      </c>
      <c r="C279" s="1851"/>
      <c r="D279" s="1851"/>
      <c r="E279" s="1851"/>
      <c r="F279" s="1843">
        <v>0.05</v>
      </c>
    </row>
    <row r="280" spans="1:6" ht="24.6" thickBot="1">
      <c r="A280" s="1837" t="s">
        <v>1414</v>
      </c>
      <c r="B280" s="1841" t="s">
        <v>2187</v>
      </c>
      <c r="C280" s="1851"/>
      <c r="D280" s="1851"/>
      <c r="E280" s="1851"/>
      <c r="F280" s="1843">
        <v>0.05</v>
      </c>
    </row>
    <row r="281" spans="1:6" ht="24.6" thickBot="1">
      <c r="A281" s="1837" t="s">
        <v>1414</v>
      </c>
      <c r="B281" s="1841" t="s">
        <v>2188</v>
      </c>
      <c r="C281" s="1851"/>
      <c r="D281" s="1851"/>
      <c r="E281" s="1851"/>
      <c r="F281" s="1843">
        <v>0.05</v>
      </c>
    </row>
    <row r="282" spans="1:6" ht="24.6" thickBot="1">
      <c r="A282" s="1837" t="s">
        <v>1414</v>
      </c>
      <c r="B282" s="1841" t="s">
        <v>2189</v>
      </c>
      <c r="C282" s="1851"/>
      <c r="D282" s="1851"/>
      <c r="E282" s="1851"/>
      <c r="F282" s="1843">
        <v>0.05</v>
      </c>
    </row>
    <row r="283" spans="1:6" ht="24.6" thickBot="1">
      <c r="A283" s="1837" t="s">
        <v>1414</v>
      </c>
      <c r="B283" s="1841" t="s">
        <v>2190</v>
      </c>
      <c r="C283" s="1851"/>
      <c r="D283" s="1851"/>
      <c r="E283" s="1851"/>
      <c r="F283" s="1843">
        <v>0.05</v>
      </c>
    </row>
    <row r="284" spans="1:6" ht="24.6" thickBot="1">
      <c r="A284" s="1837" t="s">
        <v>1414</v>
      </c>
      <c r="B284" s="1841" t="s">
        <v>2191</v>
      </c>
      <c r="C284" s="1851"/>
      <c r="D284" s="1851"/>
      <c r="E284" s="1851"/>
      <c r="F284" s="1843">
        <v>0.05</v>
      </c>
    </row>
    <row r="285" spans="1:6" ht="24.6" thickBot="1">
      <c r="A285" s="1837" t="s">
        <v>1414</v>
      </c>
      <c r="B285" s="1841" t="s">
        <v>2192</v>
      </c>
      <c r="C285" s="1851"/>
      <c r="D285" s="1851"/>
      <c r="E285" s="1851"/>
      <c r="F285" s="1843">
        <v>0.05</v>
      </c>
    </row>
    <row r="286" spans="1:6" ht="24.6" thickBot="1">
      <c r="A286" s="1837" t="s">
        <v>1414</v>
      </c>
      <c r="B286" s="1841" t="s">
        <v>2193</v>
      </c>
      <c r="C286" s="1851"/>
      <c r="D286" s="1851"/>
      <c r="E286" s="1851"/>
      <c r="F286" s="1843">
        <v>0.05</v>
      </c>
    </row>
    <row r="287" spans="1:6" ht="24.6" thickBot="1">
      <c r="A287" s="1837" t="s">
        <v>1414</v>
      </c>
      <c r="B287" s="1841" t="s">
        <v>2194</v>
      </c>
      <c r="C287" s="1851"/>
      <c r="D287" s="1851"/>
      <c r="E287" s="1851"/>
      <c r="F287" s="1843">
        <v>0.05</v>
      </c>
    </row>
    <row r="288" spans="1:6" ht="24.6" thickBot="1">
      <c r="A288" s="1837" t="s">
        <v>1414</v>
      </c>
      <c r="B288" s="1841" t="s">
        <v>2195</v>
      </c>
      <c r="C288" s="1851"/>
      <c r="D288" s="1851"/>
      <c r="E288" s="1851"/>
      <c r="F288" s="1843">
        <v>0.05</v>
      </c>
    </row>
    <row r="289" spans="1:6" ht="24.6" thickBot="1">
      <c r="A289" s="1845" t="s">
        <v>1414</v>
      </c>
      <c r="B289" s="1852" t="s">
        <v>2196</v>
      </c>
      <c r="C289" s="1848"/>
      <c r="D289" s="1848"/>
      <c r="E289" s="1848"/>
      <c r="F289" s="1853">
        <v>0.05</v>
      </c>
    </row>
    <row r="290" spans="1:6" ht="15" thickBot="1">
      <c r="A290" s="1837" t="s">
        <v>1418</v>
      </c>
      <c r="B290" s="1838" t="s">
        <v>2197</v>
      </c>
      <c r="C290" s="1839">
        <v>0.15</v>
      </c>
      <c r="D290" s="1839">
        <v>0.15</v>
      </c>
      <c r="E290" s="1839">
        <v>0.15</v>
      </c>
      <c r="F290" s="1861"/>
    </row>
    <row r="291" spans="1:6" ht="15" thickBot="1">
      <c r="A291" s="1837" t="s">
        <v>1418</v>
      </c>
      <c r="B291" s="1841" t="s">
        <v>1078</v>
      </c>
      <c r="C291" s="1842">
        <v>0.15</v>
      </c>
      <c r="D291" s="1842">
        <v>0.15</v>
      </c>
      <c r="E291" s="1842">
        <v>0.15</v>
      </c>
      <c r="F291" s="1850"/>
    </row>
    <row r="292" spans="1:6" ht="15" thickBot="1">
      <c r="A292" s="1837" t="s">
        <v>1418</v>
      </c>
      <c r="B292" s="1841" t="s">
        <v>2198</v>
      </c>
      <c r="C292" s="1842">
        <v>0.15</v>
      </c>
      <c r="D292" s="1842">
        <v>0.15</v>
      </c>
      <c r="E292" s="1842">
        <v>0.15</v>
      </c>
      <c r="F292" s="1843">
        <v>0.14699999999999999</v>
      </c>
    </row>
    <row r="293" spans="1:6" ht="15" thickBot="1">
      <c r="A293" s="1837" t="s">
        <v>1418</v>
      </c>
      <c r="B293" s="1841" t="s">
        <v>2199</v>
      </c>
      <c r="C293" s="1851"/>
      <c r="D293" s="1851"/>
      <c r="E293" s="1851"/>
      <c r="F293" s="1843">
        <v>0.1</v>
      </c>
    </row>
    <row r="294" spans="1:6" ht="15" thickBot="1">
      <c r="A294" s="1837" t="s">
        <v>1418</v>
      </c>
      <c r="B294" s="1841" t="s">
        <v>2200</v>
      </c>
      <c r="C294" s="1842">
        <v>0.15</v>
      </c>
      <c r="D294" s="1842">
        <v>0.15</v>
      </c>
      <c r="E294" s="1842">
        <v>0.15</v>
      </c>
      <c r="F294" s="1843">
        <v>0.15</v>
      </c>
    </row>
    <row r="295" spans="1:6" ht="15" thickBot="1">
      <c r="A295" s="1837" t="s">
        <v>1418</v>
      </c>
      <c r="B295" s="1841" t="s">
        <v>1119</v>
      </c>
      <c r="C295" s="1842">
        <v>0.15</v>
      </c>
      <c r="D295" s="1842">
        <v>0.15</v>
      </c>
      <c r="E295" s="1842">
        <v>0.15</v>
      </c>
      <c r="F295" s="1843">
        <v>0.15</v>
      </c>
    </row>
    <row r="296" spans="1:6" ht="15" thickBot="1">
      <c r="A296" s="1837" t="s">
        <v>1418</v>
      </c>
      <c r="B296" s="1841" t="s">
        <v>2201</v>
      </c>
      <c r="C296" s="1842">
        <v>0.15</v>
      </c>
      <c r="D296" s="1842">
        <v>0.15</v>
      </c>
      <c r="E296" s="1842">
        <v>0.15</v>
      </c>
      <c r="F296" s="1843">
        <v>0.15</v>
      </c>
    </row>
    <row r="297" spans="1:6" ht="15" thickBot="1">
      <c r="A297" s="1837" t="s">
        <v>1418</v>
      </c>
      <c r="B297" s="1841" t="s">
        <v>2202</v>
      </c>
      <c r="C297" s="1842">
        <v>0.14799999999999999</v>
      </c>
      <c r="D297" s="1842">
        <v>0.14899999999999999</v>
      </c>
      <c r="E297" s="1842">
        <v>0.15</v>
      </c>
      <c r="F297" s="1843">
        <v>0.13700000000000001</v>
      </c>
    </row>
    <row r="298" spans="1:6" ht="15" thickBot="1">
      <c r="A298" s="1837" t="s">
        <v>1418</v>
      </c>
      <c r="B298" s="1841" t="s">
        <v>1152</v>
      </c>
      <c r="C298" s="1842">
        <v>0.13400000000000001</v>
      </c>
      <c r="D298" s="1842">
        <v>0.13400000000000001</v>
      </c>
      <c r="E298" s="1842">
        <v>0.14499999999999999</v>
      </c>
      <c r="F298" s="1843">
        <v>0.14799999999999999</v>
      </c>
    </row>
    <row r="299" spans="1:6" ht="15" thickBot="1">
      <c r="A299" s="1837" t="s">
        <v>1418</v>
      </c>
      <c r="B299" s="1841" t="s">
        <v>1164</v>
      </c>
      <c r="C299" s="1842">
        <v>0.15</v>
      </c>
      <c r="D299" s="1842">
        <v>0.15</v>
      </c>
      <c r="E299" s="1842">
        <v>0.15</v>
      </c>
      <c r="F299" s="1850"/>
    </row>
    <row r="300" spans="1:6" ht="15" thickBot="1">
      <c r="A300" s="1837" t="s">
        <v>1418</v>
      </c>
      <c r="B300" s="1841" t="s">
        <v>2203</v>
      </c>
      <c r="C300" s="1842">
        <v>0.15</v>
      </c>
      <c r="D300" s="1842">
        <v>0.15</v>
      </c>
      <c r="E300" s="1842">
        <v>0.15</v>
      </c>
      <c r="F300" s="1843">
        <v>0.15</v>
      </c>
    </row>
    <row r="301" spans="1:6" ht="15" thickBot="1">
      <c r="A301" s="1837" t="s">
        <v>1418</v>
      </c>
      <c r="B301" s="1841" t="s">
        <v>1184</v>
      </c>
      <c r="C301" s="1842">
        <v>0.15</v>
      </c>
      <c r="D301" s="1842">
        <v>0.15</v>
      </c>
      <c r="E301" s="1842">
        <v>0.15</v>
      </c>
      <c r="F301" s="1850"/>
    </row>
    <row r="302" spans="1:6" ht="15" thickBot="1">
      <c r="A302" s="1837" t="s">
        <v>1418</v>
      </c>
      <c r="B302" s="1841" t="s">
        <v>2204</v>
      </c>
      <c r="C302" s="1842">
        <v>0.15</v>
      </c>
      <c r="D302" s="1842">
        <v>0.15</v>
      </c>
      <c r="E302" s="1842">
        <v>0.15</v>
      </c>
      <c r="F302" s="1843">
        <v>0.15</v>
      </c>
    </row>
    <row r="303" spans="1:6" ht="15" thickBot="1">
      <c r="A303" s="1837" t="s">
        <v>1418</v>
      </c>
      <c r="B303" s="1841" t="s">
        <v>1204</v>
      </c>
      <c r="C303" s="1842">
        <v>0.15</v>
      </c>
      <c r="D303" s="1842">
        <v>0.15</v>
      </c>
      <c r="E303" s="1842">
        <v>0.15</v>
      </c>
      <c r="F303" s="1843">
        <v>0.15</v>
      </c>
    </row>
    <row r="304" spans="1:6" ht="15" thickBot="1">
      <c r="A304" s="1837" t="s">
        <v>1418</v>
      </c>
      <c r="B304" s="1841" t="s">
        <v>1214</v>
      </c>
      <c r="C304" s="1842">
        <v>0.15</v>
      </c>
      <c r="D304" s="1842">
        <v>0.15</v>
      </c>
      <c r="E304" s="1842">
        <v>0.15</v>
      </c>
      <c r="F304" s="1850"/>
    </row>
    <row r="305" spans="1:6" ht="15" thickBot="1">
      <c r="A305" s="1837" t="s">
        <v>1418</v>
      </c>
      <c r="B305" s="1841" t="s">
        <v>2205</v>
      </c>
      <c r="C305" s="1842">
        <v>0.15</v>
      </c>
      <c r="D305" s="1842">
        <v>0.15</v>
      </c>
      <c r="E305" s="1842">
        <v>0.15</v>
      </c>
      <c r="F305" s="1843">
        <v>0.14000000000000001</v>
      </c>
    </row>
    <row r="306" spans="1:6" ht="15" thickBot="1">
      <c r="A306" s="1837" t="s">
        <v>1418</v>
      </c>
      <c r="B306" s="1841" t="s">
        <v>1234</v>
      </c>
      <c r="C306" s="1842">
        <v>0.15</v>
      </c>
      <c r="D306" s="1842">
        <v>0.15</v>
      </c>
      <c r="E306" s="1842">
        <v>0.15</v>
      </c>
      <c r="F306" s="1850"/>
    </row>
    <row r="307" spans="1:6" ht="15" thickBot="1">
      <c r="A307" s="1837" t="s">
        <v>1418</v>
      </c>
      <c r="B307" s="1841" t="s">
        <v>2206</v>
      </c>
      <c r="C307" s="1842">
        <v>0.15</v>
      </c>
      <c r="D307" s="1842">
        <v>0.15</v>
      </c>
      <c r="E307" s="1842">
        <v>0.15</v>
      </c>
      <c r="F307" s="1843">
        <v>0.14299999999999999</v>
      </c>
    </row>
    <row r="308" spans="1:6" ht="15" thickBot="1">
      <c r="A308" s="1837" t="s">
        <v>1418</v>
      </c>
      <c r="B308" s="1841" t="s">
        <v>1254</v>
      </c>
      <c r="C308" s="1842">
        <v>0.15</v>
      </c>
      <c r="D308" s="1842">
        <v>0.15</v>
      </c>
      <c r="E308" s="1842">
        <v>0.15</v>
      </c>
      <c r="F308" s="1843">
        <v>0.15</v>
      </c>
    </row>
    <row r="309" spans="1:6" ht="15" thickBot="1">
      <c r="A309" s="1837" t="s">
        <v>1418</v>
      </c>
      <c r="B309" s="1841" t="s">
        <v>1264</v>
      </c>
      <c r="C309" s="1842">
        <v>0.15</v>
      </c>
      <c r="D309" s="1842">
        <v>0.15</v>
      </c>
      <c r="E309" s="1842">
        <v>0.15</v>
      </c>
      <c r="F309" s="1850"/>
    </row>
    <row r="310" spans="1:6" ht="15" thickBot="1">
      <c r="A310" s="1837" t="s">
        <v>1418</v>
      </c>
      <c r="B310" s="1841" t="s">
        <v>2207</v>
      </c>
      <c r="C310" s="1842">
        <v>0.15</v>
      </c>
      <c r="D310" s="1842">
        <v>0.15</v>
      </c>
      <c r="E310" s="1842">
        <v>0.15</v>
      </c>
      <c r="F310" s="1843">
        <v>0.13700000000000001</v>
      </c>
    </row>
    <row r="311" spans="1:6" ht="15" thickBot="1">
      <c r="A311" s="1837" t="s">
        <v>1418</v>
      </c>
      <c r="B311" s="1841" t="s">
        <v>2208</v>
      </c>
      <c r="C311" s="1842">
        <v>0.15</v>
      </c>
      <c r="D311" s="1842">
        <v>0.15</v>
      </c>
      <c r="E311" s="1842">
        <v>0.15</v>
      </c>
      <c r="F311" s="1843">
        <v>0.15</v>
      </c>
    </row>
    <row r="312" spans="1:6" ht="15" thickBot="1">
      <c r="A312" s="1837" t="s">
        <v>1418</v>
      </c>
      <c r="B312" s="1841" t="s">
        <v>1290</v>
      </c>
      <c r="C312" s="1842">
        <v>0.15</v>
      </c>
      <c r="D312" s="1842">
        <v>0.15</v>
      </c>
      <c r="E312" s="1842">
        <v>0.15</v>
      </c>
      <c r="F312" s="1843">
        <v>0.1</v>
      </c>
    </row>
    <row r="313" spans="1:6" ht="15" thickBot="1">
      <c r="A313" s="1837" t="s">
        <v>1418</v>
      </c>
      <c r="B313" s="1841" t="s">
        <v>2209</v>
      </c>
      <c r="C313" s="1842">
        <v>0.15</v>
      </c>
      <c r="D313" s="1842">
        <v>0.15</v>
      </c>
      <c r="E313" s="1842">
        <v>0.15</v>
      </c>
      <c r="F313" s="1843">
        <v>0.15</v>
      </c>
    </row>
    <row r="314" spans="1:6" ht="24.6" thickBot="1">
      <c r="A314" s="1837" t="s">
        <v>1418</v>
      </c>
      <c r="B314" s="1841" t="s">
        <v>2210</v>
      </c>
      <c r="C314" s="1851"/>
      <c r="D314" s="1851"/>
      <c r="E314" s="1851"/>
      <c r="F314" s="1843">
        <v>0.05</v>
      </c>
    </row>
    <row r="315" spans="1:6" ht="24.6" thickBot="1">
      <c r="A315" s="1837" t="s">
        <v>1418</v>
      </c>
      <c r="B315" s="1841" t="s">
        <v>2211</v>
      </c>
      <c r="C315" s="1851"/>
      <c r="D315" s="1851"/>
      <c r="E315" s="1851"/>
      <c r="F315" s="1843">
        <v>0.05</v>
      </c>
    </row>
    <row r="316" spans="1:6" ht="24.6" thickBot="1">
      <c r="A316" s="1845" t="s">
        <v>1418</v>
      </c>
      <c r="B316" s="1852" t="s">
        <v>2212</v>
      </c>
      <c r="C316" s="1848"/>
      <c r="D316" s="1848"/>
      <c r="E316" s="1848"/>
      <c r="F316" s="1853">
        <v>0.05</v>
      </c>
    </row>
    <row r="317" spans="1:6" ht="15" thickBot="1">
      <c r="A317" s="1837" t="s">
        <v>2213</v>
      </c>
      <c r="B317" s="1838" t="s">
        <v>2214</v>
      </c>
      <c r="C317" s="1839">
        <v>0.15</v>
      </c>
      <c r="D317" s="1839">
        <v>0.15</v>
      </c>
      <c r="E317" s="1839">
        <v>0.15</v>
      </c>
      <c r="F317" s="1840">
        <v>0.15</v>
      </c>
    </row>
    <row r="318" spans="1:6" ht="15" thickBot="1">
      <c r="A318" s="1837" t="s">
        <v>2213</v>
      </c>
      <c r="B318" s="1841" t="s">
        <v>2215</v>
      </c>
      <c r="C318" s="1842">
        <v>0.107</v>
      </c>
      <c r="D318" s="1842">
        <v>0.11</v>
      </c>
      <c r="E318" s="1842">
        <v>0.112</v>
      </c>
      <c r="F318" s="1850"/>
    </row>
    <row r="319" spans="1:6" ht="15" thickBot="1">
      <c r="A319" s="1837" t="s">
        <v>2213</v>
      </c>
      <c r="B319" s="1841" t="s">
        <v>2216</v>
      </c>
      <c r="C319" s="1842">
        <v>0.15</v>
      </c>
      <c r="D319" s="1842">
        <v>0.15</v>
      </c>
      <c r="E319" s="1842">
        <v>0.15</v>
      </c>
      <c r="F319" s="1843">
        <v>0.15</v>
      </c>
    </row>
    <row r="320" spans="1:6" ht="15" thickBot="1">
      <c r="A320" s="1837" t="s">
        <v>2213</v>
      </c>
      <c r="B320" s="1841" t="s">
        <v>1106</v>
      </c>
      <c r="C320" s="1842">
        <v>0.15</v>
      </c>
      <c r="D320" s="1842">
        <v>0.15</v>
      </c>
      <c r="E320" s="1842">
        <v>0.15</v>
      </c>
      <c r="F320" s="1850"/>
    </row>
    <row r="321" spans="1:6" ht="15" thickBot="1">
      <c r="A321" s="1837" t="s">
        <v>2213</v>
      </c>
      <c r="B321" s="1841" t="s">
        <v>2217</v>
      </c>
      <c r="C321" s="1842">
        <v>0.15</v>
      </c>
      <c r="D321" s="1842">
        <v>0.15</v>
      </c>
      <c r="E321" s="1842">
        <v>0.15</v>
      </c>
      <c r="F321" s="1850"/>
    </row>
    <row r="322" spans="1:6" ht="15" thickBot="1">
      <c r="A322" s="1837" t="s">
        <v>2213</v>
      </c>
      <c r="B322" s="1841" t="s">
        <v>2218</v>
      </c>
      <c r="C322" s="1842">
        <v>0.15</v>
      </c>
      <c r="D322" s="1842">
        <v>0.15</v>
      </c>
      <c r="E322" s="1842">
        <v>0.15</v>
      </c>
      <c r="F322" s="1843">
        <v>0.15</v>
      </c>
    </row>
    <row r="323" spans="1:6" ht="15" thickBot="1">
      <c r="A323" s="1837" t="s">
        <v>2213</v>
      </c>
      <c r="B323" s="1841" t="s">
        <v>2219</v>
      </c>
      <c r="C323" s="1842">
        <v>0.15</v>
      </c>
      <c r="D323" s="1842">
        <v>0.15</v>
      </c>
      <c r="E323" s="1842">
        <v>0.15</v>
      </c>
      <c r="F323" s="1850"/>
    </row>
    <row r="324" spans="1:6" ht="15" thickBot="1">
      <c r="A324" s="1837" t="s">
        <v>2213</v>
      </c>
      <c r="B324" s="1841" t="s">
        <v>2220</v>
      </c>
      <c r="C324" s="1842">
        <v>0.15</v>
      </c>
      <c r="D324" s="1842">
        <v>0.15</v>
      </c>
      <c r="E324" s="1842">
        <v>0.15</v>
      </c>
      <c r="F324" s="1850"/>
    </row>
    <row r="325" spans="1:6" ht="15" thickBot="1">
      <c r="A325" s="1837" t="s">
        <v>2213</v>
      </c>
      <c r="B325" s="1841" t="s">
        <v>2221</v>
      </c>
      <c r="C325" s="1842">
        <v>0.15</v>
      </c>
      <c r="D325" s="1842">
        <v>0.15</v>
      </c>
      <c r="E325" s="1842">
        <v>0.15</v>
      </c>
      <c r="F325" s="1843">
        <v>0.14699999999999999</v>
      </c>
    </row>
    <row r="326" spans="1:6" ht="15" thickBot="1">
      <c r="A326" s="1837" t="s">
        <v>2213</v>
      </c>
      <c r="B326" s="1841" t="s">
        <v>1175</v>
      </c>
      <c r="C326" s="1842">
        <v>0.15</v>
      </c>
      <c r="D326" s="1842">
        <v>0.15</v>
      </c>
      <c r="E326" s="1842">
        <v>0.15</v>
      </c>
      <c r="F326" s="1850"/>
    </row>
    <row r="327" spans="1:6" ht="15" thickBot="1">
      <c r="A327" s="1837" t="s">
        <v>2213</v>
      </c>
      <c r="B327" s="1841" t="s">
        <v>2222</v>
      </c>
      <c r="C327" s="1842">
        <v>0.15</v>
      </c>
      <c r="D327" s="1842">
        <v>0.15</v>
      </c>
      <c r="E327" s="1842">
        <v>0.15</v>
      </c>
      <c r="F327" s="1843">
        <v>0.15</v>
      </c>
    </row>
    <row r="328" spans="1:6" ht="15" thickBot="1">
      <c r="A328" s="1837" t="s">
        <v>2213</v>
      </c>
      <c r="B328" s="1841" t="s">
        <v>1195</v>
      </c>
      <c r="C328" s="1842">
        <v>0.15</v>
      </c>
      <c r="D328" s="1842">
        <v>0.15</v>
      </c>
      <c r="E328" s="1842">
        <v>0.15</v>
      </c>
      <c r="F328" s="1843">
        <v>0.14099999999999999</v>
      </c>
    </row>
    <row r="329" spans="1:6" ht="15" thickBot="1">
      <c r="A329" s="1837" t="s">
        <v>2213</v>
      </c>
      <c r="B329" s="1841" t="s">
        <v>1205</v>
      </c>
      <c r="C329" s="1842">
        <v>0.15</v>
      </c>
      <c r="D329" s="1842">
        <v>0.15</v>
      </c>
      <c r="E329" s="1842">
        <v>0.15</v>
      </c>
      <c r="F329" s="1843">
        <v>0.15</v>
      </c>
    </row>
    <row r="330" spans="1:6" ht="15" thickBot="1">
      <c r="A330" s="1837" t="s">
        <v>2213</v>
      </c>
      <c r="B330" s="1841" t="s">
        <v>1215</v>
      </c>
      <c r="C330" s="1842">
        <v>0.15</v>
      </c>
      <c r="D330" s="1842">
        <v>0.15</v>
      </c>
      <c r="E330" s="1842">
        <v>0.15</v>
      </c>
      <c r="F330" s="1850"/>
    </row>
    <row r="331" spans="1:6" ht="15" thickBot="1">
      <c r="A331" s="1837" t="s">
        <v>2213</v>
      </c>
      <c r="B331" s="1841" t="s">
        <v>2223</v>
      </c>
      <c r="C331" s="1842">
        <v>0.15</v>
      </c>
      <c r="D331" s="1842">
        <v>0.15</v>
      </c>
      <c r="E331" s="1842">
        <v>0.15</v>
      </c>
      <c r="F331" s="1843">
        <v>0.15</v>
      </c>
    </row>
    <row r="332" spans="1:6" ht="15" thickBot="1">
      <c r="A332" s="1837" t="s">
        <v>2213</v>
      </c>
      <c r="B332" s="1841" t="s">
        <v>1235</v>
      </c>
      <c r="C332" s="1842">
        <v>0.15</v>
      </c>
      <c r="D332" s="1842">
        <v>0.15</v>
      </c>
      <c r="E332" s="1842">
        <v>0.15</v>
      </c>
      <c r="F332" s="1843">
        <v>0.15</v>
      </c>
    </row>
    <row r="333" spans="1:6" ht="15" thickBot="1">
      <c r="A333" s="1837" t="s">
        <v>2213</v>
      </c>
      <c r="B333" s="1841" t="s">
        <v>2224</v>
      </c>
      <c r="C333" s="1842">
        <v>0.15</v>
      </c>
      <c r="D333" s="1842">
        <v>0.15</v>
      </c>
      <c r="E333" s="1842">
        <v>0.15</v>
      </c>
      <c r="F333" s="1843">
        <v>0.14099999999999999</v>
      </c>
    </row>
    <row r="334" spans="1:6" ht="15" thickBot="1">
      <c r="A334" s="1837" t="s">
        <v>2213</v>
      </c>
      <c r="B334" s="1841" t="s">
        <v>1255</v>
      </c>
      <c r="C334" s="1842">
        <v>0.15</v>
      </c>
      <c r="D334" s="1842">
        <v>0.15</v>
      </c>
      <c r="E334" s="1842">
        <v>0.15</v>
      </c>
      <c r="F334" s="1843">
        <v>0.15</v>
      </c>
    </row>
    <row r="335" spans="1:6" ht="15" thickBot="1">
      <c r="A335" s="1837" t="s">
        <v>2213</v>
      </c>
      <c r="B335" s="1841" t="s">
        <v>1265</v>
      </c>
      <c r="C335" s="1842">
        <v>0.15</v>
      </c>
      <c r="D335" s="1842">
        <v>0.15</v>
      </c>
      <c r="E335" s="1842">
        <v>0.15</v>
      </c>
      <c r="F335" s="1850"/>
    </row>
    <row r="336" spans="1:6" ht="15" thickBot="1">
      <c r="A336" s="1837" t="s">
        <v>2213</v>
      </c>
      <c r="B336" s="1841" t="s">
        <v>2225</v>
      </c>
      <c r="C336" s="1842">
        <v>0.15</v>
      </c>
      <c r="D336" s="1842">
        <v>0.15</v>
      </c>
      <c r="E336" s="1842">
        <v>0.15</v>
      </c>
      <c r="F336" s="1843">
        <v>0.11799999999999999</v>
      </c>
    </row>
    <row r="337" spans="1:6" ht="15" thickBot="1">
      <c r="A337" s="1845" t="s">
        <v>2213</v>
      </c>
      <c r="B337" s="1852" t="s">
        <v>1283</v>
      </c>
      <c r="C337" s="1848"/>
      <c r="D337" s="1848"/>
      <c r="E337" s="1848"/>
      <c r="F337" s="1853">
        <v>0.14299999999999999</v>
      </c>
    </row>
    <row r="338" spans="1:6" ht="15" thickBot="1">
      <c r="A338" s="1837" t="s">
        <v>2226</v>
      </c>
      <c r="B338" s="1838" t="s">
        <v>2227</v>
      </c>
      <c r="C338" s="1839">
        <v>0.15</v>
      </c>
      <c r="D338" s="1839">
        <v>0.15</v>
      </c>
      <c r="E338" s="1839">
        <v>0.15</v>
      </c>
      <c r="F338" s="1861"/>
    </row>
    <row r="339" spans="1:6" ht="15" thickBot="1">
      <c r="A339" s="1837" t="s">
        <v>2226</v>
      </c>
      <c r="B339" s="1841" t="s">
        <v>2228</v>
      </c>
      <c r="C339" s="1842">
        <v>0.15</v>
      </c>
      <c r="D339" s="1842">
        <v>0.15</v>
      </c>
      <c r="E339" s="1842">
        <v>0.15</v>
      </c>
      <c r="F339" s="1850"/>
    </row>
    <row r="340" spans="1:6" ht="15" thickBot="1">
      <c r="A340" s="1837" t="s">
        <v>2226</v>
      </c>
      <c r="B340" s="1841" t="s">
        <v>2229</v>
      </c>
      <c r="C340" s="1842">
        <v>0.15</v>
      </c>
      <c r="D340" s="1842">
        <v>0.15</v>
      </c>
      <c r="E340" s="1842">
        <v>0.15</v>
      </c>
      <c r="F340" s="1850"/>
    </row>
    <row r="341" spans="1:6" ht="15" thickBot="1">
      <c r="A341" s="1837" t="s">
        <v>2230</v>
      </c>
      <c r="B341" s="1841" t="s">
        <v>2231</v>
      </c>
      <c r="C341" s="1842">
        <v>0.15</v>
      </c>
      <c r="D341" s="1842">
        <v>0.15</v>
      </c>
      <c r="E341" s="1842">
        <v>0.15</v>
      </c>
      <c r="F341" s="1843">
        <v>0.15</v>
      </c>
    </row>
    <row r="342" spans="1:6" ht="15" thickBot="1">
      <c r="A342" s="1837" t="s">
        <v>2226</v>
      </c>
      <c r="B342" s="1841" t="s">
        <v>2232</v>
      </c>
      <c r="C342" s="1842">
        <v>0.15</v>
      </c>
      <c r="D342" s="1842">
        <v>0.15</v>
      </c>
      <c r="E342" s="1842">
        <v>0.15</v>
      </c>
      <c r="F342" s="1843">
        <v>0.15</v>
      </c>
    </row>
    <row r="343" spans="1:6" ht="15" thickBot="1">
      <c r="A343" s="1837" t="s">
        <v>2226</v>
      </c>
      <c r="B343" s="1841" t="s">
        <v>2233</v>
      </c>
      <c r="C343" s="1842">
        <v>0.15</v>
      </c>
      <c r="D343" s="1842">
        <v>0.15</v>
      </c>
      <c r="E343" s="1842">
        <v>0.15</v>
      </c>
      <c r="F343" s="1843">
        <v>0.15</v>
      </c>
    </row>
    <row r="344" spans="1:6" ht="1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64" t="s">
        <v>2573</v>
      </c>
      <c r="C1" s="3464"/>
      <c r="D1" s="3464"/>
      <c r="E1" s="3464"/>
      <c r="F1" s="3464"/>
      <c r="G1" s="3463" t="s">
        <v>2574</v>
      </c>
      <c r="H1" s="3463"/>
      <c r="I1" s="3463"/>
      <c r="J1" s="3463"/>
      <c r="K1" s="3463"/>
      <c r="L1" s="3463"/>
      <c r="N1" s="3463" t="s">
        <v>2575</v>
      </c>
      <c r="O1" s="3463"/>
      <c r="P1" s="3463"/>
      <c r="Q1" s="3463"/>
      <c r="R1" s="2615"/>
      <c r="S1" s="3463" t="s">
        <v>2576</v>
      </c>
      <c r="T1" s="3463"/>
      <c r="U1" s="3463"/>
      <c r="V1" s="3463"/>
      <c r="X1" s="3462" t="s">
        <v>2636</v>
      </c>
      <c r="Y1" s="3463"/>
      <c r="Z1" s="3463"/>
      <c r="AA1" s="3463"/>
      <c r="AB1" s="3463"/>
      <c r="AD1" s="3462" t="s">
        <v>2640</v>
      </c>
      <c r="AE1" s="3463"/>
      <c r="AF1" s="3463"/>
      <c r="AG1" s="3463"/>
      <c r="AH1" s="3463"/>
    </row>
    <row r="2" spans="1:34" s="2716" customFormat="1" ht="15" thickBot="1">
      <c r="B2" s="2724" t="s">
        <v>2577</v>
      </c>
      <c r="C2" s="2724" t="s">
        <v>2638</v>
      </c>
      <c r="D2" s="2717" t="s">
        <v>1643</v>
      </c>
      <c r="E2" s="2717" t="s">
        <v>1948</v>
      </c>
      <c r="F2" s="2724" t="s">
        <v>2639</v>
      </c>
      <c r="G2" s="2720"/>
      <c r="H2" s="2719"/>
      <c r="I2" s="2724" t="s">
        <v>2944</v>
      </c>
      <c r="J2" s="2717" t="s">
        <v>2946</v>
      </c>
      <c r="K2" s="2717" t="s">
        <v>2947</v>
      </c>
      <c r="L2" s="2724" t="s">
        <v>2948</v>
      </c>
      <c r="N2" s="2724" t="s">
        <v>2577</v>
      </c>
      <c r="O2" s="2717" t="s">
        <v>2945</v>
      </c>
      <c r="P2" s="2717" t="s">
        <v>1948</v>
      </c>
      <c r="Q2" s="2724" t="s">
        <v>2639</v>
      </c>
      <c r="R2" s="2718"/>
      <c r="S2" s="2724" t="s">
        <v>2577</v>
      </c>
      <c r="T2" s="2717" t="s">
        <v>2945</v>
      </c>
      <c r="U2" s="2717" t="s">
        <v>1948</v>
      </c>
      <c r="V2" s="2724" t="s">
        <v>2639</v>
      </c>
      <c r="X2" s="2724" t="s">
        <v>2577</v>
      </c>
      <c r="Y2" s="2724" t="s">
        <v>2638</v>
      </c>
      <c r="Z2" s="2717" t="s">
        <v>1643</v>
      </c>
      <c r="AA2" s="2717" t="s">
        <v>1948</v>
      </c>
      <c r="AB2" s="2724" t="s">
        <v>2639</v>
      </c>
      <c r="AD2" s="2724" t="s">
        <v>2577</v>
      </c>
      <c r="AE2" s="2724" t="s">
        <v>2638</v>
      </c>
      <c r="AF2" s="2717" t="s">
        <v>1643</v>
      </c>
      <c r="AG2" s="2717" t="s">
        <v>1948</v>
      </c>
      <c r="AH2" s="2724" t="s">
        <v>2639</v>
      </c>
    </row>
    <row r="3" spans="1:34" s="3079" customFormat="1" ht="14.4">
      <c r="A3" s="3091" t="s">
        <v>2957</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09" customFormat="1" ht="14.4">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c r="A5" s="3061"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2">
        <v>4</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2958</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1" customFormat="1" ht="13.8" thickBot="1">
      <c r="A6" s="2616" t="s">
        <v>2984</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2981</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2980</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2977</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58">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2967</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58"/>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2968</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58"/>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2964</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59"/>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2955</v>
      </c>
      <c r="B13" s="3093">
        <v>439</v>
      </c>
      <c r="C13" s="3093">
        <v>327</v>
      </c>
      <c r="D13" s="3093">
        <f t="shared" si="76"/>
        <v>327</v>
      </c>
      <c r="E13" s="3093">
        <v>627</v>
      </c>
      <c r="F13" s="3094">
        <v>283</v>
      </c>
      <c r="G13" s="3457">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2959</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58"/>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2578</v>
      </c>
      <c r="B15" s="2629">
        <f t="shared" si="88"/>
        <v>419.31181600000002</v>
      </c>
      <c r="C15" s="2629">
        <f t="shared" si="88"/>
        <v>313.95436800000004</v>
      </c>
      <c r="D15" s="2629">
        <f t="shared" si="76"/>
        <v>313.95436800000004</v>
      </c>
      <c r="E15" s="2629">
        <f t="shared" si="89"/>
        <v>596.63028431999999</v>
      </c>
      <c r="F15" s="2629">
        <f t="shared" si="89"/>
        <v>274.74220703999998</v>
      </c>
      <c r="G15" s="3458"/>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2579</v>
      </c>
      <c r="B16" s="2629">
        <f t="shared" si="88"/>
        <v>405.524</v>
      </c>
      <c r="C16" s="2629">
        <f t="shared" si="88"/>
        <v>307.79840000000002</v>
      </c>
      <c r="D16" s="2629">
        <f t="shared" si="76"/>
        <v>307.79840000000002</v>
      </c>
      <c r="E16" s="2629">
        <f t="shared" si="89"/>
        <v>574.67759999999998</v>
      </c>
      <c r="F16" s="2629">
        <f t="shared" si="89"/>
        <v>270.20280000000002</v>
      </c>
      <c r="G16" s="3459"/>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969</v>
      </c>
      <c r="B17" s="2621">
        <v>392</v>
      </c>
      <c r="C17" s="2621">
        <v>302</v>
      </c>
      <c r="D17" s="2621">
        <f t="shared" si="76"/>
        <v>302</v>
      </c>
      <c r="E17" s="2621">
        <v>553</v>
      </c>
      <c r="F17" s="2622">
        <v>266</v>
      </c>
      <c r="G17" s="3457">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968</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58"/>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958</v>
      </c>
      <c r="B19" s="2629">
        <f t="shared" si="97"/>
        <v>360.06949782209392</v>
      </c>
      <c r="C19" s="2629">
        <f t="shared" si="97"/>
        <v>289.84672674747821</v>
      </c>
      <c r="D19" s="2629">
        <f t="shared" si="98"/>
        <v>289.84672674747821</v>
      </c>
      <c r="E19" s="2629">
        <f t="shared" si="99"/>
        <v>501.06543001181495</v>
      </c>
      <c r="F19" s="2629">
        <f t="shared" si="99"/>
        <v>256.82882500744967</v>
      </c>
      <c r="G19" s="3458"/>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967</v>
      </c>
      <c r="B20" s="2629">
        <f t="shared" si="97"/>
        <v>346.720748986128</v>
      </c>
      <c r="C20" s="2629">
        <f t="shared" si="97"/>
        <v>284.30282172386285</v>
      </c>
      <c r="D20" s="2629">
        <f t="shared" si="98"/>
        <v>284.30282172386285</v>
      </c>
      <c r="E20" s="2629">
        <f t="shared" si="99"/>
        <v>479.58023546306947</v>
      </c>
      <c r="F20" s="2629">
        <f t="shared" si="99"/>
        <v>253.25788877571213</v>
      </c>
      <c r="G20" s="3461"/>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966</v>
      </c>
      <c r="B21" s="2621">
        <v>333</v>
      </c>
      <c r="C21" s="2621">
        <v>277</v>
      </c>
      <c r="D21" s="2621">
        <f t="shared" si="98"/>
        <v>277</v>
      </c>
      <c r="E21" s="2621">
        <v>459</v>
      </c>
      <c r="F21" s="2622">
        <v>249</v>
      </c>
      <c r="G21" s="3460">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965</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58"/>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964</v>
      </c>
      <c r="B23" s="2629">
        <f t="shared" si="101"/>
        <v>322.34053690220776</v>
      </c>
      <c r="C23" s="2629">
        <f t="shared" si="101"/>
        <v>271.46160770422546</v>
      </c>
      <c r="D23" s="2629">
        <f t="shared" si="98"/>
        <v>271.46160770422546</v>
      </c>
      <c r="E23" s="2629">
        <f t="shared" si="102"/>
        <v>442.69434542172456</v>
      </c>
      <c r="F23" s="2629">
        <f t="shared" si="102"/>
        <v>241.34030753190925</v>
      </c>
      <c r="G23" s="3458"/>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963</v>
      </c>
      <c r="B24" s="2629">
        <f t="shared" si="101"/>
        <v>319.87748030386797</v>
      </c>
      <c r="C24" s="2629">
        <f t="shared" si="101"/>
        <v>269.60135833173649</v>
      </c>
      <c r="D24" s="2629">
        <f t="shared" si="98"/>
        <v>269.60135833173649</v>
      </c>
      <c r="E24" s="2629">
        <f t="shared" si="102"/>
        <v>439.18089823583784</v>
      </c>
      <c r="F24" s="2629">
        <f t="shared" si="102"/>
        <v>239.23503918706311</v>
      </c>
      <c r="G24" s="3461"/>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962</v>
      </c>
      <c r="B25" s="2643">
        <v>318</v>
      </c>
      <c r="C25" s="2643">
        <v>268</v>
      </c>
      <c r="D25" s="2643">
        <f t="shared" si="98"/>
        <v>268</v>
      </c>
      <c r="E25" s="2643">
        <v>437</v>
      </c>
      <c r="F25" s="2644">
        <v>237</v>
      </c>
      <c r="G25" s="3460">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961</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58"/>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960</v>
      </c>
      <c r="B27" s="2629">
        <f t="shared" si="103"/>
        <v>314.72141172386546</v>
      </c>
      <c r="C27" s="2629">
        <f t="shared" si="103"/>
        <v>263.03901319069001</v>
      </c>
      <c r="D27" s="2629">
        <f t="shared" si="98"/>
        <v>263.03901319069001</v>
      </c>
      <c r="E27" s="2629">
        <f t="shared" si="104"/>
        <v>433.65745506782821</v>
      </c>
      <c r="F27" s="2629">
        <f t="shared" si="104"/>
        <v>233.23005080045735</v>
      </c>
      <c r="G27" s="3458"/>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959</v>
      </c>
      <c r="B28" s="2648">
        <f t="shared" si="103"/>
        <v>307.34512863658733</v>
      </c>
      <c r="C28" s="2648">
        <f t="shared" si="103"/>
        <v>257.80556031626975</v>
      </c>
      <c r="D28" s="2648">
        <f t="shared" si="98"/>
        <v>257.80556031626975</v>
      </c>
      <c r="E28" s="2648">
        <f t="shared" si="104"/>
        <v>422.70928459677179</v>
      </c>
      <c r="F28" s="2648">
        <f t="shared" si="104"/>
        <v>229.73803270336617</v>
      </c>
      <c r="G28" s="3461"/>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2637</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2580</v>
      </c>
      <c r="B29" s="2621">
        <v>299</v>
      </c>
      <c r="C29" s="2621">
        <v>252</v>
      </c>
      <c r="D29" s="2621">
        <f t="shared" si="98"/>
        <v>252</v>
      </c>
      <c r="E29" s="2621">
        <v>409</v>
      </c>
      <c r="F29" s="2622">
        <v>227</v>
      </c>
      <c r="G29" s="3465">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2581</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66"/>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2582</v>
      </c>
      <c r="B31" s="2629">
        <f t="shared" si="107"/>
        <v>288.2649053828776</v>
      </c>
      <c r="C31" s="2629">
        <f t="shared" si="107"/>
        <v>243.64564425013293</v>
      </c>
      <c r="D31" s="2629">
        <f t="shared" si="98"/>
        <v>243.64564425013293</v>
      </c>
      <c r="E31" s="2629">
        <f t="shared" si="108"/>
        <v>393.31080825986544</v>
      </c>
      <c r="F31" s="2629">
        <f t="shared" si="108"/>
        <v>223.07903790551154</v>
      </c>
      <c r="G31" s="3466"/>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2583</v>
      </c>
      <c r="B32" s="2629">
        <f t="shared" si="107"/>
        <v>282.50186729015837</v>
      </c>
      <c r="C32" s="2629">
        <f t="shared" si="107"/>
        <v>238.09796174155468</v>
      </c>
      <c r="D32" s="2629">
        <f t="shared" si="98"/>
        <v>238.09796174155468</v>
      </c>
      <c r="E32" s="2629">
        <f t="shared" si="108"/>
        <v>385.33438646014054</v>
      </c>
      <c r="F32" s="2629">
        <f t="shared" si="108"/>
        <v>221.55034055567739</v>
      </c>
      <c r="G32" s="3467"/>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2584</v>
      </c>
      <c r="B33" s="2659">
        <v>278</v>
      </c>
      <c r="C33" s="2659">
        <v>234</v>
      </c>
      <c r="D33" s="2659">
        <f t="shared" si="98"/>
        <v>234</v>
      </c>
      <c r="E33" s="2659">
        <v>379</v>
      </c>
      <c r="F33" s="2660">
        <v>220</v>
      </c>
      <c r="G33" s="3460">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2585</v>
      </c>
      <c r="B34" s="2629">
        <f>B33/(1+N33)</f>
        <v>275.49301357645425</v>
      </c>
      <c r="C34" s="2629">
        <f>C33/(1+O33)</f>
        <v>232.41954707985698</v>
      </c>
      <c r="D34" s="2629">
        <f t="shared" si="98"/>
        <v>232.41954707985698</v>
      </c>
      <c r="E34" s="2629">
        <f t="shared" ref="E34:F36" si="109">E33/(1+P33)</f>
        <v>375.32184591008121</v>
      </c>
      <c r="F34" s="2629">
        <f t="shared" si="109"/>
        <v>218.03766105054513</v>
      </c>
      <c r="G34" s="3458"/>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2586</v>
      </c>
      <c r="B35" s="2629">
        <f>B34/(1+N34)</f>
        <v>275.24529281292263</v>
      </c>
      <c r="C35" s="2629">
        <f>C34/(1+O34)</f>
        <v>231.74747938962707</v>
      </c>
      <c r="D35" s="2629">
        <f t="shared" si="98"/>
        <v>231.74747938962707</v>
      </c>
      <c r="E35" s="2629">
        <f t="shared" si="109"/>
        <v>375.35938184826603</v>
      </c>
      <c r="F35" s="2629">
        <f t="shared" si="109"/>
        <v>216.78033510692495</v>
      </c>
      <c r="G35" s="3458"/>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2587</v>
      </c>
      <c r="B36" s="2629">
        <f>B35/(1+N35)</f>
        <v>275.19025476197027</v>
      </c>
      <c r="C36" s="2661">
        <v>232</v>
      </c>
      <c r="D36" s="2661">
        <f t="shared" si="98"/>
        <v>232</v>
      </c>
      <c r="E36" s="2629">
        <f t="shared" si="109"/>
        <v>375.65990977608692</v>
      </c>
      <c r="F36" s="2629">
        <f t="shared" si="109"/>
        <v>214.12518283971252</v>
      </c>
      <c r="G36" s="3461"/>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2588</v>
      </c>
      <c r="B37" s="2621">
        <v>275</v>
      </c>
      <c r="C37" s="2621">
        <v>232</v>
      </c>
      <c r="D37" s="2621">
        <f t="shared" si="98"/>
        <v>232</v>
      </c>
      <c r="E37" s="2621">
        <v>376</v>
      </c>
      <c r="F37" s="2622">
        <v>213</v>
      </c>
      <c r="G37" s="3460">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2589</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58">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2590</v>
      </c>
      <c r="B39" s="2629">
        <f t="shared" si="110"/>
        <v>275.19335084830601</v>
      </c>
      <c r="C39" s="2629">
        <f t="shared" si="110"/>
        <v>230.18088050139744</v>
      </c>
      <c r="D39" s="2629">
        <f t="shared" si="98"/>
        <v>230.18088050139744</v>
      </c>
      <c r="E39" s="2629">
        <f t="shared" si="111"/>
        <v>377.58482925212331</v>
      </c>
      <c r="F39" s="2629">
        <f t="shared" si="111"/>
        <v>210.90687997847917</v>
      </c>
      <c r="G39" s="3458">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2591</v>
      </c>
      <c r="B40" s="2629">
        <f t="shared" si="110"/>
        <v>276.29854502841971</v>
      </c>
      <c r="C40" s="2629">
        <f t="shared" si="110"/>
        <v>229.79023709833027</v>
      </c>
      <c r="D40" s="2629">
        <f t="shared" si="98"/>
        <v>229.79023709833027</v>
      </c>
      <c r="E40" s="2629">
        <f t="shared" si="111"/>
        <v>379.78759731655936</v>
      </c>
      <c r="F40" s="2629">
        <f t="shared" si="111"/>
        <v>211.32953905659235</v>
      </c>
      <c r="G40" s="3461">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2592</v>
      </c>
      <c r="B41" s="2621">
        <v>269</v>
      </c>
      <c r="C41" s="2621">
        <v>221</v>
      </c>
      <c r="D41" s="2621">
        <f t="shared" si="98"/>
        <v>221</v>
      </c>
      <c r="E41" s="2621">
        <v>373</v>
      </c>
      <c r="F41" s="2622">
        <v>196</v>
      </c>
      <c r="G41" s="3460">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2593</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58">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2594</v>
      </c>
      <c r="B43" s="2629">
        <f t="shared" si="112"/>
        <v>242.95398227588385</v>
      </c>
      <c r="C43" s="2629">
        <f t="shared" si="112"/>
        <v>199.59137053614126</v>
      </c>
      <c r="D43" s="2629">
        <f t="shared" si="98"/>
        <v>199.59137053614126</v>
      </c>
      <c r="E43" s="2629">
        <f t="shared" si="113"/>
        <v>335.92189522342125</v>
      </c>
      <c r="F43" s="2629">
        <f t="shared" si="113"/>
        <v>183.10139991109489</v>
      </c>
      <c r="G43" s="3458">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2595</v>
      </c>
      <c r="B44" s="2629">
        <f t="shared" si="112"/>
        <v>232.06990378821649</v>
      </c>
      <c r="C44" s="2629">
        <f t="shared" si="112"/>
        <v>192.74878854286936</v>
      </c>
      <c r="D44" s="2629">
        <f t="shared" si="98"/>
        <v>192.74878854286936</v>
      </c>
      <c r="E44" s="2629">
        <f t="shared" si="113"/>
        <v>319.71247284992984</v>
      </c>
      <c r="F44" s="2629">
        <f t="shared" si="113"/>
        <v>175.67053622862409</v>
      </c>
      <c r="G44" s="3461">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2596</v>
      </c>
      <c r="B45" s="2621">
        <v>220</v>
      </c>
      <c r="C45" s="2621">
        <v>187</v>
      </c>
      <c r="D45" s="2621">
        <f t="shared" si="98"/>
        <v>187</v>
      </c>
      <c r="E45" s="2621">
        <v>301</v>
      </c>
      <c r="F45" s="2622">
        <v>168</v>
      </c>
      <c r="G45" s="3460">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2597</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58">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2598</v>
      </c>
      <c r="B47" s="2629">
        <f t="shared" si="114"/>
        <v>210.630522469011</v>
      </c>
      <c r="C47" s="2629">
        <f t="shared" si="114"/>
        <v>181.69567812247232</v>
      </c>
      <c r="D47" s="2629">
        <f t="shared" si="98"/>
        <v>181.69567812247232</v>
      </c>
      <c r="E47" s="2629">
        <f t="shared" si="115"/>
        <v>286.13517466736738</v>
      </c>
      <c r="F47" s="2629">
        <f t="shared" si="115"/>
        <v>165.47535084591149</v>
      </c>
      <c r="G47" s="3458">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2599</v>
      </c>
      <c r="B48" s="2629">
        <f t="shared" si="114"/>
        <v>208.83454537875372</v>
      </c>
      <c r="C48" s="2629">
        <f t="shared" si="114"/>
        <v>183.77230517090351</v>
      </c>
      <c r="D48" s="2629">
        <f t="shared" si="98"/>
        <v>183.77230517090351</v>
      </c>
      <c r="E48" s="2629">
        <f t="shared" si="115"/>
        <v>281.10342338870947</v>
      </c>
      <c r="F48" s="2629">
        <f t="shared" si="115"/>
        <v>168.97309388942256</v>
      </c>
      <c r="G48" s="3461">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2600</v>
      </c>
      <c r="B49" s="2659">
        <v>214</v>
      </c>
      <c r="C49" s="2659">
        <v>188</v>
      </c>
      <c r="D49" s="2659">
        <f t="shared" si="98"/>
        <v>188</v>
      </c>
      <c r="E49" s="2659">
        <v>289</v>
      </c>
      <c r="F49" s="2660">
        <v>166</v>
      </c>
      <c r="G49" s="3460">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2601</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58">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2602</v>
      </c>
      <c r="B51" s="2629">
        <f t="shared" si="116"/>
        <v>206.31694671589116</v>
      </c>
      <c r="C51" s="2629">
        <f t="shared" si="116"/>
        <v>183.61041121036101</v>
      </c>
      <c r="D51" s="2629">
        <f t="shared" si="98"/>
        <v>183.61041121036101</v>
      </c>
      <c r="E51" s="2629">
        <f t="shared" si="117"/>
        <v>276.66850301795557</v>
      </c>
      <c r="F51" s="2629">
        <f t="shared" si="117"/>
        <v>165.1360938278614</v>
      </c>
      <c r="G51" s="3458">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2603</v>
      </c>
      <c r="B52" s="2662">
        <f t="shared" si="116"/>
        <v>196.62341248059772</v>
      </c>
      <c r="C52" s="2662">
        <f t="shared" si="116"/>
        <v>170.99125648199012</v>
      </c>
      <c r="D52" s="2662">
        <f t="shared" si="98"/>
        <v>170.99125648199012</v>
      </c>
      <c r="E52" s="2662">
        <f t="shared" si="117"/>
        <v>266.07857570490052</v>
      </c>
      <c r="F52" s="2662">
        <f t="shared" si="117"/>
        <v>154.53499328828505</v>
      </c>
      <c r="G52" s="3461">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2604</v>
      </c>
      <c r="B53" s="2621">
        <v>188</v>
      </c>
      <c r="C53" s="2621">
        <v>165</v>
      </c>
      <c r="D53" s="2621">
        <f t="shared" si="98"/>
        <v>165</v>
      </c>
      <c r="E53" s="2621">
        <v>254</v>
      </c>
      <c r="F53" s="2622">
        <v>148</v>
      </c>
      <c r="G53" s="3460">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2605</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58">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2606</v>
      </c>
      <c r="B55" s="2629">
        <f t="shared" si="120"/>
        <v>168.82017748715555</v>
      </c>
      <c r="C55" s="2629">
        <f t="shared" si="120"/>
        <v>148.06267029972753</v>
      </c>
      <c r="D55" s="2629">
        <f t="shared" si="98"/>
        <v>148.06267029972753</v>
      </c>
      <c r="E55" s="2629">
        <f t="shared" si="121"/>
        <v>216.46288379323747</v>
      </c>
      <c r="F55" s="2629">
        <f t="shared" si="121"/>
        <v>134.23529411764704</v>
      </c>
      <c r="G55" s="3458">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2607</v>
      </c>
      <c r="B56" s="2629">
        <f t="shared" si="120"/>
        <v>163.84913591779542</v>
      </c>
      <c r="C56" s="2629">
        <f t="shared" si="120"/>
        <v>145.0283378746594</v>
      </c>
      <c r="D56" s="2629">
        <f t="shared" si="98"/>
        <v>145.0283378746594</v>
      </c>
      <c r="E56" s="2629">
        <f t="shared" si="121"/>
        <v>204.95180722891567</v>
      </c>
      <c r="F56" s="2629">
        <f t="shared" si="121"/>
        <v>125.95920303605313</v>
      </c>
      <c r="G56" s="3461">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2608</v>
      </c>
      <c r="B57" s="2643">
        <v>159</v>
      </c>
      <c r="C57" s="2643">
        <v>141</v>
      </c>
      <c r="D57" s="2643">
        <f t="shared" si="98"/>
        <v>141</v>
      </c>
      <c r="E57" s="2643">
        <v>195</v>
      </c>
      <c r="F57" s="2644">
        <v>122</v>
      </c>
      <c r="G57" s="3460">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2609</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58">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2610</v>
      </c>
      <c r="B59" s="2629">
        <f t="shared" si="124"/>
        <v>146.57412060301507</v>
      </c>
      <c r="C59" s="2629">
        <f t="shared" si="124"/>
        <v>136.46831955922866</v>
      </c>
      <c r="D59" s="2629">
        <f t="shared" si="98"/>
        <v>136.46831955922866</v>
      </c>
      <c r="E59" s="2629">
        <f t="shared" si="125"/>
        <v>166.73864894795128</v>
      </c>
      <c r="F59" s="2629">
        <f t="shared" si="125"/>
        <v>115.05882352941177</v>
      </c>
      <c r="G59" s="3458">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2611</v>
      </c>
      <c r="B60" s="2629">
        <f t="shared" si="124"/>
        <v>144.04145728643215</v>
      </c>
      <c r="C60" s="2629">
        <f t="shared" si="124"/>
        <v>136.12396694214877</v>
      </c>
      <c r="D60" s="2629">
        <f t="shared" si="98"/>
        <v>136.12396694214877</v>
      </c>
      <c r="E60" s="2629">
        <f t="shared" si="125"/>
        <v>158.32225913621264</v>
      </c>
      <c r="F60" s="2629">
        <f t="shared" si="125"/>
        <v>114.04278074866311</v>
      </c>
      <c r="G60" s="3461">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2612</v>
      </c>
      <c r="B61" s="2643">
        <v>138</v>
      </c>
      <c r="C61" s="2643">
        <v>131</v>
      </c>
      <c r="D61" s="2643">
        <f t="shared" si="98"/>
        <v>131</v>
      </c>
      <c r="E61" s="2643">
        <v>155</v>
      </c>
      <c r="F61" s="2644">
        <v>114</v>
      </c>
      <c r="G61" s="3460">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2613</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58">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2614</v>
      </c>
      <c r="B63" s="2629">
        <f t="shared" si="128"/>
        <v>124.29032258064517</v>
      </c>
      <c r="C63" s="2629">
        <f t="shared" si="128"/>
        <v>123.8968609865471</v>
      </c>
      <c r="D63" s="2629">
        <f t="shared" si="98"/>
        <v>123.8968609865471</v>
      </c>
      <c r="E63" s="2629">
        <f t="shared" si="129"/>
        <v>138.00507614213197</v>
      </c>
      <c r="F63" s="2629">
        <f t="shared" si="129"/>
        <v>107.96106557377048</v>
      </c>
      <c r="G63" s="3458">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2615</v>
      </c>
      <c r="B64" s="2629">
        <f t="shared" si="128"/>
        <v>122.57204301075269</v>
      </c>
      <c r="C64" s="2629">
        <f t="shared" si="128"/>
        <v>123.4932735426009</v>
      </c>
      <c r="D64" s="2629">
        <f t="shared" si="98"/>
        <v>123.4932735426009</v>
      </c>
      <c r="E64" s="2629">
        <f t="shared" si="129"/>
        <v>129.82233502538071</v>
      </c>
      <c r="F64" s="2629">
        <f t="shared" si="129"/>
        <v>107.39446721311475</v>
      </c>
      <c r="G64" s="3461">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2616</v>
      </c>
      <c r="B65" s="2659">
        <v>121</v>
      </c>
      <c r="C65" s="2659">
        <v>122</v>
      </c>
      <c r="D65" s="2659">
        <f t="shared" si="98"/>
        <v>122</v>
      </c>
      <c r="E65" s="2659">
        <v>124</v>
      </c>
      <c r="F65" s="2660">
        <v>107</v>
      </c>
      <c r="G65" s="3460">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2617</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58">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2618</v>
      </c>
      <c r="B67" s="2629">
        <f t="shared" si="132"/>
        <v>116.99099099099099</v>
      </c>
      <c r="C67" s="2629">
        <f t="shared" si="132"/>
        <v>118.84848484848486</v>
      </c>
      <c r="D67" s="2629">
        <f t="shared" si="98"/>
        <v>118.84848484848486</v>
      </c>
      <c r="E67" s="2629">
        <f t="shared" si="133"/>
        <v>117.60960960960961</v>
      </c>
      <c r="F67" s="2629">
        <f t="shared" si="133"/>
        <v>104</v>
      </c>
      <c r="G67" s="3458">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2619</v>
      </c>
      <c r="B68" s="2662">
        <f t="shared" si="132"/>
        <v>112.48648648648648</v>
      </c>
      <c r="C68" s="2662">
        <f t="shared" si="132"/>
        <v>115.21212121212122</v>
      </c>
      <c r="D68" s="2662">
        <f t="shared" si="98"/>
        <v>115.21212121212122</v>
      </c>
      <c r="E68" s="2662">
        <f t="shared" si="133"/>
        <v>110.4024024024024</v>
      </c>
      <c r="F68" s="2662">
        <f t="shared" si="133"/>
        <v>104</v>
      </c>
      <c r="G68" s="3461">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2620</v>
      </c>
      <c r="B69" s="2680">
        <v>111</v>
      </c>
      <c r="C69" s="2680">
        <v>114</v>
      </c>
      <c r="D69" s="2680">
        <f t="shared" si="98"/>
        <v>114</v>
      </c>
      <c r="E69" s="2680">
        <v>108</v>
      </c>
      <c r="F69" s="2681">
        <v>104</v>
      </c>
      <c r="G69" s="3460">
        <v>2003</v>
      </c>
      <c r="H69" s="2670">
        <v>4</v>
      </c>
      <c r="I69" s="2682"/>
      <c r="J69" s="2682"/>
      <c r="K69" s="2682"/>
      <c r="L69" s="2682"/>
      <c r="N69" s="2683"/>
      <c r="O69" s="2682"/>
      <c r="P69" s="2682"/>
      <c r="Q69" s="2682"/>
      <c r="S69" s="2683"/>
      <c r="T69" s="2682"/>
      <c r="U69" s="2682"/>
      <c r="V69" s="2682"/>
      <c r="X69" s="2674"/>
      <c r="Y69" s="2674"/>
      <c r="Z69" s="2674"/>
    </row>
    <row r="70" spans="1:26">
      <c r="A70" s="2616" t="s">
        <v>2621</v>
      </c>
      <c r="B70" s="2684">
        <f t="shared" ref="B70:C72" si="134">B71+(B$69-B$73)/4</f>
        <v>109.75</v>
      </c>
      <c r="C70" s="2684">
        <f t="shared" si="134"/>
        <v>112.25</v>
      </c>
      <c r="D70" s="2684">
        <f t="shared" si="98"/>
        <v>112.25</v>
      </c>
      <c r="E70" s="2684">
        <f t="shared" ref="E70:F72" si="135">E71+(E$69-E$73)/4</f>
        <v>107.25</v>
      </c>
      <c r="F70" s="2684">
        <f t="shared" si="135"/>
        <v>103.5</v>
      </c>
      <c r="G70" s="3458">
        <v>2003</v>
      </c>
      <c r="H70" s="2640">
        <v>3</v>
      </c>
      <c r="I70" s="2682"/>
      <c r="J70" s="2682"/>
      <c r="K70" s="2682"/>
      <c r="L70" s="2682"/>
      <c r="X70" s="2674"/>
      <c r="Y70" s="2674"/>
      <c r="Z70" s="2674"/>
    </row>
    <row r="71" spans="1:26">
      <c r="A71" s="2616" t="s">
        <v>2622</v>
      </c>
      <c r="B71" s="2684">
        <f t="shared" si="134"/>
        <v>108.5</v>
      </c>
      <c r="C71" s="2684">
        <f t="shared" si="134"/>
        <v>110.5</v>
      </c>
      <c r="D71" s="2684">
        <f t="shared" si="98"/>
        <v>110.5</v>
      </c>
      <c r="E71" s="2684">
        <f t="shared" si="135"/>
        <v>106.5</v>
      </c>
      <c r="F71" s="2684">
        <f t="shared" si="135"/>
        <v>103</v>
      </c>
      <c r="G71" s="3458">
        <v>2003</v>
      </c>
      <c r="H71" s="2620">
        <v>2</v>
      </c>
      <c r="I71" s="2682"/>
      <c r="J71" s="2682"/>
      <c r="K71" s="2682"/>
      <c r="L71" s="2682"/>
      <c r="X71" s="2674"/>
      <c r="Y71" s="2674"/>
      <c r="Z71" s="2674"/>
    </row>
    <row r="72" spans="1:26" ht="13.8" thickBot="1">
      <c r="A72" s="2616" t="s">
        <v>2623</v>
      </c>
      <c r="B72" s="2684">
        <f t="shared" si="134"/>
        <v>107.25</v>
      </c>
      <c r="C72" s="2684">
        <f t="shared" si="134"/>
        <v>108.75</v>
      </c>
      <c r="D72" s="2684">
        <f t="shared" si="98"/>
        <v>108.75</v>
      </c>
      <c r="E72" s="2684">
        <f t="shared" si="135"/>
        <v>105.75</v>
      </c>
      <c r="F72" s="2684">
        <f t="shared" si="135"/>
        <v>102.5</v>
      </c>
      <c r="G72" s="3461">
        <v>2003</v>
      </c>
      <c r="H72" s="2685">
        <v>1</v>
      </c>
      <c r="I72" s="2682"/>
      <c r="J72" s="2682"/>
      <c r="K72" s="2682"/>
      <c r="L72" s="2682"/>
      <c r="S72" s="2624"/>
      <c r="T72" s="2625"/>
      <c r="U72" s="2625"/>
      <c r="X72" s="2674"/>
      <c r="Y72" s="2674"/>
      <c r="Z72" s="2674"/>
    </row>
    <row r="73" spans="1:26" ht="13.8" thickBot="1">
      <c r="A73" s="2616" t="s">
        <v>2624</v>
      </c>
      <c r="B73" s="2686">
        <v>106</v>
      </c>
      <c r="C73" s="2686">
        <v>107</v>
      </c>
      <c r="D73" s="2686">
        <f t="shared" si="98"/>
        <v>107</v>
      </c>
      <c r="E73" s="2686">
        <v>105</v>
      </c>
      <c r="F73" s="2687">
        <v>102</v>
      </c>
      <c r="G73" s="3460">
        <v>2002</v>
      </c>
      <c r="H73" s="2635">
        <v>4</v>
      </c>
      <c r="I73" s="2682"/>
      <c r="J73" s="2682"/>
      <c r="K73" s="2682"/>
      <c r="L73" s="2682"/>
      <c r="N73" s="2683"/>
      <c r="O73" s="2682"/>
      <c r="P73" s="2682"/>
      <c r="Q73" s="2682"/>
      <c r="S73" s="2683"/>
      <c r="T73" s="2682"/>
      <c r="U73" s="2682"/>
      <c r="V73" s="2682"/>
      <c r="X73" s="2674"/>
      <c r="Y73" s="2674"/>
      <c r="Z73" s="2674"/>
    </row>
    <row r="74" spans="1:26">
      <c r="A74" s="2616" t="s">
        <v>2625</v>
      </c>
      <c r="B74" s="2684">
        <f t="shared" ref="B74:C76" si="136">B75+(B$73-B$77)/4</f>
        <v>105</v>
      </c>
      <c r="C74" s="2684">
        <f t="shared" si="136"/>
        <v>106</v>
      </c>
      <c r="D74" s="2684">
        <f t="shared" si="98"/>
        <v>106</v>
      </c>
      <c r="E74" s="2684">
        <f t="shared" ref="E74:F76" si="137">E75+(E$73-E$77)/4</f>
        <v>104.5</v>
      </c>
      <c r="F74" s="2684">
        <f t="shared" si="137"/>
        <v>101.5</v>
      </c>
      <c r="G74" s="3458">
        <v>2002</v>
      </c>
      <c r="H74" s="2640">
        <v>3</v>
      </c>
      <c r="I74" s="2682"/>
      <c r="J74" s="2682"/>
      <c r="K74" s="2682"/>
      <c r="L74" s="2682"/>
      <c r="X74" s="2674"/>
      <c r="Y74" s="2674"/>
      <c r="Z74" s="2674"/>
    </row>
    <row r="75" spans="1:26">
      <c r="A75" s="2616" t="s">
        <v>2626</v>
      </c>
      <c r="B75" s="2684">
        <f t="shared" si="136"/>
        <v>104</v>
      </c>
      <c r="C75" s="2684">
        <f t="shared" si="136"/>
        <v>105</v>
      </c>
      <c r="D75" s="2684">
        <f t="shared" si="98"/>
        <v>105</v>
      </c>
      <c r="E75" s="2684">
        <f t="shared" si="137"/>
        <v>104</v>
      </c>
      <c r="F75" s="2684">
        <f t="shared" si="137"/>
        <v>101</v>
      </c>
      <c r="G75" s="3458">
        <v>2002</v>
      </c>
      <c r="H75" s="2620">
        <v>2</v>
      </c>
      <c r="I75" s="2682"/>
      <c r="J75" s="2682"/>
      <c r="K75" s="2682"/>
      <c r="L75" s="2682"/>
      <c r="X75" s="2674"/>
      <c r="Y75" s="2674"/>
      <c r="Z75" s="2674"/>
    </row>
    <row r="76" spans="1:26" s="2651" customFormat="1" ht="13.8" thickBot="1">
      <c r="A76" s="2647" t="s">
        <v>2627</v>
      </c>
      <c r="B76" s="2688">
        <f t="shared" si="136"/>
        <v>103</v>
      </c>
      <c r="C76" s="2688">
        <f t="shared" si="136"/>
        <v>104</v>
      </c>
      <c r="D76" s="2688">
        <f t="shared" si="98"/>
        <v>104</v>
      </c>
      <c r="E76" s="2688">
        <f t="shared" si="137"/>
        <v>103.5</v>
      </c>
      <c r="F76" s="2688">
        <f t="shared" si="137"/>
        <v>100.5</v>
      </c>
      <c r="G76" s="3461">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2628</v>
      </c>
      <c r="G79" s="2698"/>
      <c r="N79" s="2698"/>
      <c r="S79" s="2698"/>
    </row>
    <row r="80" spans="1:26" s="2697" customFormat="1">
      <c r="A80" s="2697" t="s">
        <v>2629</v>
      </c>
      <c r="G80" s="2698"/>
      <c r="N80" s="2698"/>
      <c r="S80" s="2698"/>
    </row>
    <row r="81" spans="1:22" s="2697" customFormat="1">
      <c r="A81" s="2697" t="s">
        <v>2630</v>
      </c>
      <c r="G81" s="2698"/>
      <c r="I81" s="2699"/>
      <c r="J81" s="2699"/>
      <c r="K81" s="2699"/>
      <c r="L81" s="2699"/>
      <c r="N81" s="2700"/>
      <c r="O81" s="2699"/>
      <c r="P81" s="2699"/>
      <c r="Q81" s="2699"/>
      <c r="S81" s="2700"/>
      <c r="T81" s="2699"/>
      <c r="U81" s="2699"/>
      <c r="V81" s="2699"/>
    </row>
    <row r="82" spans="1:22" s="2697" customFormat="1">
      <c r="A82" s="2697" t="s">
        <v>2631</v>
      </c>
      <c r="G82" s="2698"/>
      <c r="N82" s="2698"/>
      <c r="S82" s="2698"/>
    </row>
    <row r="89" spans="1:22" ht="13.8" thickBot="1"/>
    <row r="90" spans="1:22">
      <c r="G90" s="2623"/>
      <c r="S90" s="2701" t="s">
        <v>2632</v>
      </c>
      <c r="T90" s="2702" t="s">
        <v>2633</v>
      </c>
      <c r="U90" s="2702" t="s">
        <v>2634</v>
      </c>
      <c r="V90" s="2702" t="s">
        <v>2635</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2937</v>
      </c>
      <c r="B1" s="3053"/>
      <c r="C1" s="3053"/>
      <c r="D1" s="3053"/>
      <c r="E1" s="3053"/>
      <c r="F1" s="3053"/>
    </row>
    <row r="2" spans="1:6" ht="15.6">
      <c r="A2" s="3054" t="s">
        <v>2932</v>
      </c>
      <c r="B2" s="3055" t="e">
        <f ca="1">SUMIF(B7:B14,"&lt;&gt;#ref!",B7:B14)</f>
        <v>#DIV/0!</v>
      </c>
      <c r="C2" s="3054" t="s">
        <v>2933</v>
      </c>
      <c r="D2" s="3053"/>
      <c r="E2" s="3053"/>
      <c r="F2" s="3053"/>
    </row>
    <row r="3" spans="1:6" ht="15.6">
      <c r="A3" s="3054" t="s">
        <v>2965</v>
      </c>
      <c r="B3" s="3055" t="e">
        <f ca="1">ROUND(B2*10000/E3,0)</f>
        <v>#DIV/0!</v>
      </c>
      <c r="C3" s="3054" t="s">
        <v>2075</v>
      </c>
      <c r="D3" s="3054" t="s">
        <v>2934</v>
      </c>
      <c r="E3" s="3055">
        <f ca="1">SUMIF(E7:E14,"&lt;&gt;#ref!",E7:E14)</f>
        <v>0</v>
      </c>
      <c r="F3" s="3053"/>
    </row>
    <row r="4" spans="1:6" ht="15.6">
      <c r="A4" s="3054" t="s">
        <v>2941</v>
      </c>
      <c r="B4" s="3055" t="e">
        <f ca="1">ROUND(B2*10000/E4,0)</f>
        <v>#DIV/0!</v>
      </c>
      <c r="C4" s="3054" t="s">
        <v>2075</v>
      </c>
      <c r="D4" s="3054" t="s">
        <v>2942</v>
      </c>
      <c r="E4" s="3055">
        <f ca="1">SUMIF(F7:F14,"&lt;&gt;#ref!",F7:F14)</f>
        <v>0</v>
      </c>
      <c r="F4" s="3053"/>
    </row>
    <row r="5" spans="1:6" ht="15.6">
      <c r="A5" s="3056"/>
      <c r="B5" s="1863"/>
      <c r="C5" s="1863"/>
      <c r="D5" s="1863"/>
      <c r="E5" s="1863"/>
      <c r="F5" s="3053"/>
    </row>
    <row r="6" spans="1:6" ht="31.2">
      <c r="A6" s="3057" t="s">
        <v>2938</v>
      </c>
      <c r="B6" s="3054" t="s">
        <v>2935</v>
      </c>
      <c r="C6" s="3055"/>
      <c r="D6" s="1863"/>
      <c r="E6" s="3054" t="s">
        <v>2936</v>
      </c>
      <c r="F6" s="3054" t="s">
        <v>2940</v>
      </c>
    </row>
    <row r="7" spans="1:6" ht="15.6">
      <c r="A7" s="258" t="s">
        <v>2939</v>
      </c>
      <c r="B7" s="3058" t="e">
        <f ca="1">SUMIF(INDIRECT("'"&amp;A7&amp;"'"&amp;"!A:A"),"总价",INDIRECT("'"&amp;A7&amp;"'"&amp;"!B:B"))</f>
        <v>#DIV/0!</v>
      </c>
      <c r="C7" s="3054" t="s">
        <v>2933</v>
      </c>
      <c r="D7" s="1863"/>
      <c r="E7" s="3059">
        <f ca="1">SUMIF(INDIRECT("'"&amp;A7&amp;"'"&amp;"!C:C"),"建筑面积",INDIRECT("'"&amp;A7&amp;"'"&amp;"!D:D"))</f>
        <v>0</v>
      </c>
      <c r="F7" s="3059">
        <f ca="1">SUMIF(INDIRECT("'"&amp;A7&amp;"'"&amp;"!E:E"),"土地面积",INDIRECT("'"&amp;A7&amp;"'"&amp;"!F:F"))</f>
        <v>0</v>
      </c>
    </row>
    <row r="8" spans="1:6" ht="15.6">
      <c r="A8" s="258"/>
      <c r="B8" s="3058" t="e">
        <f t="shared" ref="B8:B14" ca="1" si="0">SUMIF(INDIRECT("'"&amp;A8&amp;"'"&amp;"!A:A"),"总价",INDIRECT("'"&amp;A8&amp;"'"&amp;"!B:B"))</f>
        <v>#REF!</v>
      </c>
      <c r="C8" s="3054" t="s">
        <v>2933</v>
      </c>
      <c r="D8" s="1863"/>
      <c r="E8" s="3059" t="e">
        <f t="shared" ref="E8:E14" ca="1" si="1">SUMIF(INDIRECT("'"&amp;A8&amp;"'"&amp;"!C:C"),"建筑面积",INDIRECT("'"&amp;A8&amp;"'"&amp;"!D:D"))</f>
        <v>#REF!</v>
      </c>
      <c r="F8" s="3059" t="e">
        <f t="shared" ref="F8:F14" ca="1" si="2">SUMIF(INDIRECT("'"&amp;A8&amp;"'"&amp;"!E:E"),"土地面积",INDIRECT("'"&amp;A8&amp;"'"&amp;"!F:F"))</f>
        <v>#REF!</v>
      </c>
    </row>
    <row r="9" spans="1:6" ht="15.6">
      <c r="A9" s="258"/>
      <c r="B9" s="3058" t="e">
        <f t="shared" ca="1" si="0"/>
        <v>#REF!</v>
      </c>
      <c r="C9" s="3054" t="s">
        <v>2933</v>
      </c>
      <c r="D9" s="1863"/>
      <c r="E9" s="3059" t="e">
        <f t="shared" ca="1" si="1"/>
        <v>#REF!</v>
      </c>
      <c r="F9" s="3059" t="e">
        <f t="shared" ca="1" si="2"/>
        <v>#REF!</v>
      </c>
    </row>
    <row r="10" spans="1:6" ht="15.6">
      <c r="A10" s="258"/>
      <c r="B10" s="3058" t="e">
        <f t="shared" ca="1" si="0"/>
        <v>#REF!</v>
      </c>
      <c r="C10" s="3054" t="s">
        <v>2933</v>
      </c>
      <c r="D10" s="1863"/>
      <c r="E10" s="3059" t="e">
        <f t="shared" ca="1" si="1"/>
        <v>#REF!</v>
      </c>
      <c r="F10" s="3059" t="e">
        <f t="shared" ca="1" si="2"/>
        <v>#REF!</v>
      </c>
    </row>
    <row r="11" spans="1:6" ht="15.6">
      <c r="A11" s="258"/>
      <c r="B11" s="3058" t="e">
        <f t="shared" ca="1" si="0"/>
        <v>#REF!</v>
      </c>
      <c r="C11" s="3054" t="s">
        <v>2933</v>
      </c>
      <c r="D11" s="1863"/>
      <c r="E11" s="3059" t="e">
        <f t="shared" ca="1" si="1"/>
        <v>#REF!</v>
      </c>
      <c r="F11" s="3059" t="e">
        <f t="shared" ca="1" si="2"/>
        <v>#REF!</v>
      </c>
    </row>
    <row r="12" spans="1:6" ht="15.6">
      <c r="A12" s="258"/>
      <c r="B12" s="3058" t="e">
        <f t="shared" ca="1" si="0"/>
        <v>#REF!</v>
      </c>
      <c r="C12" s="3054" t="s">
        <v>2933</v>
      </c>
      <c r="D12" s="1863"/>
      <c r="E12" s="3059" t="e">
        <f t="shared" ca="1" si="1"/>
        <v>#REF!</v>
      </c>
      <c r="F12" s="3059" t="e">
        <f t="shared" ca="1" si="2"/>
        <v>#REF!</v>
      </c>
    </row>
    <row r="13" spans="1:6" ht="15.6">
      <c r="A13" s="258"/>
      <c r="B13" s="3058" t="e">
        <f t="shared" ca="1" si="0"/>
        <v>#REF!</v>
      </c>
      <c r="C13" s="3054" t="s">
        <v>2933</v>
      </c>
      <c r="D13" s="1863"/>
      <c r="E13" s="3059" t="e">
        <f t="shared" ca="1" si="1"/>
        <v>#REF!</v>
      </c>
      <c r="F13" s="3059" t="e">
        <f t="shared" ca="1" si="2"/>
        <v>#REF!</v>
      </c>
    </row>
    <row r="14" spans="1:6" ht="15.6">
      <c r="A14" s="3052"/>
      <c r="B14" s="3058" t="e">
        <f t="shared" ca="1" si="0"/>
        <v>#REF!</v>
      </c>
      <c r="C14" s="3054" t="s">
        <v>2933</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52.2">
      <c r="A7" s="1777" t="s">
        <v>2744</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2023</v>
      </c>
    </row>
    <row r="11" spans="1:4" ht="17.399999999999999">
      <c r="A11" s="1762" t="str">
        <f>TEXT(项目基本情况!D3,"yyyy年m月d日;;")&amp;IF(项目基本情况!B3=项目基本情况!D3,"（评估专业人员勘察现场之日）","")</f>
        <v>2020年1月2日</v>
      </c>
    </row>
    <row r="12" spans="1:4" ht="17.399999999999999">
      <c r="A12" s="1779" t="s">
        <v>2022</v>
      </c>
    </row>
    <row r="13" spans="1:4" ht="17.399999999999999">
      <c r="A13" s="1773" t="s">
        <v>2930</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2069</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2070</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17.399999999999999">
      <c r="A21" s="1773" t="s">
        <v>2071</v>
      </c>
    </row>
    <row r="22" spans="1:1" ht="104.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2072</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52.2">
      <c r="A26" s="1773"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IF(项目基本情况!B9="市场价格","——",IF(项目基本情况!E9="——","",定义!C57))</f>
        <v/>
      </c>
    </row>
    <row r="29" spans="1:1" ht="17.399999999999999">
      <c r="A29" s="1779" t="s">
        <v>2024</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0" t="s">
        <v>628</v>
      </c>
      <c r="B1" s="736"/>
      <c r="C1" s="771"/>
      <c r="D1" s="2032"/>
      <c r="E1" s="2348" t="s">
        <v>2371</v>
      </c>
      <c r="F1" s="2349">
        <f ca="1">J54</f>
        <v>-2.5</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1685</v>
      </c>
      <c r="B3" s="1384">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f ca="1">C8+C12+C14</f>
        <v>0</v>
      </c>
      <c r="D7" s="2457" t="s">
        <v>2458</v>
      </c>
      <c r="E7" s="2451"/>
      <c r="F7" s="2452"/>
      <c r="G7" s="1575"/>
      <c r="H7" s="779">
        <v>1</v>
      </c>
      <c r="I7" s="780" t="s">
        <v>2455</v>
      </c>
      <c r="J7" s="53">
        <f ca="1">J8+J12+J14</f>
        <v>0</v>
      </c>
      <c r="K7" s="2457" t="s">
        <v>2458</v>
      </c>
      <c r="L7" s="2451"/>
      <c r="M7" s="2452"/>
    </row>
    <row r="8" spans="1:25" ht="18" customHeight="1">
      <c r="A8" s="1812" t="s">
        <v>1823</v>
      </c>
      <c r="B8" s="3469" t="s">
        <v>2460</v>
      </c>
      <c r="C8" s="1807">
        <f ca="1">ROUND(F8*F10*F9*(1-F11)/10000,0)</f>
        <v>0</v>
      </c>
      <c r="D8" s="1804" t="s">
        <v>2531</v>
      </c>
      <c r="E8" s="61" t="s">
        <v>637</v>
      </c>
      <c r="F8" s="783">
        <f ca="1">INDIRECT("'数据-取费表'!u"&amp;$G$1)</f>
        <v>0</v>
      </c>
      <c r="G8" s="1575"/>
      <c r="H8" s="2465" t="s">
        <v>1823</v>
      </c>
      <c r="I8" s="3469" t="s">
        <v>2460</v>
      </c>
      <c r="J8" s="781">
        <f ca="1">ROUND(M8*M10*M9*(1-M11)/10000,0)</f>
        <v>0</v>
      </c>
      <c r="K8" s="339" t="s">
        <v>2531</v>
      </c>
      <c r="L8" s="782" t="s">
        <v>1737</v>
      </c>
      <c r="M8" s="783">
        <f ca="1">INDIRECT("'数据-取费表'!z"&amp;$G$1)</f>
        <v>0</v>
      </c>
    </row>
    <row r="9" spans="1:25" ht="18" customHeight="1">
      <c r="A9" s="2461"/>
      <c r="B9" s="3470"/>
      <c r="C9" s="1808"/>
      <c r="D9" s="1805"/>
      <c r="E9" s="61" t="s">
        <v>638</v>
      </c>
      <c r="F9" s="783">
        <f ca="1">IF(INDIRECT("'数据-取费表'!ah"&amp;$G$1)="",INDIRECT("'数据-取费表'!k"&amp;$G$1),INDIRECT("'数据-取费表'!ah"&amp;$G$1))</f>
        <v>0</v>
      </c>
      <c r="G9" s="1575"/>
      <c r="H9" s="2450"/>
      <c r="I9" s="3470"/>
      <c r="J9" s="786"/>
      <c r="K9" s="787"/>
      <c r="L9" s="782" t="s">
        <v>1738</v>
      </c>
      <c r="M9" s="783">
        <f ca="1">F9</f>
        <v>0</v>
      </c>
    </row>
    <row r="10" spans="1:25" ht="18" customHeight="1">
      <c r="A10" s="2454"/>
      <c r="B10" s="3471"/>
      <c r="C10" s="1808"/>
      <c r="D10" s="1805"/>
      <c r="E10" s="61" t="s">
        <v>639</v>
      </c>
      <c r="F10" s="783">
        <f ca="1">INDIRECT("'数据-取费表'!ai"&amp;$G$1)</f>
        <v>0</v>
      </c>
      <c r="G10" s="1575"/>
      <c r="H10" s="2450"/>
      <c r="I10" s="3471"/>
      <c r="J10" s="786"/>
      <c r="K10" s="787"/>
      <c r="L10" s="782" t="s">
        <v>1739</v>
      </c>
      <c r="M10" s="783">
        <f ca="1">INDIRECT("'数据-取费表'!ai"&amp;$G$1)</f>
        <v>0</v>
      </c>
    </row>
    <row r="11" spans="1:25" ht="18" customHeight="1">
      <c r="A11" s="784"/>
      <c r="B11" s="3472"/>
      <c r="C11" s="1808"/>
      <c r="D11" s="1805"/>
      <c r="E11" s="61" t="s">
        <v>640</v>
      </c>
      <c r="F11" s="792">
        <f ca="1">INDIRECT("'数据-取费表'!w"&amp;$G$1)</f>
        <v>0</v>
      </c>
      <c r="G11" s="1575"/>
      <c r="H11" s="2466"/>
      <c r="I11" s="3471"/>
      <c r="J11" s="786"/>
      <c r="K11" s="787"/>
      <c r="L11" s="793" t="s">
        <v>1740</v>
      </c>
      <c r="M11" s="794">
        <f ca="1">INDIRECT("'数据-取费表'!ab"&amp;$G$1)</f>
        <v>0</v>
      </c>
    </row>
    <row r="12" spans="1:25" ht="18" customHeight="1">
      <c r="A12" s="1812" t="s">
        <v>1824</v>
      </c>
      <c r="B12" s="2455" t="s">
        <v>2456</v>
      </c>
      <c r="C12" s="797">
        <f ca="1">ROUND(IF(F12="押一",C8/12*F13,IF(F12="押二",C8/12*2*F13,IF(F12="押三",C8/12*3*F13,C13*F13))),0)</f>
        <v>0</v>
      </c>
      <c r="D12" s="2462" t="s">
        <v>2962</v>
      </c>
      <c r="E12" s="2459" t="s">
        <v>2461</v>
      </c>
      <c r="F12" s="2582"/>
      <c r="G12" s="1575"/>
      <c r="H12" s="2522" t="s">
        <v>1824</v>
      </c>
      <c r="I12" s="2527" t="s">
        <v>2456</v>
      </c>
      <c r="J12" s="781">
        <f ca="1">ROUND(IF(M12="押一",J8/12*M13,IF(M12="押二",J8/12*2*M13,IF(M12="押三",J8/12*3*M13,J13*M13))),0)</f>
        <v>0</v>
      </c>
      <c r="K12" s="2462" t="s">
        <v>2962</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2822</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2067</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2066</v>
      </c>
      <c r="I19" s="782" t="s">
        <v>656</v>
      </c>
      <c r="J19" s="53">
        <f ca="1">ROUND(IF(项目基本情况!B11="自然人",J8*M19/(1+'数据-取费表'!C42),J20+J21+J22),0)</f>
        <v>0</v>
      </c>
      <c r="K19" s="1961" t="s">
        <v>657</v>
      </c>
      <c r="L19" s="1959" t="s">
        <v>658</v>
      </c>
      <c r="M19" s="808">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2.5000000000000001E-2</v>
      </c>
      <c r="G22" s="1576"/>
      <c r="H22" s="1814" t="s">
        <v>1849</v>
      </c>
      <c r="I22" s="1804" t="s">
        <v>668</v>
      </c>
      <c r="J22" s="54">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0.03</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f ca="1">ROUND(J16*M24,0)</f>
        <v>0</v>
      </c>
      <c r="K24" s="1959" t="s">
        <v>677</v>
      </c>
      <c r="L24" s="782" t="s">
        <v>649</v>
      </c>
      <c r="M24" s="815">
        <f ca="1">INDIRECT("'数据-取费表'!Ak"&amp;$G$1)</f>
        <v>0</v>
      </c>
    </row>
    <row r="25" spans="1:25" s="2046" customFormat="1" ht="18" customHeight="1">
      <c r="A25" s="801" t="s">
        <v>1874</v>
      </c>
      <c r="B25" s="782" t="s">
        <v>2434</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2819</v>
      </c>
      <c r="J27" s="797">
        <f ca="1">J7-J18</f>
        <v>0</v>
      </c>
      <c r="K27" s="1961" t="s">
        <v>700</v>
      </c>
      <c r="L27" s="1963"/>
      <c r="M27" s="818"/>
    </row>
    <row r="28" spans="1:25" ht="18" customHeight="1">
      <c r="A28" s="801" t="s">
        <v>1874</v>
      </c>
      <c r="B28" s="782" t="s">
        <v>2435</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2820</v>
      </c>
      <c r="C31" s="2505">
        <f ca="1">ROUND((C21+C22+C25+C28)/(1-F23-C26-C29-C30),0)</f>
        <v>0</v>
      </c>
      <c r="D31" s="2506"/>
      <c r="E31" s="2507"/>
      <c r="F31" s="2508"/>
      <c r="G31" s="1576"/>
      <c r="H31" s="821" t="s">
        <v>1871</v>
      </c>
      <c r="I31" s="2961" t="s">
        <v>2821</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5.6000000000000001E-2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1.5</v>
      </c>
      <c r="G36" s="2044"/>
      <c r="H36" s="2047"/>
      <c r="I36" s="3468"/>
      <c r="J36" s="2061"/>
      <c r="K36" s="2062"/>
      <c r="L36" s="2061"/>
      <c r="M36" s="2061"/>
    </row>
    <row r="37" spans="1:18" ht="18" customHeight="1">
      <c r="A37" s="813"/>
      <c r="B37" s="791"/>
      <c r="C37" s="69"/>
      <c r="D37" s="814"/>
      <c r="E37" s="782" t="s">
        <v>674</v>
      </c>
      <c r="F37" s="783">
        <f ca="1">INDIRECT("'数据-取费表'!r"&amp;$G$1)</f>
        <v>0</v>
      </c>
      <c r="G37" s="2044"/>
      <c r="H37" s="2047"/>
      <c r="I37" s="3468"/>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50" t="s">
        <v>712</v>
      </c>
      <c r="E43" s="3070" t="s">
        <v>2950</v>
      </c>
      <c r="F43" s="3071">
        <f ca="1">INDIRECT("'数据-取费表'!j"&amp;$G$1)</f>
        <v>0</v>
      </c>
      <c r="G43" s="2044"/>
      <c r="H43" s="2044"/>
      <c r="I43" s="2044"/>
      <c r="J43" s="2044"/>
      <c r="K43" s="2065"/>
      <c r="L43" s="2044"/>
      <c r="M43" s="2044"/>
    </row>
    <row r="44" spans="1:18" ht="18" customHeight="1">
      <c r="A44" s="801" t="s">
        <v>1877</v>
      </c>
      <c r="B44" s="833" t="s">
        <v>713</v>
      </c>
      <c r="C44" s="1351">
        <f ca="1">C42-C43</f>
        <v>0</v>
      </c>
      <c r="D44" s="461" t="s">
        <v>714</v>
      </c>
      <c r="E44" s="462"/>
      <c r="F44" s="463"/>
      <c r="G44" s="2044"/>
      <c r="H44" s="2044"/>
      <c r="I44" s="2044"/>
      <c r="J44" s="2044"/>
      <c r="K44" s="2065"/>
      <c r="L44" s="2044"/>
      <c r="M44" s="2044"/>
    </row>
    <row r="45" spans="1:18" ht="18" customHeight="1">
      <c r="A45" s="801" t="s">
        <v>1878</v>
      </c>
      <c r="B45" s="1350" t="s">
        <v>715</v>
      </c>
      <c r="C45" s="2986">
        <f ca="1">ROUND(-PV(F45,F46,C44,0),0)</f>
        <v>0</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2" t="s">
        <v>2953</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5"/>
      <c r="Q47" s="1586"/>
      <c r="R47" s="1575"/>
    </row>
    <row r="48" spans="1:18" s="2041" customFormat="1" ht="18" customHeight="1" thickBot="1">
      <c r="A48" s="2066"/>
      <c r="C48" s="2069"/>
      <c r="D48" s="2070"/>
      <c r="E48" s="2070"/>
      <c r="F48" s="2071"/>
      <c r="G48" s="2072"/>
      <c r="I48" s="3095" t="s">
        <v>2341</v>
      </c>
      <c r="J48" s="2342"/>
      <c r="K48" s="3101" t="s">
        <v>2346</v>
      </c>
      <c r="L48" s="3105">
        <f ca="1">INDIRECT("'数据-取费表'!d"&amp;$G$1)</f>
        <v>0</v>
      </c>
      <c r="M48" s="3069"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4"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4"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4" t="s">
        <v>2344</v>
      </c>
      <c r="J51" s="3099">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6" t="s">
        <v>2345</v>
      </c>
      <c r="J52" s="3100">
        <f>IF(J50="",J51,J50+J51-YEAR('数据-取费表'!B3))</f>
        <v>0</v>
      </c>
      <c r="K52" s="3074"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7" t="s">
        <v>2418</v>
      </c>
      <c r="J53" s="2346"/>
      <c r="K53" s="3097" t="s">
        <v>2417</v>
      </c>
      <c r="L53" s="2346"/>
      <c r="O53" s="2362" t="s">
        <v>2383</v>
      </c>
      <c r="P53" s="2360" t="s">
        <v>2384</v>
      </c>
      <c r="Q53" s="2363">
        <f>J53</f>
        <v>0</v>
      </c>
      <c r="R53" s="2364"/>
    </row>
    <row r="54" spans="1:18" s="2041" customFormat="1" ht="31.8" thickBot="1">
      <c r="A54" s="2078"/>
      <c r="I54" s="3098" t="s">
        <v>2966</v>
      </c>
      <c r="J54" s="3177">
        <f ca="1">IF(M48="住宅",MAX(J52,L49-'数据-取费表'!B20),MIN(J52,L49-'数据-取费表'!B20))</f>
        <v>-2.5</v>
      </c>
      <c r="K54" s="3473"/>
      <c r="L54" s="3474"/>
      <c r="O54" s="2362" t="s">
        <v>2385</v>
      </c>
      <c r="P54" s="2360" t="s">
        <v>2386</v>
      </c>
      <c r="Q54" s="2361">
        <f ca="1">J54</f>
        <v>-2.5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2" thickBot="1">
      <c r="A56" s="2078"/>
      <c r="B56" s="2079"/>
      <c r="C56" s="2079"/>
      <c r="I56" s="3109" t="s">
        <v>2352</v>
      </c>
      <c r="J56" s="3049" t="e">
        <f ca="1">ROUND(IF(J48="钢混",J58/J51,1-(1-2%)*(J51-J58)/J51),3)</f>
        <v>#VALUE!</v>
      </c>
      <c r="K56" s="3110" t="s">
        <v>2353</v>
      </c>
      <c r="L56" s="2347"/>
      <c r="O56" s="2365" t="s">
        <v>2408</v>
      </c>
      <c r="P56" s="1575"/>
      <c r="Q56" s="1586"/>
      <c r="R56" s="1575"/>
    </row>
    <row r="57" spans="1:18" s="2041" customFormat="1" ht="47.4" thickBot="1">
      <c r="A57" s="2078"/>
      <c r="B57" s="2079"/>
      <c r="C57" s="2079"/>
      <c r="I57" s="3111" t="s">
        <v>2354</v>
      </c>
      <c r="J57" s="3121" t="s">
        <v>1677</v>
      </c>
      <c r="K57" s="3074" t="s">
        <v>2359</v>
      </c>
      <c r="L57" s="1890">
        <f ca="1">IF(L49&lt;J52,"——",L49-J52)</f>
        <v>0</v>
      </c>
      <c r="O57" s="2356" t="s">
        <v>2372</v>
      </c>
      <c r="P57" s="2357" t="s">
        <v>2373</v>
      </c>
      <c r="Q57" s="2358" t="s">
        <v>2374</v>
      </c>
      <c r="R57" s="2357" t="s">
        <v>2375</v>
      </c>
    </row>
    <row r="58" spans="1:18" s="2041" customFormat="1" ht="31.8" thickBot="1">
      <c r="A58" s="2078"/>
      <c r="B58" s="2079"/>
      <c r="C58" s="2079"/>
      <c r="I58" s="3112" t="s">
        <v>2355</v>
      </c>
      <c r="J58" s="3113" t="str">
        <f ca="1">IF(OR(M48="住宅",J52&lt;L49,J57="是"),"——",J52-L49)</f>
        <v>——</v>
      </c>
      <c r="K58" s="3074" t="s">
        <v>2360</v>
      </c>
      <c r="L58" s="1890">
        <f ca="1">IF(L49&lt;J52,"——",IF(L56="比较法",L50,IF(L56="基准地价",L51,L52)))</f>
        <v>0</v>
      </c>
      <c r="O58" s="2359" t="s">
        <v>2376</v>
      </c>
      <c r="P58" s="2360" t="s">
        <v>2402</v>
      </c>
      <c r="Q58" s="2361">
        <f ca="1">C41+J31</f>
        <v>0</v>
      </c>
      <c r="R58" s="2360" t="s">
        <v>2377</v>
      </c>
    </row>
    <row r="59" spans="1:18" s="2041" customFormat="1" ht="31.8" thickBot="1">
      <c r="A59" s="2078"/>
      <c r="B59" s="2079"/>
      <c r="C59" s="2079"/>
      <c r="I59" s="3112" t="s">
        <v>2356</v>
      </c>
      <c r="J59" s="3050" t="e">
        <f ca="1">IF(J56&lt;0.4,0.4,J56)</f>
        <v>#VALUE!</v>
      </c>
      <c r="K59" s="3074"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31.8" thickBot="1">
      <c r="A60" s="2078"/>
      <c r="B60" s="2079"/>
      <c r="C60" s="2079"/>
      <c r="I60" s="3112" t="s">
        <v>2357</v>
      </c>
      <c r="J60" s="3113" t="str">
        <f ca="1">IF(OR(M48="住宅",J52&lt;L49,J57="是"),"——",ROUND(C30*J59,0))</f>
        <v>——</v>
      </c>
      <c r="K60" s="3074"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6.2"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19.2" thickBot="1">
      <c r="A62" s="2078"/>
      <c r="B62" s="2079"/>
      <c r="C62" s="2079"/>
      <c r="K62" s="2068"/>
      <c r="O62" s="2362" t="s">
        <v>2383</v>
      </c>
      <c r="P62" s="2360" t="s">
        <v>2391</v>
      </c>
      <c r="Q62" s="2361">
        <f ca="1">L59</f>
        <v>0</v>
      </c>
      <c r="R62" s="2364" t="s">
        <v>2392</v>
      </c>
    </row>
    <row r="63" spans="1:18" s="2041" customFormat="1" ht="19.2" thickBot="1">
      <c r="A63" s="2078"/>
      <c r="B63" s="2079"/>
      <c r="C63" s="2079"/>
      <c r="I63" s="3117" t="s">
        <v>2364</v>
      </c>
      <c r="J63" s="3118" t="s">
        <v>2365</v>
      </c>
      <c r="K63" s="3118" t="s">
        <v>2366</v>
      </c>
      <c r="L63" s="3118" t="s">
        <v>2347</v>
      </c>
      <c r="M63" s="3119" t="s">
        <v>2931</v>
      </c>
      <c r="O63" s="2362" t="s">
        <v>2385</v>
      </c>
      <c r="P63" s="2360" t="s">
        <v>2393</v>
      </c>
      <c r="Q63" s="2361">
        <f ca="1">L60</f>
        <v>0</v>
      </c>
      <c r="R63" s="2364" t="s">
        <v>2394</v>
      </c>
    </row>
    <row r="64" spans="1:18" s="2041" customFormat="1" ht="16.2"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2" thickBot="1">
      <c r="A65" s="2078"/>
      <c r="B65" s="2079"/>
      <c r="C65" s="2079"/>
      <c r="I65" s="3117" t="s">
        <v>2368</v>
      </c>
      <c r="J65" s="3118">
        <v>50</v>
      </c>
      <c r="K65" s="3118">
        <v>35</v>
      </c>
      <c r="L65" s="3118">
        <v>60</v>
      </c>
      <c r="M65" s="844">
        <v>0</v>
      </c>
      <c r="O65" s="2365" t="s">
        <v>2412</v>
      </c>
      <c r="P65" s="1575"/>
      <c r="Q65" s="1586"/>
      <c r="R65" s="1575"/>
    </row>
    <row r="66" spans="1:18" s="2041" customFormat="1" ht="16.2"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6.2" thickBot="1">
      <c r="A67" s="2078"/>
      <c r="B67" s="2079"/>
      <c r="C67" s="2079"/>
      <c r="K67" s="2068"/>
      <c r="O67" s="2359" t="s">
        <v>2376</v>
      </c>
      <c r="P67" s="2360" t="s">
        <v>2402</v>
      </c>
      <c r="Q67" s="2361">
        <f ca="1">C41+J31</f>
        <v>0</v>
      </c>
      <c r="R67" s="2360" t="s">
        <v>2377</v>
      </c>
    </row>
    <row r="68" spans="1:18" s="2041" customFormat="1" ht="19.2" thickBot="1">
      <c r="A68" s="2078"/>
      <c r="B68" s="2079"/>
      <c r="C68" s="2079"/>
      <c r="K68" s="2068"/>
      <c r="O68" s="2359" t="s">
        <v>2378</v>
      </c>
      <c r="P68" s="2360" t="s">
        <v>2409</v>
      </c>
      <c r="Q68" s="2361" t="e">
        <f ca="1">L61</f>
        <v>#DIV/0!</v>
      </c>
      <c r="R68" s="2364" t="s">
        <v>2411</v>
      </c>
    </row>
    <row r="69" spans="1:18" s="2041" customFormat="1" ht="20.399999999999999" thickBot="1">
      <c r="A69" s="2078"/>
      <c r="B69" s="2079"/>
      <c r="C69" s="2079"/>
      <c r="K69" s="2068"/>
      <c r="O69" s="2362" t="s">
        <v>2380</v>
      </c>
      <c r="P69" s="2360" t="s">
        <v>2410</v>
      </c>
      <c r="Q69" s="2366">
        <f ca="1">L52</f>
        <v>0</v>
      </c>
      <c r="R69" s="2367" t="s">
        <v>2413</v>
      </c>
    </row>
    <row r="70" spans="1:18" s="2041" customFormat="1" ht="19.2" thickBot="1">
      <c r="A70" s="2078"/>
      <c r="B70" s="2079"/>
      <c r="C70" s="2079"/>
      <c r="K70" s="2068"/>
      <c r="O70" s="2362" t="s">
        <v>2381</v>
      </c>
      <c r="P70" s="2368" t="s">
        <v>2395</v>
      </c>
      <c r="Q70" s="2361">
        <f ca="1">ROUND(Q71-Q72*Q73,0)</f>
        <v>0</v>
      </c>
      <c r="R70" s="2364"/>
    </row>
    <row r="71" spans="1:18" s="2041" customFormat="1" ht="16.2" thickBot="1">
      <c r="A71" s="2078"/>
      <c r="B71" s="2079"/>
      <c r="C71" s="2079"/>
      <c r="K71" s="2068"/>
      <c r="O71" s="2362" t="s">
        <v>2396</v>
      </c>
      <c r="P71" s="2368" t="s">
        <v>2397</v>
      </c>
      <c r="Q71" s="2361">
        <f ca="1">C42</f>
        <v>0</v>
      </c>
      <c r="R71" s="2360" t="s">
        <v>2377</v>
      </c>
    </row>
    <row r="72" spans="1:18" s="2041" customFormat="1" ht="16.2" thickBot="1">
      <c r="A72" s="2078"/>
      <c r="B72" s="2079"/>
      <c r="C72" s="2079"/>
      <c r="K72" s="2068"/>
      <c r="O72" s="2362" t="s">
        <v>2398</v>
      </c>
      <c r="P72" s="2368" t="s">
        <v>2399</v>
      </c>
      <c r="Q72" s="2361">
        <f ca="1">C15</f>
        <v>0</v>
      </c>
      <c r="R72" s="2360" t="s">
        <v>2377</v>
      </c>
    </row>
    <row r="73" spans="1:18" s="2041" customFormat="1" ht="16.2" thickBot="1">
      <c r="A73" s="2078"/>
      <c r="B73" s="2079"/>
      <c r="C73" s="2079"/>
      <c r="K73" s="2068"/>
      <c r="O73" s="2362" t="s">
        <v>2400</v>
      </c>
      <c r="P73" s="2368" t="s">
        <v>2401</v>
      </c>
      <c r="Q73" s="2363">
        <f ca="1">F43</f>
        <v>0</v>
      </c>
      <c r="R73" s="2364"/>
    </row>
    <row r="74" spans="1:18" s="2041" customFormat="1" ht="16.2" thickBot="1">
      <c r="A74" s="2078"/>
      <c r="B74" s="2079"/>
      <c r="C74" s="2079"/>
      <c r="K74" s="2068"/>
      <c r="O74" s="2362" t="s">
        <v>2383</v>
      </c>
      <c r="P74" s="2360" t="s">
        <v>2390</v>
      </c>
      <c r="Q74" s="2363">
        <f>L53</f>
        <v>0</v>
      </c>
      <c r="R74" s="2364"/>
    </row>
    <row r="75" spans="1:18" s="2041" customFormat="1" ht="19.2" thickBot="1">
      <c r="A75" s="2078"/>
      <c r="B75" s="2079"/>
      <c r="C75" s="2079"/>
      <c r="K75" s="2068"/>
      <c r="O75" s="2362" t="s">
        <v>2385</v>
      </c>
      <c r="P75" s="2360" t="s">
        <v>2391</v>
      </c>
      <c r="Q75" s="2361">
        <f ca="1">L59</f>
        <v>0</v>
      </c>
      <c r="R75" s="2364" t="s">
        <v>2392</v>
      </c>
    </row>
    <row r="76" spans="1:18" s="2041" customFormat="1" ht="19.2" thickBot="1">
      <c r="A76" s="2078"/>
      <c r="B76" s="2079"/>
      <c r="C76" s="2079"/>
      <c r="K76" s="2068"/>
      <c r="O76" s="2362" t="s">
        <v>2414</v>
      </c>
      <c r="P76" s="2360" t="s">
        <v>2393</v>
      </c>
      <c r="Q76" s="2361">
        <f ca="1">L60</f>
        <v>0</v>
      </c>
      <c r="R76" s="2364" t="s">
        <v>2394</v>
      </c>
    </row>
    <row r="77" spans="1:18" s="2041" customFormat="1" ht="16.2"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5.6640625" style="1331" customWidth="1"/>
    <col min="6" max="6" width="12.21875" style="1331" customWidth="1"/>
    <col min="7" max="7" width="16.109375" style="1331" customWidth="1"/>
    <col min="8" max="8" width="12.21875" style="1331" customWidth="1"/>
    <col min="9" max="9" width="16.332031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2584" t="s">
        <v>719</v>
      </c>
      <c r="C1" s="2585" t="s">
        <v>720</v>
      </c>
      <c r="D1" s="2586" t="s">
        <v>922</v>
      </c>
      <c r="E1" s="2587"/>
      <c r="F1" s="2759" t="s">
        <v>3085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f>ROUND(B3*D3/10000,0)</f>
        <v>425582</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f>C49</f>
        <v>67408</v>
      </c>
      <c r="C3" s="850" t="s">
        <v>722</v>
      </c>
      <c r="D3" s="849">
        <f>SUMIF('数据-汇总表'!$C19:$C33,D1,'数据-汇总表'!$E19:$E33)</f>
        <v>63135.22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0" t="s">
        <v>521</v>
      </c>
      <c r="B4" s="511"/>
      <c r="C4" s="3387" t="s">
        <v>522</v>
      </c>
      <c r="D4" s="3388"/>
      <c r="E4" s="3424" t="s">
        <v>523</v>
      </c>
      <c r="F4" s="3425"/>
      <c r="G4" s="3387" t="s">
        <v>524</v>
      </c>
      <c r="H4" s="3388"/>
      <c r="I4" s="3387" t="s">
        <v>525</v>
      </c>
      <c r="J4" s="3388"/>
      <c r="K4" s="851" t="s">
        <v>526</v>
      </c>
      <c r="L4" s="2115"/>
      <c r="M4" s="2116"/>
      <c r="N4" s="2116"/>
      <c r="O4" s="2116"/>
      <c r="P4" s="3389" t="s">
        <v>527</v>
      </c>
      <c r="Q4" s="3390"/>
      <c r="R4" s="3395" t="s">
        <v>523</v>
      </c>
      <c r="S4" s="3396"/>
      <c r="T4" s="3395" t="s">
        <v>524</v>
      </c>
      <c r="U4" s="3396"/>
      <c r="V4" s="3382" t="s">
        <v>525</v>
      </c>
      <c r="W4" s="3382"/>
      <c r="X4" s="1550"/>
      <c r="Y4" s="3395" t="s">
        <v>527</v>
      </c>
      <c r="Z4" s="3396"/>
      <c r="AA4" s="3384" t="s">
        <v>523</v>
      </c>
      <c r="AB4" s="3384" t="s">
        <v>524</v>
      </c>
      <c r="AC4" s="3384" t="s">
        <v>525</v>
      </c>
    </row>
    <row r="5" spans="1:29" ht="14.4" thickBot="1">
      <c r="A5" s="513"/>
      <c r="B5" s="514"/>
      <c r="C5" s="3403" t="s">
        <v>2918</v>
      </c>
      <c r="D5" s="3404"/>
      <c r="E5" s="3479" t="s">
        <v>3090</v>
      </c>
      <c r="F5" s="3409"/>
      <c r="G5" s="3478" t="s">
        <v>3092</v>
      </c>
      <c r="H5" s="3404"/>
      <c r="I5" s="3478" t="s">
        <v>3091</v>
      </c>
      <c r="J5" s="3404"/>
      <c r="K5" s="852"/>
      <c r="L5" s="2115"/>
      <c r="M5" s="2116"/>
      <c r="N5" s="2116"/>
      <c r="O5" s="2116"/>
      <c r="P5" s="3391"/>
      <c r="Q5" s="3392"/>
      <c r="R5" s="3397"/>
      <c r="S5" s="3398"/>
      <c r="T5" s="3397"/>
      <c r="U5" s="3398"/>
      <c r="V5" s="3382"/>
      <c r="W5" s="3382"/>
      <c r="X5" s="1550"/>
      <c r="Y5" s="3397"/>
      <c r="Z5" s="3398"/>
      <c r="AA5" s="3385"/>
      <c r="AB5" s="3385"/>
      <c r="AC5" s="3385"/>
    </row>
    <row r="6" spans="1:29" ht="15" hidden="1" thickBot="1">
      <c r="A6" s="515"/>
      <c r="B6" s="516"/>
      <c r="C6" s="3422"/>
      <c r="D6" s="3423"/>
      <c r="E6" s="3407"/>
      <c r="F6" s="3402"/>
      <c r="G6" s="3422"/>
      <c r="H6" s="3423"/>
      <c r="I6" s="3422"/>
      <c r="J6" s="3423"/>
      <c r="K6" s="852" t="s">
        <v>528</v>
      </c>
      <c r="L6" s="2115"/>
      <c r="M6" s="2116"/>
      <c r="N6" s="2116"/>
      <c r="O6" s="2116"/>
      <c r="P6" s="3393"/>
      <c r="Q6" s="3394"/>
      <c r="R6" s="3397"/>
      <c r="S6" s="3398"/>
      <c r="T6" s="3399"/>
      <c r="U6" s="3400"/>
      <c r="V6" s="3382"/>
      <c r="W6" s="3382"/>
      <c r="X6" s="1550"/>
      <c r="Y6" s="3399"/>
      <c r="Z6" s="3400"/>
      <c r="AA6" s="3386"/>
      <c r="AB6" s="3386"/>
      <c r="AC6" s="3386"/>
    </row>
    <row r="7" spans="1:29" s="1214" customFormat="1" ht="15" thickBot="1">
      <c r="A7" s="2864"/>
      <c r="B7" s="2871" t="s">
        <v>529</v>
      </c>
      <c r="C7" s="517">
        <f>'数据-取费表'!B2</f>
        <v>43832</v>
      </c>
      <c r="D7" s="518">
        <v>100</v>
      </c>
      <c r="E7" s="519">
        <f>C7</f>
        <v>43832</v>
      </c>
      <c r="F7" s="520">
        <f>SUMIF(58:58,YEAR(E7)&amp;"-"&amp;MONTH(E7),59:59)</f>
        <v>100</v>
      </c>
      <c r="G7" s="521">
        <f>C7</f>
        <v>43832</v>
      </c>
      <c r="H7" s="518">
        <f>SUMIF(58:58,YEAR(G7)&amp;"-"&amp;MONTH(G7),59:59)</f>
        <v>100</v>
      </c>
      <c r="I7" s="521">
        <f>C7</f>
        <v>43832</v>
      </c>
      <c r="J7" s="518">
        <f>SUMIF(58:58,YEAR(I7)&amp;"-"&amp;MONTH(I7),59:59)</f>
        <v>100</v>
      </c>
      <c r="K7" s="853"/>
      <c r="L7" s="2117"/>
      <c r="M7" s="2118"/>
      <c r="N7" s="2118"/>
      <c r="O7" s="2118"/>
      <c r="P7" s="3415" t="s">
        <v>530</v>
      </c>
      <c r="Q7" s="3417"/>
      <c r="R7" s="1551" t="s">
        <v>13</v>
      </c>
      <c r="S7" s="1552">
        <f t="shared" ref="S7:S15" si="0">F7</f>
        <v>100</v>
      </c>
      <c r="T7" s="1551" t="s">
        <v>13</v>
      </c>
      <c r="U7" s="1552">
        <f t="shared" ref="U7:U15" si="1">H7</f>
        <v>100</v>
      </c>
      <c r="V7" s="1551" t="s">
        <v>13</v>
      </c>
      <c r="W7" s="1552">
        <f t="shared" ref="W7:W15" si="2">J7</f>
        <v>100</v>
      </c>
      <c r="X7" s="1553"/>
      <c r="Y7" s="3415" t="s">
        <v>530</v>
      </c>
      <c r="Z7" s="3416"/>
      <c r="AA7" s="1554">
        <f>D7/F7</f>
        <v>1</v>
      </c>
      <c r="AB7" s="1554">
        <f>D7/H7</f>
        <v>1</v>
      </c>
      <c r="AC7" s="1554">
        <f>D7/J7</f>
        <v>1</v>
      </c>
    </row>
    <row r="8" spans="1:29" s="1214" customFormat="1" ht="15" thickBot="1">
      <c r="A8" s="2865"/>
      <c r="B8" s="2872" t="s">
        <v>531</v>
      </c>
      <c r="C8" s="523" t="s">
        <v>576</v>
      </c>
      <c r="D8" s="518">
        <v>100</v>
      </c>
      <c r="E8" s="854" t="s">
        <v>3005</v>
      </c>
      <c r="F8" s="520">
        <f>SUMIF(61:61,E8,62:62)-SUMIF(61:61,C8,62:62)+100</f>
        <v>100</v>
      </c>
      <c r="G8" s="523" t="s">
        <v>3005</v>
      </c>
      <c r="H8" s="518">
        <f>SUMIF(61:61,G8,62:62)-SUMIF(61:61,C8,62:62)+100</f>
        <v>100</v>
      </c>
      <c r="I8" s="854" t="s">
        <v>3005</v>
      </c>
      <c r="J8" s="518">
        <f>SUMIF(61:61,I8,62:62)-SUMIF(61:61,C8,62:62)+100</f>
        <v>100</v>
      </c>
      <c r="K8" s="853"/>
      <c r="L8" s="2117"/>
      <c r="M8" s="2118"/>
      <c r="N8" s="2118"/>
      <c r="O8" s="2118"/>
      <c r="P8" s="3415" t="s">
        <v>533</v>
      </c>
      <c r="Q8" s="3416"/>
      <c r="R8" s="1551" t="s">
        <v>13</v>
      </c>
      <c r="S8" s="1552">
        <f t="shared" si="0"/>
        <v>100</v>
      </c>
      <c r="T8" s="1551" t="s">
        <v>13</v>
      </c>
      <c r="U8" s="1552">
        <f t="shared" si="1"/>
        <v>100</v>
      </c>
      <c r="V8" s="1551" t="s">
        <v>13</v>
      </c>
      <c r="W8" s="1552">
        <f t="shared" si="2"/>
        <v>100</v>
      </c>
      <c r="X8" s="1553"/>
      <c r="Y8" s="3415" t="s">
        <v>533</v>
      </c>
      <c r="Z8" s="3416"/>
      <c r="AA8" s="1554">
        <f t="shared" ref="AA8:AA46" si="3">D8/F8</f>
        <v>1</v>
      </c>
      <c r="AB8" s="1554">
        <f t="shared" ref="AB8:AB46" si="4">D8/H8</f>
        <v>1</v>
      </c>
      <c r="AC8" s="1554">
        <f t="shared" ref="AC8:AC46" si="5">D8/J8</f>
        <v>1</v>
      </c>
    </row>
    <row r="9" spans="1:29" s="1214" customFormat="1" ht="14.4">
      <c r="A9" s="2866"/>
      <c r="B9" s="2873" t="s">
        <v>2753</v>
      </c>
      <c r="C9" s="3192" t="s">
        <v>3084</v>
      </c>
      <c r="D9" s="252">
        <v>100</v>
      </c>
      <c r="E9" s="856" t="s">
        <v>922</v>
      </c>
      <c r="F9" s="857">
        <f>SUMIF(63:63,E9,64:64)-SUMIF(63:63,C9,64:64)+100</f>
        <v>100</v>
      </c>
      <c r="G9" s="858" t="s">
        <v>922</v>
      </c>
      <c r="H9" s="252">
        <f>SUMIF(63:63,G9,64:64)-SUMIF(63:63,C9,64:64)+100</f>
        <v>100</v>
      </c>
      <c r="I9" s="858" t="s">
        <v>922</v>
      </c>
      <c r="J9" s="252">
        <f>SUMIF(63:63,I9,64:64)-SUMIF(63:63,C9,64:64)+100</f>
        <v>100</v>
      </c>
      <c r="K9" s="853"/>
      <c r="L9" s="2117"/>
      <c r="M9" s="2118"/>
      <c r="N9" s="2118"/>
      <c r="O9" s="2119"/>
      <c r="P9" s="3381" t="s">
        <v>535</v>
      </c>
      <c r="Q9" s="1145" t="str">
        <f t="shared" ref="Q9:Q15" si="6">B9</f>
        <v>用途</v>
      </c>
      <c r="R9" s="1551" t="s">
        <v>8</v>
      </c>
      <c r="S9" s="1552">
        <f t="shared" si="0"/>
        <v>100</v>
      </c>
      <c r="T9" s="1551" t="s">
        <v>8</v>
      </c>
      <c r="U9" s="1552">
        <f t="shared" si="1"/>
        <v>100</v>
      </c>
      <c r="V9" s="1551" t="s">
        <v>8</v>
      </c>
      <c r="W9" s="1552">
        <f t="shared" si="2"/>
        <v>100</v>
      </c>
      <c r="X9" s="1553"/>
      <c r="Y9" s="3327" t="s">
        <v>536</v>
      </c>
      <c r="Z9" s="1144" t="str">
        <f t="shared" ref="Z9:Z15" si="7">Q9</f>
        <v>用途</v>
      </c>
      <c r="AA9" s="1554">
        <f t="shared" si="3"/>
        <v>1</v>
      </c>
      <c r="AB9" s="1554">
        <f t="shared" si="4"/>
        <v>1</v>
      </c>
      <c r="AC9" s="1554">
        <f t="shared" si="5"/>
        <v>1</v>
      </c>
    </row>
    <row r="10" spans="1:29" s="1332" customFormat="1" ht="28.8">
      <c r="A10" s="2867"/>
      <c r="B10" s="2872" t="s">
        <v>2754</v>
      </c>
      <c r="C10" s="859" t="s">
        <v>3083</v>
      </c>
      <c r="D10" s="253">
        <v>100</v>
      </c>
      <c r="E10" s="860" t="s">
        <v>3082</v>
      </c>
      <c r="F10" s="861">
        <f>SUMIF(65:65,E10,66:66)-SUMIF(65:65,C10,66:66)+100</f>
        <v>101</v>
      </c>
      <c r="G10" s="859" t="s">
        <v>3082</v>
      </c>
      <c r="H10" s="253">
        <f>SUMIF(65:65,G10,66:66)-SUMIF(65:65,C10,66:66)+100</f>
        <v>101</v>
      </c>
      <c r="I10" s="859" t="s">
        <v>3082</v>
      </c>
      <c r="J10" s="253">
        <f>SUMIF(65:65,I10,66:66)-SUMIF(65:65,C10,66:66)+100</f>
        <v>101</v>
      </c>
      <c r="K10" s="862">
        <v>1</v>
      </c>
      <c r="L10" s="2120"/>
      <c r="M10" s="2160"/>
      <c r="N10" s="2160"/>
      <c r="O10" s="2121"/>
      <c r="P10" s="3381"/>
      <c r="Q10" s="1145" t="str">
        <f t="shared" si="6"/>
        <v>土地使用年限（年）</v>
      </c>
      <c r="R10" s="1551" t="s">
        <v>8</v>
      </c>
      <c r="S10" s="1552">
        <f t="shared" si="0"/>
        <v>101</v>
      </c>
      <c r="T10" s="1551" t="s">
        <v>8</v>
      </c>
      <c r="U10" s="1552">
        <f t="shared" si="1"/>
        <v>101</v>
      </c>
      <c r="V10" s="1551" t="s">
        <v>8</v>
      </c>
      <c r="W10" s="1552">
        <f t="shared" si="2"/>
        <v>101</v>
      </c>
      <c r="X10" s="1553"/>
      <c r="Y10" s="3327"/>
      <c r="Z10" s="1144" t="str">
        <f t="shared" si="7"/>
        <v>土地使用年限（年）</v>
      </c>
      <c r="AA10" s="1554">
        <f t="shared" si="3"/>
        <v>0.99009900990099009</v>
      </c>
      <c r="AB10" s="1554">
        <f t="shared" si="4"/>
        <v>0.99009900990099009</v>
      </c>
      <c r="AC10" s="1554">
        <f t="shared" si="5"/>
        <v>0.99009900990099009</v>
      </c>
    </row>
    <row r="11" spans="1:29" ht="15.6" thickBot="1">
      <c r="A11" s="2868"/>
      <c r="B11" s="2872" t="s">
        <v>2755</v>
      </c>
      <c r="C11" s="531">
        <f>'数据-汇总表'!I4</f>
        <v>1.82</v>
      </c>
      <c r="D11" s="253">
        <v>100</v>
      </c>
      <c r="E11" s="532">
        <v>2.2000000000000002</v>
      </c>
      <c r="F11" s="861">
        <f>LOOKUP(E11,68:68,69:69)-LOOKUP(C11,68:68,69:69)+100</f>
        <v>96</v>
      </c>
      <c r="G11" s="531">
        <v>2.8</v>
      </c>
      <c r="H11" s="253">
        <f>LOOKUP(G11,68:68,69:69)-LOOKUP(C11,68:68,69:69)+100</f>
        <v>96</v>
      </c>
      <c r="I11" s="531">
        <v>1.8</v>
      </c>
      <c r="J11" s="253">
        <f>LOOKUP(I11,68:68,69:69)-LOOKUP(C11,68:68,69:69)+100</f>
        <v>100</v>
      </c>
      <c r="K11" s="862">
        <v>4</v>
      </c>
      <c r="L11" s="2122"/>
      <c r="M11" s="2116"/>
      <c r="N11" s="2116"/>
      <c r="O11" s="2123"/>
      <c r="P11" s="3381"/>
      <c r="Q11" s="1145" t="str">
        <f t="shared" si="6"/>
        <v>容积率</v>
      </c>
      <c r="R11" s="1551" t="s">
        <v>11</v>
      </c>
      <c r="S11" s="1552">
        <f t="shared" si="0"/>
        <v>96</v>
      </c>
      <c r="T11" s="1551" t="s">
        <v>11</v>
      </c>
      <c r="U11" s="1552">
        <f t="shared" si="1"/>
        <v>96</v>
      </c>
      <c r="V11" s="1551" t="s">
        <v>11</v>
      </c>
      <c r="W11" s="1552">
        <f t="shared" si="2"/>
        <v>100</v>
      </c>
      <c r="X11" s="1553"/>
      <c r="Y11" s="3327"/>
      <c r="Z11" s="1144" t="str">
        <f t="shared" si="7"/>
        <v>容积率</v>
      </c>
      <c r="AA11" s="1554">
        <f t="shared" si="3"/>
        <v>1.0416666666666667</v>
      </c>
      <c r="AB11" s="1554">
        <f t="shared" si="4"/>
        <v>1.0416666666666667</v>
      </c>
      <c r="AC11" s="1554">
        <f t="shared" si="5"/>
        <v>1</v>
      </c>
    </row>
    <row r="12" spans="1:29" s="1214" customFormat="1" ht="15" hidden="1">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81"/>
      <c r="Q12" s="1145">
        <f t="shared" si="6"/>
        <v>0</v>
      </c>
      <c r="R12" s="1551" t="s">
        <v>11</v>
      </c>
      <c r="S12" s="1552">
        <f t="shared" si="0"/>
        <v>100</v>
      </c>
      <c r="T12" s="1551" t="s">
        <v>11</v>
      </c>
      <c r="U12" s="1552">
        <f t="shared" si="1"/>
        <v>100</v>
      </c>
      <c r="V12" s="1551" t="s">
        <v>11</v>
      </c>
      <c r="W12" s="1552">
        <f t="shared" si="2"/>
        <v>100</v>
      </c>
      <c r="X12" s="1553"/>
      <c r="Y12" s="3327"/>
      <c r="Z12" s="1144">
        <f t="shared" si="7"/>
        <v>0</v>
      </c>
      <c r="AA12" s="1554">
        <f>D12/F12</f>
        <v>1</v>
      </c>
      <c r="AB12" s="1554">
        <f>D12/H12</f>
        <v>1</v>
      </c>
      <c r="AC12" s="1554">
        <f>D12/J12</f>
        <v>1</v>
      </c>
    </row>
    <row r="13" spans="1:29" ht="15" hidden="1">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81"/>
      <c r="Q13" s="1145">
        <f t="shared" si="6"/>
        <v>0</v>
      </c>
      <c r="R13" s="1551" t="s">
        <v>11</v>
      </c>
      <c r="S13" s="1552">
        <f t="shared" si="0"/>
        <v>100</v>
      </c>
      <c r="T13" s="1551" t="s">
        <v>11</v>
      </c>
      <c r="U13" s="1552">
        <f t="shared" si="1"/>
        <v>100</v>
      </c>
      <c r="V13" s="1551" t="s">
        <v>11</v>
      </c>
      <c r="W13" s="1552">
        <f t="shared" si="2"/>
        <v>100</v>
      </c>
      <c r="X13" s="1553"/>
      <c r="Y13" s="3327"/>
      <c r="Z13" s="1144">
        <f t="shared" si="7"/>
        <v>0</v>
      </c>
      <c r="AA13" s="1554">
        <f t="shared" si="3"/>
        <v>1</v>
      </c>
      <c r="AB13" s="1554">
        <f t="shared" si="4"/>
        <v>1</v>
      </c>
      <c r="AC13" s="1554">
        <f t="shared" si="5"/>
        <v>1</v>
      </c>
    </row>
    <row r="14" spans="1:29" ht="15.6" hidden="1"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81"/>
      <c r="Q14" s="1145">
        <f t="shared" si="6"/>
        <v>0</v>
      </c>
      <c r="R14" s="1551" t="s">
        <v>11</v>
      </c>
      <c r="S14" s="1552">
        <f t="shared" si="0"/>
        <v>100</v>
      </c>
      <c r="T14" s="1551" t="s">
        <v>11</v>
      </c>
      <c r="U14" s="1552">
        <f t="shared" si="1"/>
        <v>100</v>
      </c>
      <c r="V14" s="1551" t="s">
        <v>11</v>
      </c>
      <c r="W14" s="1552">
        <f t="shared" si="2"/>
        <v>100</v>
      </c>
      <c r="X14" s="1553"/>
      <c r="Y14" s="3327"/>
      <c r="Z14" s="1144">
        <f t="shared" si="7"/>
        <v>0</v>
      </c>
      <c r="AA14" s="1554">
        <f t="shared" si="3"/>
        <v>1</v>
      </c>
      <c r="AB14" s="1554">
        <f t="shared" si="4"/>
        <v>1</v>
      </c>
      <c r="AC14" s="1554">
        <f t="shared" si="5"/>
        <v>1</v>
      </c>
    </row>
    <row r="15" spans="1:29" ht="15">
      <c r="A15" s="2862" t="s">
        <v>2751</v>
      </c>
      <c r="B15" s="166" t="s">
        <v>295</v>
      </c>
      <c r="C15" s="865">
        <f>估价对象房地状况!C3</f>
        <v>0</v>
      </c>
      <c r="D15" s="547">
        <v>100</v>
      </c>
      <c r="E15" s="548"/>
      <c r="F15" s="549">
        <f>SUMIF(76:76,E16,77:77)-SUMIF(76:76,C16,77:77)+100</f>
        <v>100</v>
      </c>
      <c r="G15" s="548"/>
      <c r="H15" s="547">
        <f>SUMIF(76:76,G16,77:77)-SUMIF(76:76,C16,77:77)+100</f>
        <v>100</v>
      </c>
      <c r="I15" s="548"/>
      <c r="J15" s="547">
        <f>SUMIF(76:76,I16,77:77)-SUMIF(76:76,C16,77:77)+100</f>
        <v>97</v>
      </c>
      <c r="K15" s="866">
        <v>3</v>
      </c>
      <c r="L15" s="2124"/>
      <c r="M15" s="2116"/>
      <c r="N15" s="2116"/>
      <c r="O15" s="2123"/>
      <c r="P15" s="3418" t="s">
        <v>540</v>
      </c>
      <c r="Q15" s="1555" t="str">
        <f t="shared" si="6"/>
        <v>居住社区成熟度</v>
      </c>
      <c r="R15" s="1556" t="s">
        <v>11</v>
      </c>
      <c r="S15" s="1557">
        <f t="shared" si="0"/>
        <v>100</v>
      </c>
      <c r="T15" s="1556" t="s">
        <v>11</v>
      </c>
      <c r="U15" s="1557">
        <f t="shared" si="1"/>
        <v>100</v>
      </c>
      <c r="V15" s="1556" t="s">
        <v>11</v>
      </c>
      <c r="W15" s="1557">
        <f t="shared" si="2"/>
        <v>97</v>
      </c>
      <c r="X15" s="1550"/>
      <c r="Y15" s="3418" t="s">
        <v>540</v>
      </c>
      <c r="Z15" s="1558" t="str">
        <f t="shared" si="7"/>
        <v>居住社区成熟度</v>
      </c>
      <c r="AA15" s="1559">
        <f t="shared" si="3"/>
        <v>1</v>
      </c>
      <c r="AB15" s="1559">
        <f t="shared" si="4"/>
        <v>1</v>
      </c>
      <c r="AC15" s="1559">
        <f t="shared" si="5"/>
        <v>1.0309278350515463</v>
      </c>
    </row>
    <row r="16" spans="1:29" ht="15">
      <c r="A16" s="530"/>
      <c r="B16" s="867"/>
      <c r="C16" s="574" t="s">
        <v>3009</v>
      </c>
      <c r="D16" s="553"/>
      <c r="E16" s="554" t="s">
        <v>3009</v>
      </c>
      <c r="F16" s="555"/>
      <c r="G16" s="554" t="s">
        <v>3009</v>
      </c>
      <c r="H16" s="557"/>
      <c r="I16" s="554" t="s">
        <v>3008</v>
      </c>
      <c r="J16" s="553"/>
      <c r="K16" s="868"/>
      <c r="L16" s="2124"/>
      <c r="M16" s="2116"/>
      <c r="N16" s="2116"/>
      <c r="O16" s="2123"/>
      <c r="P16" s="3419"/>
      <c r="Q16" s="1555"/>
      <c r="R16" s="1556"/>
      <c r="S16" s="1557"/>
      <c r="T16" s="1556"/>
      <c r="U16" s="1557"/>
      <c r="V16" s="1556"/>
      <c r="W16" s="1557"/>
      <c r="X16" s="1550"/>
      <c r="Y16" s="3419"/>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0"/>
      <c r="H17" s="563">
        <f>SUMIF(78:78,G18,79:79)-SUMIF(78:78,C18,79:79)+100</f>
        <v>100</v>
      </c>
      <c r="I17" s="560"/>
      <c r="J17" s="563">
        <f>SUMIF(78:78,I18,79:79)-SUMIF(78:78,C18,79:79)+100</f>
        <v>100</v>
      </c>
      <c r="K17" s="866">
        <v>3</v>
      </c>
      <c r="L17" s="2124"/>
      <c r="M17" s="2116"/>
      <c r="N17" s="2116"/>
      <c r="O17" s="2123"/>
      <c r="P17" s="3419"/>
      <c r="Q17" s="1555" t="str">
        <f>B17</f>
        <v>交通便捷度</v>
      </c>
      <c r="R17" s="1556" t="s">
        <v>11</v>
      </c>
      <c r="S17" s="1557">
        <f>F17</f>
        <v>100</v>
      </c>
      <c r="T17" s="1556" t="s">
        <v>11</v>
      </c>
      <c r="U17" s="1557">
        <f>H17</f>
        <v>100</v>
      </c>
      <c r="V17" s="1556" t="s">
        <v>11</v>
      </c>
      <c r="W17" s="1557">
        <f>J17</f>
        <v>100</v>
      </c>
      <c r="X17" s="1550"/>
      <c r="Y17" s="3419"/>
      <c r="Z17" s="1558" t="str">
        <f>Q17</f>
        <v>交通便捷度</v>
      </c>
      <c r="AA17" s="1559">
        <f t="shared" si="3"/>
        <v>1</v>
      </c>
      <c r="AB17" s="1559">
        <f t="shared" si="4"/>
        <v>1</v>
      </c>
      <c r="AC17" s="1559">
        <f t="shared" si="5"/>
        <v>1</v>
      </c>
    </row>
    <row r="18" spans="1:29" ht="15">
      <c r="A18" s="530"/>
      <c r="B18" s="593"/>
      <c r="C18" s="871" t="s">
        <v>3008</v>
      </c>
      <c r="D18" s="557"/>
      <c r="E18" s="566" t="s">
        <v>3008</v>
      </c>
      <c r="F18" s="561"/>
      <c r="G18" s="566" t="s">
        <v>3008</v>
      </c>
      <c r="H18" s="553"/>
      <c r="I18" s="566" t="s">
        <v>3008</v>
      </c>
      <c r="J18" s="553"/>
      <c r="K18" s="868"/>
      <c r="L18" s="2124"/>
      <c r="M18" s="2116"/>
      <c r="N18" s="2116"/>
      <c r="O18" s="2123"/>
      <c r="P18" s="3419"/>
      <c r="Q18" s="1555"/>
      <c r="R18" s="1556"/>
      <c r="S18" s="1557"/>
      <c r="T18" s="1556"/>
      <c r="U18" s="1557"/>
      <c r="V18" s="1556"/>
      <c r="W18" s="1557"/>
      <c r="X18" s="1550"/>
      <c r="Y18" s="3419"/>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68"/>
      <c r="H19" s="557">
        <f>SUMIF(80:80,G20,81:81)-SUMIF(80:80,C20,81:81)+100</f>
        <v>100</v>
      </c>
      <c r="I19" s="568"/>
      <c r="J19" s="557">
        <f>SUMIF(80:80,I20,81:81)-SUMIF(80:80,C20,81:81)+100</f>
        <v>97</v>
      </c>
      <c r="K19" s="866">
        <v>3</v>
      </c>
      <c r="L19" s="2124"/>
      <c r="M19" s="2116"/>
      <c r="N19" s="2116"/>
      <c r="O19" s="2123"/>
      <c r="P19" s="3419"/>
      <c r="Q19" s="1555" t="str">
        <f>B19</f>
        <v>公共配套设施</v>
      </c>
      <c r="R19" s="1556" t="s">
        <v>11</v>
      </c>
      <c r="S19" s="1557">
        <f>F19</f>
        <v>100</v>
      </c>
      <c r="T19" s="1556" t="s">
        <v>11</v>
      </c>
      <c r="U19" s="1557">
        <f>H19</f>
        <v>100</v>
      </c>
      <c r="V19" s="1556" t="s">
        <v>11</v>
      </c>
      <c r="W19" s="1557">
        <f>J19</f>
        <v>97</v>
      </c>
      <c r="X19" s="1550"/>
      <c r="Y19" s="3419"/>
      <c r="Z19" s="1558" t="str">
        <f>Q19</f>
        <v>公共配套设施</v>
      </c>
      <c r="AA19" s="1559">
        <f t="shared" si="3"/>
        <v>1</v>
      </c>
      <c r="AB19" s="1559">
        <f t="shared" si="4"/>
        <v>1</v>
      </c>
      <c r="AC19" s="1559">
        <f t="shared" si="5"/>
        <v>1.0309278350515463</v>
      </c>
    </row>
    <row r="20" spans="1:29" ht="15">
      <c r="A20" s="530"/>
      <c r="B20" s="593"/>
      <c r="C20" s="574" t="s">
        <v>3009</v>
      </c>
      <c r="D20" s="553"/>
      <c r="E20" s="554" t="s">
        <v>3009</v>
      </c>
      <c r="F20" s="555"/>
      <c r="G20" s="554" t="s">
        <v>3009</v>
      </c>
      <c r="H20" s="553"/>
      <c r="I20" s="554" t="s">
        <v>3008</v>
      </c>
      <c r="J20" s="553"/>
      <c r="K20" s="868"/>
      <c r="L20" s="2124"/>
      <c r="M20" s="2116"/>
      <c r="N20" s="2116"/>
      <c r="O20" s="2123"/>
      <c r="P20" s="3419"/>
      <c r="Q20" s="1555"/>
      <c r="R20" s="1556"/>
      <c r="S20" s="1557"/>
      <c r="T20" s="1556"/>
      <c r="U20" s="1557"/>
      <c r="V20" s="1556"/>
      <c r="W20" s="1557"/>
      <c r="X20" s="1550"/>
      <c r="Y20" s="3419"/>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68"/>
      <c r="H21" s="563">
        <f>SUMIF(82:82,G22,83:83)-SUMIF(82:82,C22,83:83)+100</f>
        <v>100</v>
      </c>
      <c r="I21" s="568"/>
      <c r="J21" s="563">
        <f>SUMIF(82:82,I22,83:83)-SUMIF(82:82,C22,83:83)+100</f>
        <v>100</v>
      </c>
      <c r="K21" s="866">
        <v>1</v>
      </c>
      <c r="L21" s="2124"/>
      <c r="M21" s="2116"/>
      <c r="N21" s="2116"/>
      <c r="O21" s="2123"/>
      <c r="P21" s="3419"/>
      <c r="Q21" s="2540" t="str">
        <f>B21</f>
        <v>基础设施水平</v>
      </c>
      <c r="R21" s="1556" t="s">
        <v>11</v>
      </c>
      <c r="S21" s="1557">
        <f>F21</f>
        <v>100</v>
      </c>
      <c r="T21" s="1556" t="s">
        <v>11</v>
      </c>
      <c r="U21" s="1557">
        <f>H21</f>
        <v>100</v>
      </c>
      <c r="V21" s="1556" t="s">
        <v>11</v>
      </c>
      <c r="W21" s="1557">
        <f>J21</f>
        <v>100</v>
      </c>
      <c r="X21" s="2542"/>
      <c r="Y21" s="3419"/>
      <c r="Z21" s="2541" t="str">
        <f>Q21</f>
        <v>基础设施水平</v>
      </c>
      <c r="AA21" s="1559">
        <f t="shared" ref="AA21" si="8">D21/F21</f>
        <v>1</v>
      </c>
      <c r="AB21" s="1559">
        <f t="shared" ref="AB21" si="9">D21/H21</f>
        <v>1</v>
      </c>
      <c r="AC21" s="1559">
        <f t="shared" ref="AC21" si="10">D21/J21</f>
        <v>1</v>
      </c>
    </row>
    <row r="22" spans="1:29" ht="15">
      <c r="A22" s="530"/>
      <c r="B22" s="920"/>
      <c r="C22" s="871" t="s">
        <v>3010</v>
      </c>
      <c r="D22" s="553"/>
      <c r="E22" s="574" t="s">
        <v>3010</v>
      </c>
      <c r="F22" s="555"/>
      <c r="G22" s="552" t="s">
        <v>3010</v>
      </c>
      <c r="H22" s="553"/>
      <c r="I22" s="552" t="s">
        <v>3010</v>
      </c>
      <c r="J22" s="553"/>
      <c r="K22" s="2560"/>
      <c r="L22" s="2124"/>
      <c r="M22" s="2116"/>
      <c r="N22" s="2116"/>
      <c r="O22" s="2123"/>
      <c r="P22" s="3419"/>
      <c r="Q22" s="2540"/>
      <c r="R22" s="1556"/>
      <c r="S22" s="1557"/>
      <c r="T22" s="1556"/>
      <c r="U22" s="1557"/>
      <c r="V22" s="1556"/>
      <c r="W22" s="1557"/>
      <c r="X22" s="2542"/>
      <c r="Y22" s="3419"/>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0"/>
      <c r="H23" s="557">
        <f>SUMIF(84:84,G24,85:85)-SUMIF(84:84,C24,85:85)+100</f>
        <v>100</v>
      </c>
      <c r="I23" s="560"/>
      <c r="J23" s="557">
        <f>SUMIF(84:84,I24,85:85)-SUMIF(84:84,C24,85:85)+100</f>
        <v>100</v>
      </c>
      <c r="K23" s="866">
        <v>3</v>
      </c>
      <c r="L23" s="2124"/>
      <c r="M23" s="2116"/>
      <c r="N23" s="2116"/>
      <c r="O23" s="2123"/>
      <c r="P23" s="3419"/>
      <c r="Q23" s="1555" t="str">
        <f>B23</f>
        <v>自然及人文环境</v>
      </c>
      <c r="R23" s="1556" t="s">
        <v>11</v>
      </c>
      <c r="S23" s="1557">
        <f>F23</f>
        <v>100</v>
      </c>
      <c r="T23" s="1556" t="s">
        <v>11</v>
      </c>
      <c r="U23" s="1557">
        <f>H23</f>
        <v>100</v>
      </c>
      <c r="V23" s="1556" t="s">
        <v>11</v>
      </c>
      <c r="W23" s="1557">
        <f>J23</f>
        <v>100</v>
      </c>
      <c r="X23" s="1550"/>
      <c r="Y23" s="3419"/>
      <c r="Z23" s="1558" t="str">
        <f>Q23</f>
        <v>自然及人文环境</v>
      </c>
      <c r="AA23" s="1559">
        <f t="shared" si="3"/>
        <v>1</v>
      </c>
      <c r="AB23" s="1559">
        <f t="shared" si="4"/>
        <v>1</v>
      </c>
      <c r="AC23" s="1559">
        <f t="shared" si="5"/>
        <v>1</v>
      </c>
    </row>
    <row r="24" spans="1:29" ht="15.6" thickBot="1">
      <c r="A24" s="530"/>
      <c r="B24" s="593"/>
      <c r="C24" s="574" t="s">
        <v>3008</v>
      </c>
      <c r="D24" s="553"/>
      <c r="E24" s="554" t="s">
        <v>3008</v>
      </c>
      <c r="F24" s="555"/>
      <c r="G24" s="554" t="s">
        <v>3008</v>
      </c>
      <c r="H24" s="553"/>
      <c r="I24" s="554" t="s">
        <v>3008</v>
      </c>
      <c r="J24" s="553"/>
      <c r="K24" s="868"/>
      <c r="L24" s="2124"/>
      <c r="M24" s="2116"/>
      <c r="N24" s="2116"/>
      <c r="O24" s="2123"/>
      <c r="P24" s="3419"/>
      <c r="Q24" s="1555"/>
      <c r="R24" s="1556"/>
      <c r="S24" s="1557"/>
      <c r="T24" s="1556"/>
      <c r="U24" s="1557"/>
      <c r="V24" s="1556"/>
      <c r="W24" s="1557"/>
      <c r="X24" s="1550"/>
      <c r="Y24" s="3419"/>
      <c r="Z24" s="1558"/>
      <c r="AA24" s="1559">
        <v>1</v>
      </c>
      <c r="AB24" s="1559">
        <v>1</v>
      </c>
      <c r="AC24" s="1559">
        <v>1</v>
      </c>
    </row>
    <row r="25" spans="1:29" ht="15" hidden="1">
      <c r="A25" s="530"/>
      <c r="B25" s="1877" t="s">
        <v>2253</v>
      </c>
      <c r="C25" s="572"/>
      <c r="D25" s="538">
        <v>100</v>
      </c>
      <c r="E25" s="872"/>
      <c r="F25" s="573">
        <f>SUMIF(86:86,E25,87:87)-SUMIF(86:86,C25,87:87)+100</f>
        <v>100</v>
      </c>
      <c r="G25" s="872"/>
      <c r="H25" s="538">
        <f>SUMIF(86:86,G25,87:87)-SUMIF(86:86,C25,87:87)+100</f>
        <v>100</v>
      </c>
      <c r="I25" s="872"/>
      <c r="J25" s="538">
        <f>SUMIF(86:86,I25,87:87)-SUMIF(86:86,C25,87:87)+100</f>
        <v>100</v>
      </c>
      <c r="K25" s="862"/>
      <c r="L25" s="2124"/>
      <c r="M25" s="2116"/>
      <c r="N25" s="2116"/>
      <c r="O25" s="2123"/>
      <c r="P25" s="3419"/>
      <c r="Q25" s="1555" t="str">
        <f t="shared" ref="Q25:Q46" si="11">B25</f>
        <v>楼层-1</v>
      </c>
      <c r="R25" s="1556" t="s">
        <v>11</v>
      </c>
      <c r="S25" s="1557">
        <f>F25</f>
        <v>100</v>
      </c>
      <c r="T25" s="1556" t="s">
        <v>11</v>
      </c>
      <c r="U25" s="1557">
        <f>H25</f>
        <v>100</v>
      </c>
      <c r="V25" s="1556" t="s">
        <v>11</v>
      </c>
      <c r="W25" s="1557">
        <f>J25</f>
        <v>100</v>
      </c>
      <c r="X25" s="1550"/>
      <c r="Y25" s="3419"/>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872"/>
      <c r="H26" s="538">
        <f>SUMIF(88:88,G26,89:89)-SUMIF(88:88,C26,89:89)+100</f>
        <v>100</v>
      </c>
      <c r="I26" s="872"/>
      <c r="J26" s="538">
        <f>SUMIF(88:88,I26,89:89)-SUMIF(88:88,C26,89:89)+100</f>
        <v>100</v>
      </c>
      <c r="K26" s="862"/>
      <c r="L26" s="2124"/>
      <c r="M26" s="2116"/>
      <c r="N26" s="2116"/>
      <c r="O26" s="2123"/>
      <c r="P26" s="3419"/>
      <c r="Q26" s="1555" t="str">
        <f t="shared" si="11"/>
        <v>朝向</v>
      </c>
      <c r="R26" s="1556" t="s">
        <v>11</v>
      </c>
      <c r="S26" s="1557">
        <f>F26</f>
        <v>100</v>
      </c>
      <c r="T26" s="1556" t="s">
        <v>11</v>
      </c>
      <c r="U26" s="1557">
        <f>H26</f>
        <v>100</v>
      </c>
      <c r="V26" s="1556" t="s">
        <v>11</v>
      </c>
      <c r="W26" s="1557">
        <f>J26</f>
        <v>100</v>
      </c>
      <c r="X26" s="1550"/>
      <c r="Y26" s="3419"/>
      <c r="Z26" s="1558" t="str">
        <f>Q26</f>
        <v>朝向</v>
      </c>
      <c r="AA26" s="1559">
        <f t="shared" si="3"/>
        <v>1</v>
      </c>
      <c r="AB26" s="1559">
        <f t="shared" si="4"/>
        <v>1</v>
      </c>
      <c r="AC26" s="1559">
        <f t="shared" si="5"/>
        <v>1</v>
      </c>
    </row>
    <row r="27" spans="1:29" s="1214" customFormat="1" ht="15" hidden="1">
      <c r="A27" s="534"/>
      <c r="B27" s="535"/>
      <c r="C27" s="526"/>
      <c r="D27" s="873">
        <v>100</v>
      </c>
      <c r="E27" s="528"/>
      <c r="F27" s="874">
        <f>SUMIF(90:90,E27,91:91)-SUMIF(90:90,C27,91:91)+100</f>
        <v>100</v>
      </c>
      <c r="G27" s="528"/>
      <c r="H27" s="873">
        <f>SUMIF(90:90,G27,91:91)-SUMIF(90:90,C27,91:91)+100</f>
        <v>100</v>
      </c>
      <c r="I27" s="528"/>
      <c r="J27" s="873">
        <f>SUMIF(90:90,I27,91:91)-SUMIF(90:90,C27,91:91)+100</f>
        <v>100</v>
      </c>
      <c r="K27" s="863"/>
      <c r="L27" s="2117"/>
      <c r="M27" s="2118"/>
      <c r="N27" s="2118"/>
      <c r="O27" s="2119"/>
      <c r="P27" s="3419"/>
      <c r="Q27" s="1145">
        <f t="shared" si="11"/>
        <v>0</v>
      </c>
      <c r="R27" s="1551" t="s">
        <v>11</v>
      </c>
      <c r="S27" s="1552">
        <f>F27</f>
        <v>100</v>
      </c>
      <c r="T27" s="1551" t="s">
        <v>11</v>
      </c>
      <c r="U27" s="1552">
        <f>H27</f>
        <v>100</v>
      </c>
      <c r="V27" s="1551" t="s">
        <v>11</v>
      </c>
      <c r="W27" s="1552">
        <f>J27</f>
        <v>100</v>
      </c>
      <c r="X27" s="1553"/>
      <c r="Y27" s="3419"/>
      <c r="Z27" s="1144">
        <f>Q27</f>
        <v>0</v>
      </c>
      <c r="AA27" s="1559">
        <f>D27/F27</f>
        <v>1</v>
      </c>
      <c r="AB27" s="1559">
        <f>D27/H27</f>
        <v>1</v>
      </c>
      <c r="AC27" s="155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9"/>
      <c r="Q28" s="1555">
        <f t="shared" si="11"/>
        <v>0</v>
      </c>
      <c r="R28" s="1556" t="s">
        <v>11</v>
      </c>
      <c r="S28" s="1557">
        <f t="shared" ref="S28:S46" si="12">F28</f>
        <v>100</v>
      </c>
      <c r="T28" s="1556" t="s">
        <v>11</v>
      </c>
      <c r="U28" s="1557">
        <f t="shared" ref="U28:U46" si="13">H28</f>
        <v>100</v>
      </c>
      <c r="V28" s="1556" t="s">
        <v>11</v>
      </c>
      <c r="W28" s="1557">
        <f t="shared" ref="W28:W46" si="14">J28</f>
        <v>100</v>
      </c>
      <c r="X28" s="1550"/>
      <c r="Y28" s="3419"/>
      <c r="Z28" s="1558">
        <f t="shared" ref="Z28:Z46" si="15">Q28</f>
        <v>0</v>
      </c>
      <c r="AA28" s="1559">
        <f t="shared" si="3"/>
        <v>1</v>
      </c>
      <c r="AB28" s="1559">
        <f t="shared" si="4"/>
        <v>1</v>
      </c>
      <c r="AC28" s="155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9"/>
      <c r="Q29" s="1555">
        <f t="shared" si="11"/>
        <v>0</v>
      </c>
      <c r="R29" s="1556" t="s">
        <v>11</v>
      </c>
      <c r="S29" s="1557">
        <f t="shared" si="12"/>
        <v>100</v>
      </c>
      <c r="T29" s="1556" t="s">
        <v>11</v>
      </c>
      <c r="U29" s="1557">
        <f t="shared" si="13"/>
        <v>100</v>
      </c>
      <c r="V29" s="1556" t="s">
        <v>11</v>
      </c>
      <c r="W29" s="1557">
        <f t="shared" si="14"/>
        <v>100</v>
      </c>
      <c r="X29" s="1550"/>
      <c r="Y29" s="3419"/>
      <c r="Z29" s="1558">
        <f t="shared" si="15"/>
        <v>0</v>
      </c>
      <c r="AA29" s="1559">
        <f t="shared" si="3"/>
        <v>1</v>
      </c>
      <c r="AB29" s="1559">
        <f t="shared" si="4"/>
        <v>1</v>
      </c>
      <c r="AC29" s="155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9"/>
      <c r="Q30" s="1555">
        <f t="shared" si="11"/>
        <v>0</v>
      </c>
      <c r="R30" s="1556" t="s">
        <v>11</v>
      </c>
      <c r="S30" s="1557">
        <f t="shared" si="12"/>
        <v>100</v>
      </c>
      <c r="T30" s="1556" t="s">
        <v>11</v>
      </c>
      <c r="U30" s="1557">
        <f t="shared" si="13"/>
        <v>100</v>
      </c>
      <c r="V30" s="1556" t="s">
        <v>11</v>
      </c>
      <c r="W30" s="1557">
        <f t="shared" si="14"/>
        <v>100</v>
      </c>
      <c r="X30" s="1550"/>
      <c r="Y30" s="3419"/>
      <c r="Z30" s="1558">
        <f t="shared" si="15"/>
        <v>0</v>
      </c>
      <c r="AA30" s="1559">
        <f t="shared" si="3"/>
        <v>1</v>
      </c>
      <c r="AB30" s="1559">
        <f t="shared" si="4"/>
        <v>1</v>
      </c>
      <c r="AC30" s="1559">
        <f t="shared" si="5"/>
        <v>1</v>
      </c>
    </row>
    <row r="31" spans="1:29" ht="15.6"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9"/>
      <c r="Q31" s="1555">
        <f t="shared" si="11"/>
        <v>0</v>
      </c>
      <c r="R31" s="1556" t="s">
        <v>11</v>
      </c>
      <c r="S31" s="1557">
        <f t="shared" si="12"/>
        <v>100</v>
      </c>
      <c r="T31" s="1556" t="s">
        <v>11</v>
      </c>
      <c r="U31" s="1557">
        <f t="shared" si="13"/>
        <v>100</v>
      </c>
      <c r="V31" s="1556" t="s">
        <v>11</v>
      </c>
      <c r="W31" s="1557">
        <f t="shared" si="14"/>
        <v>100</v>
      </c>
      <c r="X31" s="1550"/>
      <c r="Y31" s="3419"/>
      <c r="Z31" s="1558">
        <f t="shared" si="15"/>
        <v>0</v>
      </c>
      <c r="AA31" s="1559">
        <f t="shared" si="3"/>
        <v>1</v>
      </c>
      <c r="AB31" s="1559">
        <f t="shared" si="4"/>
        <v>1</v>
      </c>
      <c r="AC31" s="1559">
        <f t="shared" si="5"/>
        <v>1</v>
      </c>
    </row>
    <row r="32" spans="1:29" ht="15">
      <c r="A32" s="2859" t="s">
        <v>2752</v>
      </c>
      <c r="B32" s="172" t="s">
        <v>724</v>
      </c>
      <c r="C32" s="876" t="s">
        <v>3086</v>
      </c>
      <c r="D32" s="595">
        <v>100</v>
      </c>
      <c r="E32" s="877" t="s">
        <v>3086</v>
      </c>
      <c r="F32" s="573">
        <f>SUMIF(100:100,E32,101:101)-SUMIF(100:100,C32,101:101)+100</f>
        <v>100</v>
      </c>
      <c r="G32" s="876" t="s">
        <v>3086</v>
      </c>
      <c r="H32" s="595">
        <f>SUMIF(100:100,G32,101:101)-SUMIF(100:100,C32,101:101)+100</f>
        <v>100</v>
      </c>
      <c r="I32" s="876" t="s">
        <v>3086</v>
      </c>
      <c r="J32" s="538">
        <f>SUMIF(100:100,I32,101:101)-SUMIF(100:100,C32,101:101)+100</f>
        <v>100</v>
      </c>
      <c r="K32" s="862">
        <v>10</v>
      </c>
      <c r="L32" s="2124"/>
      <c r="M32" s="2116"/>
      <c r="N32" s="2116"/>
      <c r="O32" s="2123"/>
      <c r="P32" s="3420" t="s">
        <v>550</v>
      </c>
      <c r="Q32" s="1555" t="str">
        <f t="shared" si="11"/>
        <v>建筑类型</v>
      </c>
      <c r="R32" s="1556" t="s">
        <v>11</v>
      </c>
      <c r="S32" s="1557">
        <f t="shared" si="12"/>
        <v>100</v>
      </c>
      <c r="T32" s="1556" t="s">
        <v>11</v>
      </c>
      <c r="U32" s="1557">
        <f t="shared" si="13"/>
        <v>100</v>
      </c>
      <c r="V32" s="1556" t="s">
        <v>11</v>
      </c>
      <c r="W32" s="1557">
        <f t="shared" si="14"/>
        <v>100</v>
      </c>
      <c r="X32" s="1550"/>
      <c r="Y32" s="3421" t="s">
        <v>550</v>
      </c>
      <c r="Z32" s="1558" t="str">
        <f t="shared" si="15"/>
        <v>建筑类型</v>
      </c>
      <c r="AA32" s="1559">
        <f t="shared" si="3"/>
        <v>1</v>
      </c>
      <c r="AB32" s="1559">
        <f t="shared" si="4"/>
        <v>1</v>
      </c>
      <c r="AC32" s="1559">
        <f t="shared" si="5"/>
        <v>1</v>
      </c>
    </row>
    <row r="33" spans="1:29" s="1333" customFormat="1" ht="15">
      <c r="A33" s="601"/>
      <c r="B33" s="525" t="s">
        <v>725</v>
      </c>
      <c r="C33" s="878">
        <f>'数据-汇总表'!E3</f>
        <v>109310.18</v>
      </c>
      <c r="D33" s="253">
        <v>100</v>
      </c>
      <c r="E33" s="532">
        <v>210000</v>
      </c>
      <c r="F33" s="861">
        <f>LOOKUP(E33,103:103,104:104)-LOOKUP(C33,103:103,104:104)+100</f>
        <v>101</v>
      </c>
      <c r="G33" s="531">
        <v>248136</v>
      </c>
      <c r="H33" s="253">
        <f>LOOKUP(G33,103:103,104:104)-LOOKUP(C33,103:103,104:104)+100</f>
        <v>101</v>
      </c>
      <c r="I33" s="531">
        <v>51375</v>
      </c>
      <c r="J33" s="253">
        <f>LOOKUP(I33,103:103,104:104)-LOOKUP(C33,103:103,104:104)+100</f>
        <v>99</v>
      </c>
      <c r="K33" s="863"/>
      <c r="L33" s="2122"/>
      <c r="M33" s="2153"/>
      <c r="N33" s="2153"/>
      <c r="O33" s="2125"/>
      <c r="P33" s="3421"/>
      <c r="Q33" s="1587" t="str">
        <f t="shared" si="11"/>
        <v>项目建筑规模</v>
      </c>
      <c r="R33" s="1560" t="s">
        <v>11</v>
      </c>
      <c r="S33" s="1561">
        <f t="shared" si="12"/>
        <v>101</v>
      </c>
      <c r="T33" s="1560" t="s">
        <v>11</v>
      </c>
      <c r="U33" s="1561">
        <f t="shared" si="13"/>
        <v>101</v>
      </c>
      <c r="V33" s="1560" t="s">
        <v>11</v>
      </c>
      <c r="W33" s="1561">
        <f t="shared" si="14"/>
        <v>99</v>
      </c>
      <c r="X33" s="1562"/>
      <c r="Y33" s="3421"/>
      <c r="Z33" s="1563" t="str">
        <f t="shared" si="15"/>
        <v>项目建筑规模</v>
      </c>
      <c r="AA33" s="1559">
        <f t="shared" si="3"/>
        <v>0.99009900990099009</v>
      </c>
      <c r="AB33" s="1559">
        <f t="shared" si="4"/>
        <v>0.99009900990099009</v>
      </c>
      <c r="AC33" s="1559">
        <f t="shared" si="5"/>
        <v>1.0101010101010102</v>
      </c>
    </row>
    <row r="34" spans="1:29" ht="15">
      <c r="A34" s="592"/>
      <c r="B34" s="525" t="s">
        <v>726</v>
      </c>
      <c r="C34" s="879" t="s">
        <v>3038</v>
      </c>
      <c r="D34" s="538">
        <v>100</v>
      </c>
      <c r="E34" s="880" t="s">
        <v>3038</v>
      </c>
      <c r="F34" s="573">
        <f>SUMIF(105:105,E34,106:106)-SUMIF(105:105,C34,106:106)+100</f>
        <v>100</v>
      </c>
      <c r="G34" s="879" t="s">
        <v>3038</v>
      </c>
      <c r="H34" s="538">
        <f>SUMIF(105:105,G34,106:106)-SUMIF(105:105,C34,106:106)+100</f>
        <v>100</v>
      </c>
      <c r="I34" s="879" t="s">
        <v>3038</v>
      </c>
      <c r="J34" s="538">
        <f>SUMIF(105:105,I34,106:106)-SUMIF(105:105,C34,106:106)+100</f>
        <v>100</v>
      </c>
      <c r="K34" s="862">
        <v>2</v>
      </c>
      <c r="L34" s="2124"/>
      <c r="M34" s="2116"/>
      <c r="N34" s="2116"/>
      <c r="O34" s="2123"/>
      <c r="P34" s="3421"/>
      <c r="Q34" s="1555" t="str">
        <f t="shared" si="11"/>
        <v>建筑结构</v>
      </c>
      <c r="R34" s="1556" t="s">
        <v>11</v>
      </c>
      <c r="S34" s="1557">
        <f t="shared" si="12"/>
        <v>100</v>
      </c>
      <c r="T34" s="1556" t="s">
        <v>11</v>
      </c>
      <c r="U34" s="1557">
        <f t="shared" si="13"/>
        <v>100</v>
      </c>
      <c r="V34" s="1556" t="s">
        <v>11</v>
      </c>
      <c r="W34" s="1557">
        <f t="shared" si="14"/>
        <v>100</v>
      </c>
      <c r="X34" s="1550"/>
      <c r="Y34" s="3421"/>
      <c r="Z34" s="1558" t="str">
        <f t="shared" si="15"/>
        <v>建筑结构</v>
      </c>
      <c r="AA34" s="1559">
        <f t="shared" si="3"/>
        <v>1</v>
      </c>
      <c r="AB34" s="1559">
        <f t="shared" si="4"/>
        <v>1</v>
      </c>
      <c r="AC34" s="1559">
        <f t="shared" si="5"/>
        <v>1</v>
      </c>
    </row>
    <row r="35" spans="1:29" ht="15">
      <c r="A35" s="592"/>
      <c r="B35" s="525" t="s">
        <v>727</v>
      </c>
      <c r="C35" s="597" t="s">
        <v>3087</v>
      </c>
      <c r="D35" s="538">
        <v>100</v>
      </c>
      <c r="E35" s="872" t="s">
        <v>3087</v>
      </c>
      <c r="F35" s="573">
        <f>SUMIF(107:107,E35,108:108)-SUMIF(107:107,C35,108:108)+100</f>
        <v>100</v>
      </c>
      <c r="G35" s="597" t="s">
        <v>3087</v>
      </c>
      <c r="H35" s="538">
        <f>SUMIF(107:107,G35,108:108)-SUMIF(107:107,C35,108:108)+100</f>
        <v>100</v>
      </c>
      <c r="I35" s="597" t="s">
        <v>3087</v>
      </c>
      <c r="J35" s="538">
        <f>SUMIF(107:107,I35,108:108)-SUMIF(107:107,C35,108:108)+100</f>
        <v>100</v>
      </c>
      <c r="K35" s="862">
        <v>2</v>
      </c>
      <c r="L35" s="2124"/>
      <c r="M35" s="2116"/>
      <c r="N35" s="2116"/>
      <c r="O35" s="2123"/>
      <c r="P35" s="3421"/>
      <c r="Q35" s="1555" t="str">
        <f t="shared" si="11"/>
        <v>建筑品质</v>
      </c>
      <c r="R35" s="1556" t="s">
        <v>11</v>
      </c>
      <c r="S35" s="1557">
        <f t="shared" si="12"/>
        <v>100</v>
      </c>
      <c r="T35" s="1556" t="s">
        <v>11</v>
      </c>
      <c r="U35" s="1557">
        <f t="shared" si="13"/>
        <v>100</v>
      </c>
      <c r="V35" s="1556" t="s">
        <v>11</v>
      </c>
      <c r="W35" s="1557">
        <f t="shared" si="14"/>
        <v>100</v>
      </c>
      <c r="X35" s="1550"/>
      <c r="Y35" s="3421"/>
      <c r="Z35" s="1558" t="str">
        <f t="shared" si="15"/>
        <v>建筑品质</v>
      </c>
      <c r="AA35" s="1559">
        <f t="shared" si="3"/>
        <v>1</v>
      </c>
      <c r="AB35" s="1559">
        <f t="shared" si="4"/>
        <v>1</v>
      </c>
      <c r="AC35" s="1559">
        <f t="shared" si="5"/>
        <v>1</v>
      </c>
    </row>
    <row r="36" spans="1:29" ht="15">
      <c r="A36" s="592"/>
      <c r="B36" s="525" t="s">
        <v>728</v>
      </c>
      <c r="C36" s="597" t="s">
        <v>3088</v>
      </c>
      <c r="D36" s="538">
        <v>100</v>
      </c>
      <c r="E36" s="872" t="s">
        <v>3088</v>
      </c>
      <c r="F36" s="573">
        <f>SUMIF(109:109,E36,110:110)-SUMIF(109:109,C36,110:110)+100</f>
        <v>100</v>
      </c>
      <c r="G36" s="597" t="s">
        <v>3088</v>
      </c>
      <c r="H36" s="538">
        <f>SUMIF(109:109,G36,110:110)-SUMIF(109:109,C36,110:110)+100</f>
        <v>100</v>
      </c>
      <c r="I36" s="597" t="s">
        <v>3088</v>
      </c>
      <c r="J36" s="538">
        <f>SUMIF(109:109,I36,110:110)-SUMIF(109:109,C36,110:110)+100</f>
        <v>100</v>
      </c>
      <c r="K36" s="862">
        <v>1</v>
      </c>
      <c r="L36" s="2124"/>
      <c r="M36" s="2116"/>
      <c r="N36" s="2116"/>
      <c r="O36" s="2123"/>
      <c r="P36" s="3421"/>
      <c r="Q36" s="1555" t="str">
        <f t="shared" si="11"/>
        <v>公共部分装修</v>
      </c>
      <c r="R36" s="1556" t="s">
        <v>11</v>
      </c>
      <c r="S36" s="1557">
        <f t="shared" si="12"/>
        <v>100</v>
      </c>
      <c r="T36" s="1556" t="s">
        <v>11</v>
      </c>
      <c r="U36" s="1557">
        <f t="shared" si="13"/>
        <v>100</v>
      </c>
      <c r="V36" s="1556" t="s">
        <v>11</v>
      </c>
      <c r="W36" s="1557">
        <f t="shared" si="14"/>
        <v>100</v>
      </c>
      <c r="X36" s="1550"/>
      <c r="Y36" s="3421"/>
      <c r="Z36" s="1558" t="str">
        <f t="shared" si="15"/>
        <v>公共部分装修</v>
      </c>
      <c r="AA36" s="1559">
        <f t="shared" si="3"/>
        <v>1</v>
      </c>
      <c r="AB36" s="1559">
        <f t="shared" si="4"/>
        <v>1</v>
      </c>
      <c r="AC36" s="1559">
        <f t="shared" si="5"/>
        <v>1</v>
      </c>
    </row>
    <row r="37" spans="1:29" s="1214" customFormat="1" ht="15">
      <c r="A37" s="598"/>
      <c r="B37" s="525" t="s">
        <v>729</v>
      </c>
      <c r="C37" s="881">
        <v>1</v>
      </c>
      <c r="D37" s="253">
        <v>100</v>
      </c>
      <c r="E37" s="881">
        <v>0.95</v>
      </c>
      <c r="F37" s="861">
        <f>LOOKUP(E37,112:112,113:113)-LOOKUP(C37,112:112,113:113)+100</f>
        <v>100</v>
      </c>
      <c r="G37" s="883">
        <v>1</v>
      </c>
      <c r="H37" s="253">
        <f>LOOKUP(G37,112:112,113:113)-LOOKUP(C37,112:112,113:113)+100</f>
        <v>100</v>
      </c>
      <c r="I37" s="883">
        <v>0.95</v>
      </c>
      <c r="J37" s="253">
        <f>LOOKUP(I37,112:112,113:113)-LOOKUP(C37,112:112,113:113)+100</f>
        <v>100</v>
      </c>
      <c r="K37" s="862">
        <v>1</v>
      </c>
      <c r="L37" s="2117"/>
      <c r="M37" s="2118"/>
      <c r="N37" s="2118"/>
      <c r="O37" s="2119"/>
      <c r="P37" s="3421"/>
      <c r="Q37" s="1145" t="str">
        <f t="shared" si="11"/>
        <v>成新度</v>
      </c>
      <c r="R37" s="1551" t="s">
        <v>11</v>
      </c>
      <c r="S37" s="1552">
        <f t="shared" si="12"/>
        <v>100</v>
      </c>
      <c r="T37" s="1551" t="s">
        <v>11</v>
      </c>
      <c r="U37" s="1552">
        <f t="shared" si="13"/>
        <v>100</v>
      </c>
      <c r="V37" s="1551" t="s">
        <v>11</v>
      </c>
      <c r="W37" s="1552">
        <f t="shared" si="14"/>
        <v>100</v>
      </c>
      <c r="X37" s="1553"/>
      <c r="Y37" s="3421"/>
      <c r="Z37" s="1144" t="str">
        <f t="shared" si="15"/>
        <v>成新度</v>
      </c>
      <c r="AA37" s="1554">
        <f t="shared" si="3"/>
        <v>1</v>
      </c>
      <c r="AB37" s="1554">
        <f t="shared" si="4"/>
        <v>1</v>
      </c>
      <c r="AC37" s="1554">
        <f t="shared" si="5"/>
        <v>1</v>
      </c>
    </row>
    <row r="38" spans="1:29" ht="15">
      <c r="A38" s="592"/>
      <c r="B38" s="525" t="s">
        <v>730</v>
      </c>
      <c r="C38" s="597" t="s">
        <v>3089</v>
      </c>
      <c r="D38" s="538">
        <v>100</v>
      </c>
      <c r="E38" s="872" t="s">
        <v>3089</v>
      </c>
      <c r="F38" s="573">
        <f>SUMIF(114:114,E38,115:115)-SUMIF(114:114,C38,115:115)+100</f>
        <v>100</v>
      </c>
      <c r="G38" s="597" t="s">
        <v>3089</v>
      </c>
      <c r="H38" s="538">
        <f>SUMIF(114:114,G38,115:115)-SUMIF(114:114,C38,115:115)+100</f>
        <v>100</v>
      </c>
      <c r="I38" s="597" t="s">
        <v>3089</v>
      </c>
      <c r="J38" s="538">
        <f>SUMIF(114:114,I38,115:115)-SUMIF(114:114,C38,115:115)+100</f>
        <v>100</v>
      </c>
      <c r="K38" s="862">
        <v>1</v>
      </c>
      <c r="L38" s="2124"/>
      <c r="M38" s="2116"/>
      <c r="N38" s="2116"/>
      <c r="O38" s="2123"/>
      <c r="P38" s="3421" t="s">
        <v>550</v>
      </c>
      <c r="Q38" s="1555" t="str">
        <f t="shared" si="11"/>
        <v>物业管理</v>
      </c>
      <c r="R38" s="1556" t="s">
        <v>11</v>
      </c>
      <c r="S38" s="1557">
        <f t="shared" si="12"/>
        <v>100</v>
      </c>
      <c r="T38" s="1556" t="s">
        <v>11</v>
      </c>
      <c r="U38" s="1557">
        <f t="shared" si="13"/>
        <v>100</v>
      </c>
      <c r="V38" s="1556" t="s">
        <v>11</v>
      </c>
      <c r="W38" s="1557">
        <f t="shared" si="14"/>
        <v>100</v>
      </c>
      <c r="X38" s="1550"/>
      <c r="Y38" s="3421" t="s">
        <v>550</v>
      </c>
      <c r="Z38" s="1558" t="str">
        <f t="shared" si="15"/>
        <v>物业管理</v>
      </c>
      <c r="AA38" s="1559">
        <f t="shared" si="3"/>
        <v>1</v>
      </c>
      <c r="AB38" s="1559">
        <f t="shared" si="4"/>
        <v>1</v>
      </c>
      <c r="AC38" s="1559">
        <f t="shared" si="5"/>
        <v>1</v>
      </c>
    </row>
    <row r="39" spans="1:29" ht="15">
      <c r="A39" s="592"/>
      <c r="B39" s="1877" t="s">
        <v>2561</v>
      </c>
      <c r="C39" s="597" t="s">
        <v>3010</v>
      </c>
      <c r="D39" s="538">
        <v>100</v>
      </c>
      <c r="E39" s="872" t="s">
        <v>3010</v>
      </c>
      <c r="F39" s="573">
        <f>SUMIF(116:116,E39,117:117)-SUMIF(116:116,C39,117:117)+100</f>
        <v>100</v>
      </c>
      <c r="G39" s="597" t="s">
        <v>3010</v>
      </c>
      <c r="H39" s="538">
        <f>SUMIF(116:116,G39,117:117)-SUMIF(116:116,C39,117:117)+100</f>
        <v>100</v>
      </c>
      <c r="I39" s="597" t="s">
        <v>3010</v>
      </c>
      <c r="J39" s="538">
        <f>SUMIF(116:116,I39,117:117)-SUMIF(116:116,C39,117:117)+100</f>
        <v>100</v>
      </c>
      <c r="K39" s="862">
        <v>1</v>
      </c>
      <c r="L39" s="2124"/>
      <c r="M39" s="2116"/>
      <c r="N39" s="2116"/>
      <c r="O39" s="2123"/>
      <c r="P39" s="3421"/>
      <c r="Q39" s="1555" t="str">
        <f t="shared" si="11"/>
        <v>市政基础设施</v>
      </c>
      <c r="R39" s="1556" t="s">
        <v>11</v>
      </c>
      <c r="S39" s="1557">
        <f t="shared" si="12"/>
        <v>100</v>
      </c>
      <c r="T39" s="1556" t="s">
        <v>11</v>
      </c>
      <c r="U39" s="1557">
        <f t="shared" si="13"/>
        <v>100</v>
      </c>
      <c r="V39" s="1556" t="s">
        <v>11</v>
      </c>
      <c r="W39" s="1557">
        <f t="shared" si="14"/>
        <v>100</v>
      </c>
      <c r="X39" s="1550"/>
      <c r="Y39" s="3421"/>
      <c r="Z39" s="1558" t="str">
        <f t="shared" si="15"/>
        <v>市政基础设施</v>
      </c>
      <c r="AA39" s="1559">
        <f t="shared" si="3"/>
        <v>1</v>
      </c>
      <c r="AB39" s="1559">
        <f t="shared" si="4"/>
        <v>1</v>
      </c>
      <c r="AC39" s="1559">
        <f t="shared" si="5"/>
        <v>1</v>
      </c>
    </row>
    <row r="40" spans="1:29" ht="15">
      <c r="A40" s="592"/>
      <c r="B40" s="525" t="s">
        <v>731</v>
      </c>
      <c r="C40" s="3193" t="s">
        <v>3093</v>
      </c>
      <c r="D40" s="538">
        <v>100</v>
      </c>
      <c r="E40" s="3193" t="s">
        <v>3093</v>
      </c>
      <c r="F40" s="573">
        <f>SUMIF(118:118,E40,119:119)-SUMIF(118:118,C40,119:119)+100</f>
        <v>100</v>
      </c>
      <c r="G40" s="3193" t="s">
        <v>3093</v>
      </c>
      <c r="H40" s="538">
        <f>SUMIF(118:118,G40,119:119)-SUMIF(118:118,C40,119:119)+100</f>
        <v>100</v>
      </c>
      <c r="I40" s="3193" t="s">
        <v>3093</v>
      </c>
      <c r="J40" s="538">
        <f>SUMIF(118:118,I40,119:119)-SUMIF(118:118,C40,119:119)+100</f>
        <v>100</v>
      </c>
      <c r="K40" s="862">
        <v>5</v>
      </c>
      <c r="L40" s="2124"/>
      <c r="M40" s="2116"/>
      <c r="N40" s="2116"/>
      <c r="O40" s="2123"/>
      <c r="P40" s="3421"/>
      <c r="Q40" s="1555" t="str">
        <f t="shared" si="11"/>
        <v>房型</v>
      </c>
      <c r="R40" s="1556" t="s">
        <v>11</v>
      </c>
      <c r="S40" s="1557">
        <f t="shared" si="12"/>
        <v>100</v>
      </c>
      <c r="T40" s="1556" t="s">
        <v>11</v>
      </c>
      <c r="U40" s="1557">
        <f t="shared" si="13"/>
        <v>100</v>
      </c>
      <c r="V40" s="1556" t="s">
        <v>11</v>
      </c>
      <c r="W40" s="1557">
        <f t="shared" si="14"/>
        <v>100</v>
      </c>
      <c r="X40" s="1550"/>
      <c r="Y40" s="3421"/>
      <c r="Z40" s="1558" t="str">
        <f t="shared" si="15"/>
        <v>房型</v>
      </c>
      <c r="AA40" s="1559">
        <f t="shared" si="3"/>
        <v>1</v>
      </c>
      <c r="AB40" s="1559">
        <f t="shared" si="4"/>
        <v>1</v>
      </c>
      <c r="AC40" s="1559">
        <f t="shared" si="5"/>
        <v>1</v>
      </c>
    </row>
    <row r="41" spans="1:29" s="1333" customFormat="1" ht="28.8" hidden="1">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2"/>
      <c r="M41" s="2153"/>
      <c r="N41" s="2153"/>
      <c r="O41" s="2125"/>
      <c r="P41" s="3421"/>
      <c r="Q41" s="1587" t="str">
        <f t="shared" si="11"/>
        <v>单套/主力户型建筑面积</v>
      </c>
      <c r="R41" s="1560" t="s">
        <v>11</v>
      </c>
      <c r="S41" s="1561">
        <f t="shared" si="12"/>
        <v>100</v>
      </c>
      <c r="T41" s="1560" t="s">
        <v>11</v>
      </c>
      <c r="U41" s="1561">
        <f t="shared" si="13"/>
        <v>100</v>
      </c>
      <c r="V41" s="1560" t="s">
        <v>11</v>
      </c>
      <c r="W41" s="1561">
        <f t="shared" si="14"/>
        <v>100</v>
      </c>
      <c r="X41" s="1562"/>
      <c r="Y41" s="3421"/>
      <c r="Z41" s="1563" t="str">
        <f t="shared" si="15"/>
        <v>单套/主力户型建筑面积</v>
      </c>
      <c r="AA41" s="1559">
        <f t="shared" si="3"/>
        <v>1</v>
      </c>
      <c r="AB41" s="1559">
        <f t="shared" si="4"/>
        <v>1</v>
      </c>
      <c r="AC41" s="1559">
        <f t="shared" si="5"/>
        <v>1</v>
      </c>
    </row>
    <row r="42" spans="1:29" ht="15.6" thickBot="1">
      <c r="A42" s="592"/>
      <c r="B42" s="525" t="s">
        <v>733</v>
      </c>
      <c r="C42" s="597" t="s">
        <v>3088</v>
      </c>
      <c r="D42" s="538">
        <v>100</v>
      </c>
      <c r="E42" s="597" t="s">
        <v>3088</v>
      </c>
      <c r="F42" s="573">
        <f>SUMIF(122:122,E42,123:123)-SUMIF(122:122,C42,123:123)+100</f>
        <v>100</v>
      </c>
      <c r="G42" s="597" t="s">
        <v>3088</v>
      </c>
      <c r="H42" s="538">
        <f>SUMIF(122:122,G42,123:123)-SUMIF(122:122,C42,123:123)+100</f>
        <v>100</v>
      </c>
      <c r="I42" s="597" t="s">
        <v>3088</v>
      </c>
      <c r="J42" s="538">
        <f>SUMIF(122:122,I42,123:123)-SUMIF(122:122,C42,123:123)+100</f>
        <v>100</v>
      </c>
      <c r="K42" s="862">
        <v>2</v>
      </c>
      <c r="L42" s="2124"/>
      <c r="M42" s="2116"/>
      <c r="N42" s="2116"/>
      <c r="O42" s="2123"/>
      <c r="P42" s="3421"/>
      <c r="Q42" s="1555" t="str">
        <f t="shared" si="11"/>
        <v>内部装修</v>
      </c>
      <c r="R42" s="1556" t="s">
        <v>11</v>
      </c>
      <c r="S42" s="1557">
        <f t="shared" si="12"/>
        <v>100</v>
      </c>
      <c r="T42" s="1556" t="s">
        <v>11</v>
      </c>
      <c r="U42" s="1557">
        <f t="shared" si="13"/>
        <v>100</v>
      </c>
      <c r="V42" s="1556" t="s">
        <v>11</v>
      </c>
      <c r="W42" s="1557">
        <f t="shared" si="14"/>
        <v>100</v>
      </c>
      <c r="X42" s="1550"/>
      <c r="Y42" s="3421"/>
      <c r="Z42" s="1558" t="str">
        <f t="shared" si="15"/>
        <v>内部装修</v>
      </c>
      <c r="AA42" s="1559">
        <f t="shared" si="3"/>
        <v>1</v>
      </c>
      <c r="AB42" s="1559">
        <f t="shared" si="4"/>
        <v>1</v>
      </c>
      <c r="AC42" s="1559">
        <f t="shared" si="5"/>
        <v>1</v>
      </c>
    </row>
    <row r="43" spans="1:29" ht="29.4"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21"/>
      <c r="Q43" s="1555" t="str">
        <f t="shared" si="11"/>
        <v>内部装修维护情况</v>
      </c>
      <c r="R43" s="1556" t="s">
        <v>11</v>
      </c>
      <c r="S43" s="1557">
        <f t="shared" si="12"/>
        <v>100</v>
      </c>
      <c r="T43" s="1556" t="s">
        <v>11</v>
      </c>
      <c r="U43" s="1557">
        <f t="shared" si="13"/>
        <v>100</v>
      </c>
      <c r="V43" s="1556" t="s">
        <v>11</v>
      </c>
      <c r="W43" s="1557">
        <f t="shared" si="14"/>
        <v>100</v>
      </c>
      <c r="X43" s="1550"/>
      <c r="Y43" s="3421"/>
      <c r="Z43" s="1558" t="str">
        <f t="shared" si="15"/>
        <v>内部装修维护情况</v>
      </c>
      <c r="AA43" s="1559">
        <f t="shared" si="3"/>
        <v>1</v>
      </c>
      <c r="AB43" s="1559">
        <f t="shared" si="4"/>
        <v>1</v>
      </c>
      <c r="AC43" s="1559">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21"/>
      <c r="Q44" s="1145">
        <f t="shared" si="11"/>
        <v>111</v>
      </c>
      <c r="R44" s="1551" t="s">
        <v>11</v>
      </c>
      <c r="S44" s="1552">
        <f t="shared" si="12"/>
        <v>100</v>
      </c>
      <c r="T44" s="1551" t="s">
        <v>11</v>
      </c>
      <c r="U44" s="1552">
        <f t="shared" si="13"/>
        <v>100</v>
      </c>
      <c r="V44" s="1551" t="s">
        <v>11</v>
      </c>
      <c r="W44" s="1552">
        <f t="shared" si="14"/>
        <v>100</v>
      </c>
      <c r="X44" s="1553"/>
      <c r="Y44" s="3421"/>
      <c r="Z44" s="1144">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1"/>
      <c r="Q45" s="1555">
        <f t="shared" si="11"/>
        <v>111</v>
      </c>
      <c r="R45" s="1556" t="s">
        <v>11</v>
      </c>
      <c r="S45" s="1557">
        <f t="shared" si="12"/>
        <v>100</v>
      </c>
      <c r="T45" s="1556" t="s">
        <v>11</v>
      </c>
      <c r="U45" s="1557">
        <f t="shared" si="13"/>
        <v>100</v>
      </c>
      <c r="V45" s="1556" t="s">
        <v>11</v>
      </c>
      <c r="W45" s="1557">
        <f t="shared" si="14"/>
        <v>100</v>
      </c>
      <c r="X45" s="1550"/>
      <c r="Y45" s="3421"/>
      <c r="Z45" s="1558">
        <f t="shared" si="15"/>
        <v>111</v>
      </c>
      <c r="AA45" s="1559">
        <f t="shared" si="3"/>
        <v>1</v>
      </c>
      <c r="AB45" s="1559">
        <f t="shared" si="4"/>
        <v>1</v>
      </c>
      <c r="AC45" s="1559">
        <f t="shared" si="5"/>
        <v>1</v>
      </c>
    </row>
    <row r="46" spans="1:29" ht="15.6"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77"/>
      <c r="Q46" s="1555">
        <f t="shared" si="11"/>
        <v>111</v>
      </c>
      <c r="R46" s="1556" t="s">
        <v>10</v>
      </c>
      <c r="S46" s="1557">
        <f t="shared" si="12"/>
        <v>100</v>
      </c>
      <c r="T46" s="1556" t="s">
        <v>10</v>
      </c>
      <c r="U46" s="1557">
        <f t="shared" si="13"/>
        <v>100</v>
      </c>
      <c r="V46" s="1556" t="s">
        <v>10</v>
      </c>
      <c r="W46" s="1557">
        <f t="shared" si="14"/>
        <v>100</v>
      </c>
      <c r="X46" s="1550"/>
      <c r="Y46" s="3477"/>
      <c r="Z46" s="1558">
        <f t="shared" si="15"/>
        <v>111</v>
      </c>
      <c r="AA46" s="1559">
        <f t="shared" si="3"/>
        <v>1</v>
      </c>
      <c r="AB46" s="1559">
        <f t="shared" si="4"/>
        <v>1</v>
      </c>
      <c r="AC46" s="1559">
        <f t="shared" si="5"/>
        <v>1</v>
      </c>
    </row>
    <row r="47" spans="1:29" ht="14.4">
      <c r="A47" s="605" t="s">
        <v>735</v>
      </c>
      <c r="B47" s="885"/>
      <c r="C47" s="2588" t="s">
        <v>9</v>
      </c>
      <c r="D47" s="2589"/>
      <c r="E47" s="2590">
        <v>66000</v>
      </c>
      <c r="F47" s="2591"/>
      <c r="G47" s="2592">
        <v>67500</v>
      </c>
      <c r="H47" s="2593"/>
      <c r="I47" s="3209">
        <v>62000</v>
      </c>
      <c r="J47" s="2593"/>
      <c r="K47" s="1588"/>
      <c r="L47" s="2126"/>
      <c r="M47" s="2127"/>
      <c r="N47" s="2116"/>
      <c r="O47" s="2127"/>
      <c r="P47" s="3381" t="str">
        <f>A47</f>
        <v>成交单价（元/平方米）</v>
      </c>
      <c r="Q47" s="3381"/>
      <c r="R47" s="3476">
        <f>E47</f>
        <v>66000</v>
      </c>
      <c r="S47" s="3476"/>
      <c r="T47" s="3476">
        <f>G47</f>
        <v>67500</v>
      </c>
      <c r="U47" s="3476"/>
      <c r="V47" s="3476">
        <f>I47</f>
        <v>62000</v>
      </c>
      <c r="W47" s="3476"/>
      <c r="X47" s="1542"/>
      <c r="Y47" s="1564"/>
      <c r="Z47" s="1542"/>
      <c r="AA47" s="1542"/>
      <c r="AB47" s="1542"/>
      <c r="AC47" s="1542"/>
    </row>
    <row r="48" spans="1:29" ht="15" thickBot="1">
      <c r="A48" s="613" t="s">
        <v>2757</v>
      </c>
      <c r="B48" s="886"/>
      <c r="C48" s="2594">
        <f>R49</f>
        <v>67408</v>
      </c>
      <c r="D48" s="2595"/>
      <c r="E48" s="2596">
        <f>R48</f>
        <v>67395</v>
      </c>
      <c r="F48" s="2596"/>
      <c r="G48" s="2594">
        <f>T48</f>
        <v>68927</v>
      </c>
      <c r="H48" s="2595"/>
      <c r="I48" s="2596">
        <f>V48</f>
        <v>65901</v>
      </c>
      <c r="J48" s="2595"/>
      <c r="K48" s="1589"/>
      <c r="L48" s="2126"/>
      <c r="M48" s="2127"/>
      <c r="N48" s="2127"/>
      <c r="O48" s="2127"/>
      <c r="P48" s="3381" t="str">
        <f>A48</f>
        <v>比较价格（元/平方米）</v>
      </c>
      <c r="Q48" s="3381"/>
      <c r="R48" s="3476">
        <f>IF(F1="售价",ROUND(PRODUCT(R47,AA7:AA46),0),ROUND(PRODUCT(R47,AA7:AA46),1))</f>
        <v>67395</v>
      </c>
      <c r="S48" s="3476"/>
      <c r="T48" s="3476">
        <f>IF(F1="售价",ROUND(PRODUCT(T47,AB7:AB46),0),ROUND(PRODUCT(T47,AB7:AB46),1))</f>
        <v>68927</v>
      </c>
      <c r="U48" s="3476"/>
      <c r="V48" s="3476">
        <f>IF(F1="售价",ROUND(PRODUCT(V47,AC7:AC46),0),ROUND(PRODUCT(V47,AC7:AC46),1))</f>
        <v>65901</v>
      </c>
      <c r="W48" s="3476"/>
      <c r="X48" s="1542"/>
      <c r="Y48" s="1542"/>
      <c r="Z48" s="1542"/>
      <c r="AA48" s="1542"/>
      <c r="AB48" s="1542"/>
      <c r="AC48" s="1542"/>
    </row>
    <row r="49" spans="1:29" ht="15" thickBot="1">
      <c r="A49" s="619" t="s">
        <v>2924</v>
      </c>
      <c r="B49" s="620"/>
      <c r="C49" s="2597">
        <f>R49</f>
        <v>67408</v>
      </c>
      <c r="D49" s="2597"/>
      <c r="E49" s="2597"/>
      <c r="F49" s="2597"/>
      <c r="G49" s="2597"/>
      <c r="H49" s="2597"/>
      <c r="I49" s="2597"/>
      <c r="J49" s="2597"/>
      <c r="K49" s="1590"/>
      <c r="L49" s="2126"/>
      <c r="M49" s="2127"/>
      <c r="N49" s="2127"/>
      <c r="O49" s="2127"/>
      <c r="P49" s="3378" t="str">
        <f>A49</f>
        <v>估价对象XX用房的比较价格（楼面单价，元/平方米）</v>
      </c>
      <c r="Q49" s="3379"/>
      <c r="R49" s="3475">
        <f>IF(F1="售价",ROUND(AVERAGE(R48:V48),0),ROUND(AVERAGE(R48:V48),1))</f>
        <v>67408</v>
      </c>
      <c r="S49" s="3475"/>
      <c r="T49" s="3475"/>
      <c r="U49" s="3475"/>
      <c r="V49" s="3475"/>
      <c r="W49" s="347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2.1136363636363731E-2</v>
      </c>
      <c r="F52" s="625" t="str">
        <f>IF(OR(E52&gt;=0.3,E52&lt;=-0.3),"超过30%","")</f>
        <v/>
      </c>
      <c r="G52" s="624">
        <f>IF(G47&lt;G48,G48/G47-1,G47/G48-1)</f>
        <v>2.1140740740740682E-2</v>
      </c>
      <c r="H52" s="625" t="str">
        <f>IF(OR(G52&gt;=0.3,G52&lt;=-0.3),"超过30%","")</f>
        <v/>
      </c>
      <c r="I52" s="624">
        <f>IF(I47&lt;I48,I48/I47-1,I47/I48-1)</f>
        <v>6.2919354838709696E-2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2.2731656651086896E-2</v>
      </c>
      <c r="F53" s="625" t="str">
        <f>IF(OR(E53&gt;=0.2,E53&lt;=-0.2),"超过20%","")</f>
        <v/>
      </c>
      <c r="G53" s="624">
        <f>IF(G48&lt;I48,I48/G48-1,G48/I48-1)</f>
        <v>4.591736088981957E-2</v>
      </c>
      <c r="H53" s="625" t="str">
        <f>IF(OR(G53&gt;=0.2,G53&lt;=-0.2),"超过20%","")</f>
        <v/>
      </c>
      <c r="I53" s="624">
        <f>IF(I48&lt;E48,E48/I48-1,I48/E48-1)</f>
        <v>2.2670369190148865E-2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f>IF(E47&lt;G47,G47/E47-1,E47/G47-1)</f>
        <v>2.2727272727272707E-2</v>
      </c>
      <c r="F54" s="625" t="str">
        <f>IF(OR(E54&gt;=0.3,E54&lt;=-0.3),"超过30%","")</f>
        <v/>
      </c>
      <c r="G54" s="624">
        <f>IF(G47&lt;I47,I47/G47-1,G47/I47-1)</f>
        <v>8.870967741935476E-2</v>
      </c>
      <c r="H54" s="625" t="str">
        <f>IF(OR(G54&gt;=0.3,G54&lt;=-0.3),"超过30%","")</f>
        <v/>
      </c>
      <c r="I54" s="624">
        <f>IF(I47&lt;E47,E47/I47-1,I47/E47-1)</f>
        <v>6.4516129032258007E-2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6"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ht="14.4">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97</v>
      </c>
      <c r="E81" s="677">
        <f>D81-$K19</f>
        <v>94</v>
      </c>
      <c r="F81" s="677">
        <f>E81-$K19</f>
        <v>91</v>
      </c>
      <c r="G81" s="677">
        <f>F81-$K19</f>
        <v>88</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99</v>
      </c>
      <c r="E83" s="677">
        <f>D83-$K21</f>
        <v>98</v>
      </c>
      <c r="F83" s="677">
        <f>E83-$K21</f>
        <v>97</v>
      </c>
      <c r="G83" s="677">
        <f>F83-$K21</f>
        <v>96</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1878" t="s">
        <v>2254</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7"/>
      <c r="B88" s="671" t="s">
        <v>745</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f>B27</f>
        <v>0</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4.4"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746</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7"/>
      <c r="B102" s="671" t="s">
        <v>747</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749</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750</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4.4"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753</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6"/>
      <c r="B120" s="671" t="s">
        <v>732</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4.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2988</v>
      </c>
      <c r="D1" s="3073" t="s">
        <v>3035</v>
      </c>
      <c r="E1" s="2348" t="s">
        <v>2371</v>
      </c>
      <c r="F1" s="2349">
        <f ca="1">J53</f>
        <v>21.39</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835</v>
      </c>
      <c r="C2" s="2039"/>
      <c r="D2" s="2037"/>
      <c r="E2" s="2038"/>
      <c r="F2" s="2038"/>
      <c r="G2" s="1573"/>
      <c r="H2" s="2039"/>
      <c r="I2" s="2039"/>
      <c r="J2" s="2039"/>
      <c r="K2" s="2040"/>
      <c r="L2" s="2039"/>
      <c r="M2" s="2039"/>
    </row>
    <row r="3" spans="1:33" ht="18" customHeight="1" thickBot="1">
      <c r="A3" s="831" t="s">
        <v>1726</v>
      </c>
      <c r="B3" s="832">
        <f ca="1">IF(ISERROR(B2*10000/F43),0,ROUND(B2*10000/F43,0))</f>
        <v>24675</v>
      </c>
      <c r="C3" s="2039"/>
      <c r="D3" s="2037"/>
      <c r="E3" s="2038"/>
      <c r="F3" s="2038"/>
      <c r="G3" s="1573"/>
      <c r="H3" s="774" t="s">
        <v>695</v>
      </c>
      <c r="I3" s="1357"/>
      <c r="J3" s="1357"/>
      <c r="K3" s="1574"/>
      <c r="L3" s="1357"/>
      <c r="M3" s="1357"/>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f ca="1">C6+C10+C12</f>
        <v>67</v>
      </c>
      <c r="D5" s="2457" t="s">
        <v>2458</v>
      </c>
      <c r="E5" s="2451"/>
      <c r="F5" s="2452"/>
      <c r="G5" s="1575"/>
      <c r="H5" s="779">
        <v>1</v>
      </c>
      <c r="I5" s="780" t="s">
        <v>2455</v>
      </c>
      <c r="J5" s="55">
        <f ca="1">J6+J10+J12</f>
        <v>0</v>
      </c>
      <c r="K5" s="2457" t="s">
        <v>2458</v>
      </c>
      <c r="L5" s="2451"/>
      <c r="M5" s="2452"/>
    </row>
    <row r="6" spans="1:33" ht="18" customHeight="1">
      <c r="A6" s="1812" t="s">
        <v>1823</v>
      </c>
      <c r="B6" s="3469" t="s">
        <v>2460</v>
      </c>
      <c r="C6" s="781">
        <f ca="1">ROUND(F6*F8*F7*(1-F9)/10000,0)</f>
        <v>67</v>
      </c>
      <c r="D6" s="2458" t="s">
        <v>2459</v>
      </c>
      <c r="E6" s="782" t="s">
        <v>1737</v>
      </c>
      <c r="F6" s="783">
        <f ca="1">INDIRECT("'数据-取费表'!u"&amp;$G$1)</f>
        <v>6</v>
      </c>
      <c r="G6" s="1575"/>
      <c r="H6" s="2465" t="s">
        <v>2465</v>
      </c>
      <c r="I6" s="3469" t="s">
        <v>2460</v>
      </c>
      <c r="J6" s="781">
        <f ca="1">ROUND(M6*M8*M7*(1-M9)/10000,0)</f>
        <v>0</v>
      </c>
      <c r="K6" s="339" t="s">
        <v>1736</v>
      </c>
      <c r="L6" s="782" t="s">
        <v>1737</v>
      </c>
      <c r="M6" s="783">
        <f ca="1">INDIRECT("'数据-取费表'!z"&amp;$G$1)</f>
        <v>0</v>
      </c>
    </row>
    <row r="7" spans="1:33" ht="18" customHeight="1">
      <c r="A7" s="2461"/>
      <c r="B7" s="3470"/>
      <c r="C7" s="786"/>
      <c r="D7" s="787"/>
      <c r="E7" s="782" t="s">
        <v>1738</v>
      </c>
      <c r="F7" s="783">
        <f ca="1">IF(INDIRECT("'数据-取费表'!ah"&amp;$G$1)="",INDIRECT("'数据-取费表'!k"&amp;$G$1),INDIRECT("'数据-取费表'!ah"&amp;$G$1))</f>
        <v>338.4</v>
      </c>
      <c r="G7" s="1575"/>
      <c r="H7" s="2450"/>
      <c r="I7" s="3470"/>
      <c r="J7" s="786"/>
      <c r="K7" s="787"/>
      <c r="L7" s="782" t="s">
        <v>1738</v>
      </c>
      <c r="M7" s="783">
        <f ca="1">F7</f>
        <v>338.4</v>
      </c>
    </row>
    <row r="8" spans="1:33" ht="18" customHeight="1">
      <c r="A8" s="2454"/>
      <c r="B8" s="3471"/>
      <c r="C8" s="786"/>
      <c r="D8" s="787"/>
      <c r="E8" s="782" t="s">
        <v>1739</v>
      </c>
      <c r="F8" s="783">
        <f ca="1">INDIRECT("'数据-取费表'!ai"&amp;$G$1)</f>
        <v>365</v>
      </c>
      <c r="G8" s="1575"/>
      <c r="H8" s="2450"/>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75"/>
      <c r="H9" s="2466"/>
      <c r="I9" s="3471"/>
      <c r="J9" s="786"/>
      <c r="K9" s="787"/>
      <c r="L9" s="793" t="s">
        <v>1740</v>
      </c>
      <c r="M9" s="794">
        <f ca="1">INDIRECT("'数据-取费表'!ab"&amp;$G$1)</f>
        <v>0</v>
      </c>
    </row>
    <row r="10" spans="1:33" ht="18" customHeight="1">
      <c r="A10" s="1812" t="s">
        <v>2463</v>
      </c>
      <c r="B10" s="2455" t="s">
        <v>2456</v>
      </c>
      <c r="C10" s="797">
        <f ca="1">ROUND(IF(F10="押一",C6/12*F11,IF(F10="押二",C6/12*2*F11,IF(F10="押三",C6/12*3*F11,C11*F11))),0)</f>
        <v>0</v>
      </c>
      <c r="D10" s="2462" t="s">
        <v>2962</v>
      </c>
      <c r="E10" s="2459" t="s">
        <v>2461</v>
      </c>
      <c r="F10" s="2582" t="s">
        <v>3036</v>
      </c>
      <c r="G10" s="1575"/>
      <c r="H10" s="2522" t="s">
        <v>2466</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f ca="1">ROUND(C29*F13,0)</f>
        <v>183</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113</v>
      </c>
      <c r="D14" s="1961" t="s">
        <v>1744</v>
      </c>
      <c r="E14" s="1962"/>
      <c r="F14" s="803"/>
      <c r="G14" s="1575"/>
      <c r="H14" s="1631" t="s">
        <v>1829</v>
      </c>
      <c r="I14" s="2213" t="s">
        <v>2823</v>
      </c>
      <c r="J14" s="53">
        <f ca="1">C29</f>
        <v>183</v>
      </c>
      <c r="K14" s="26"/>
      <c r="L14" s="799"/>
      <c r="M14" s="800"/>
    </row>
    <row r="15" spans="1:33" s="2046" customFormat="1" ht="18" customHeight="1" thickBot="1">
      <c r="A15" s="1630" t="s">
        <v>1884</v>
      </c>
      <c r="B15" s="782" t="s">
        <v>647</v>
      </c>
      <c r="C15" s="53">
        <f ca="1">ROUND(C14*F15,0)</f>
        <v>6</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18</v>
      </c>
      <c r="K16" s="1803" t="s">
        <v>1749</v>
      </c>
      <c r="L16" s="2447"/>
      <c r="M16" s="2452"/>
    </row>
    <row r="17" spans="1:33" s="2046" customFormat="1" ht="18" customHeight="1">
      <c r="A17" s="1630" t="s">
        <v>1886</v>
      </c>
      <c r="B17" s="782" t="s">
        <v>653</v>
      </c>
      <c r="C17" s="53">
        <f ca="1">ROUND(F17*(F43+INDIRECT("'数据-取费表'!S"&amp;$G$1))/10000,0)</f>
        <v>8</v>
      </c>
      <c r="D17" s="782" t="s">
        <v>1750</v>
      </c>
      <c r="E17" s="782" t="s">
        <v>1751</v>
      </c>
      <c r="F17" s="56">
        <f>'数据-取费表'!B35</f>
        <v>200</v>
      </c>
      <c r="G17" s="1576"/>
      <c r="H17" s="1631" t="s">
        <v>1829</v>
      </c>
      <c r="I17" s="782" t="s">
        <v>656</v>
      </c>
      <c r="J17" s="53">
        <f ca="1">ROUND(IF(项目基本情况!B11="自然人",J6*M17/(1+'数据-取费表'!C42),J18+J19+J20),0)</f>
        <v>15</v>
      </c>
      <c r="K17" s="2446" t="s">
        <v>1752</v>
      </c>
      <c r="L17" s="2445"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2</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129</v>
      </c>
      <c r="D19" s="259" t="s">
        <v>1756</v>
      </c>
      <c r="E19" s="1964"/>
      <c r="F19" s="56"/>
      <c r="G19" s="1575"/>
      <c r="H19" s="1630" t="s">
        <v>1884</v>
      </c>
      <c r="I19" s="782" t="s">
        <v>1757</v>
      </c>
      <c r="J19" s="53">
        <f ca="1">IF(K19="按租金收入计税",ROUND(J6*M19/(1+'数据-取费表'!C42),1),ROUND(C29*F33*0.7,1))</f>
        <v>15.4</v>
      </c>
      <c r="K19" s="809" t="s">
        <v>665</v>
      </c>
      <c r="L19" s="782" t="s">
        <v>1746</v>
      </c>
      <c r="M19" s="807">
        <f>IF(K19="按租金收入计税",'数据-取费表'!B51,'数据-取费表'!B50)</f>
        <v>1.2E-2</v>
      </c>
    </row>
    <row r="20" spans="1:33" s="2046" customFormat="1" ht="18" customHeight="1">
      <c r="A20" s="1631" t="s">
        <v>1888</v>
      </c>
      <c r="B20" s="782" t="s">
        <v>666</v>
      </c>
      <c r="C20" s="53">
        <f ca="1">ROUND(C19*F20,0)</f>
        <v>3</v>
      </c>
      <c r="D20" s="810" t="s">
        <v>1758</v>
      </c>
      <c r="E20" s="782" t="s">
        <v>1746</v>
      </c>
      <c r="F20" s="807">
        <f>'数据-取费表'!B37</f>
        <v>2.5000000000000001E-2</v>
      </c>
      <c r="G20" s="1576"/>
      <c r="H20" s="1633" t="s">
        <v>1879</v>
      </c>
      <c r="I20" s="339" t="s">
        <v>1759</v>
      </c>
      <c r="J20" s="54">
        <f ca="1">ROUND(M20*M21/10000,0)</f>
        <v>0</v>
      </c>
      <c r="K20" s="812" t="s">
        <v>1760</v>
      </c>
      <c r="L20" s="782" t="s">
        <v>1761</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0.03</v>
      </c>
      <c r="G21" s="1576"/>
      <c r="H21" s="2467"/>
      <c r="I21" s="791"/>
      <c r="J21" s="69"/>
      <c r="K21" s="814"/>
      <c r="L21" s="782" t="s">
        <v>1765</v>
      </c>
      <c r="M21" s="783">
        <f ca="1">INDIRECT("'数据-取费表'!r"&amp;$G$1)</f>
        <v>122.28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3</v>
      </c>
      <c r="K22" s="2445" t="s">
        <v>1768</v>
      </c>
      <c r="L22" s="782" t="s">
        <v>1746</v>
      </c>
      <c r="M22" s="815">
        <f ca="1">INDIRECT("'数据-取费表'!Ak"&amp;$G$1)</f>
        <v>1.4999999999999999E-2</v>
      </c>
    </row>
    <row r="23" spans="1:33" s="2046" customFormat="1" ht="18" customHeight="1">
      <c r="A23" s="1630" t="s">
        <v>1830</v>
      </c>
      <c r="B23" s="782" t="s">
        <v>2532</v>
      </c>
      <c r="C23" s="53">
        <f ca="1">ROUND(IF('数据-取费表'!B22&lt;=1,(C19+C20)*F24*F23/2,(C19+C20)*(POWER((1+F24),F23/2)-1)),0)</f>
        <v>8</v>
      </c>
      <c r="D23" s="2532" t="str">
        <f>IF(F23&lt;=1,"(建造成本+管理费用)×利率×(建设周期÷2)","(建造成本+管理费用)×((1+利率)^(建设周期÷2)-1)")</f>
        <v>(建造成本+管理费用)×((1+利率)^(建设周期÷2)-1)</v>
      </c>
      <c r="E23" s="782" t="s">
        <v>1769</v>
      </c>
      <c r="F23" s="638">
        <f>'数据-取费表'!B20</f>
        <v>2.5</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2819</v>
      </c>
      <c r="J25" s="790">
        <f ca="1">J5-J16</f>
        <v>-18</v>
      </c>
      <c r="K25" s="2509" t="s">
        <v>1776</v>
      </c>
      <c r="L25" s="2510"/>
      <c r="M25" s="2511"/>
    </row>
    <row r="26" spans="1:33" ht="18" customHeight="1">
      <c r="A26" s="1630" t="s">
        <v>1830</v>
      </c>
      <c r="B26" s="782" t="s">
        <v>2435</v>
      </c>
      <c r="C26" s="53">
        <f ca="1">ROUND((C19+C20)*F26,0)</f>
        <v>26</v>
      </c>
      <c r="D26" s="810" t="s">
        <v>1777</v>
      </c>
      <c r="E26" s="793" t="s">
        <v>1778</v>
      </c>
      <c r="F26" s="792">
        <f ca="1">INDIRECT("'数据-取费表'!q"&amp;$G$1)</f>
        <v>0.2</v>
      </c>
      <c r="G26" s="1575"/>
      <c r="H26" s="2463" t="s">
        <v>1779</v>
      </c>
      <c r="I26" s="2214" t="s">
        <v>2824</v>
      </c>
      <c r="J26" s="781">
        <f ca="1">IF(J5&lt;&gt;0,ROUND(J25*(1-((1+M28)/(1+M26))^M27)/(M26-M28),0),0)</f>
        <v>0</v>
      </c>
      <c r="K26" s="812" t="s">
        <v>1780</v>
      </c>
      <c r="L26" s="782" t="s">
        <v>2416</v>
      </c>
      <c r="M26" s="792">
        <f ca="1">INDIRECT("'数据-取费表'!I"&amp;$G$1)</f>
        <v>5.5E-2</v>
      </c>
    </row>
    <row r="27" spans="1:33" ht="18" customHeight="1">
      <c r="A27" s="1630" t="s">
        <v>1831</v>
      </c>
      <c r="B27" s="782" t="s">
        <v>686</v>
      </c>
      <c r="C27" s="53">
        <f ca="1">ROUND(F21*F26,4)</f>
        <v>6.0000000000000001E-3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5.33E-2</v>
      </c>
      <c r="D28" s="810" t="s">
        <v>2296</v>
      </c>
      <c r="E28" s="782" t="s">
        <v>1784</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183</v>
      </c>
      <c r="D29" s="2506"/>
      <c r="E29" s="2507"/>
      <c r="F29" s="2508"/>
      <c r="G29" s="1576"/>
      <c r="H29" s="821" t="s">
        <v>1786</v>
      </c>
      <c r="I29" s="822" t="s">
        <v>1787</v>
      </c>
      <c r="J29" s="823">
        <f ca="1">ROUND(J26/(1+F40)^F41,0)</f>
        <v>0</v>
      </c>
      <c r="K29" s="824" t="s">
        <v>1788</v>
      </c>
      <c r="L29" s="825"/>
      <c r="M29" s="826">
        <f ca="1">INDIRECT("'数据-取费表'!k"&amp;$G$1)</f>
        <v>338.4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15</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11.3</v>
      </c>
      <c r="D31" s="1961" t="s">
        <v>1791</v>
      </c>
      <c r="E31" s="1959" t="s">
        <v>1792</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1793</v>
      </c>
      <c r="C32" s="53">
        <f ca="1">ROUND(C6*F32/(1+'数据-取费表'!C42),1)</f>
        <v>3.6</v>
      </c>
      <c r="D32" s="1959" t="s">
        <v>1794</v>
      </c>
      <c r="E32" s="782" t="s">
        <v>1795</v>
      </c>
      <c r="F32" s="807">
        <f>'数据-取费表'!B41</f>
        <v>5.6000000000000001E-2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7.7</v>
      </c>
      <c r="D33" s="809" t="s">
        <v>3037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0</v>
      </c>
      <c r="D34" s="812" t="s">
        <v>1798</v>
      </c>
      <c r="E34" s="782" t="s">
        <v>1799</v>
      </c>
      <c r="F34" s="638">
        <f>'数据-取费表'!B52</f>
        <v>1.5</v>
      </c>
      <c r="G34" s="2044"/>
      <c r="H34" s="2047"/>
      <c r="I34" s="833" t="s">
        <v>1812</v>
      </c>
      <c r="J34" s="834"/>
      <c r="K34" s="2062"/>
      <c r="L34" s="2061"/>
      <c r="M34" s="2061"/>
    </row>
    <row r="35" spans="1:18" ht="18" customHeight="1">
      <c r="A35" s="813"/>
      <c r="B35" s="791"/>
      <c r="C35" s="69"/>
      <c r="D35" s="814"/>
      <c r="E35" s="782" t="s">
        <v>1800</v>
      </c>
      <c r="F35" s="783">
        <f ca="1">INDIRECT("'数据-取费表'!r"&amp;$G$1)</f>
        <v>122.28</v>
      </c>
      <c r="G35" s="2044"/>
      <c r="H35" s="2047"/>
      <c r="I35" s="835" t="s">
        <v>1813</v>
      </c>
      <c r="J35" s="836">
        <f ca="1">ROUND(C13*J36,0)</f>
        <v>16</v>
      </c>
      <c r="K35" s="2060"/>
      <c r="L35" s="2059"/>
      <c r="M35" s="2059"/>
    </row>
    <row r="36" spans="1:18" ht="18" customHeight="1">
      <c r="A36" s="1631" t="s">
        <v>1888</v>
      </c>
      <c r="B36" s="782" t="s">
        <v>1801</v>
      </c>
      <c r="C36" s="53">
        <f ca="1">ROUND(C29*F36,1)</f>
        <v>2.7</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0.3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0.7</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2819</v>
      </c>
      <c r="C39" s="790">
        <f ca="1">C5-C30</f>
        <v>52</v>
      </c>
      <c r="D39" s="2509" t="s">
        <v>1805</v>
      </c>
      <c r="E39" s="2510"/>
      <c r="F39" s="2511"/>
      <c r="G39" s="2044"/>
      <c r="H39" s="2059"/>
      <c r="I39" s="835" t="s">
        <v>1817</v>
      </c>
      <c r="J39" s="843">
        <f ca="1">ROUND(J35/C39,3)</f>
        <v>0.308</v>
      </c>
      <c r="K39" s="2065"/>
      <c r="L39" s="2059"/>
      <c r="M39" s="2059"/>
    </row>
    <row r="40" spans="1:18" ht="18" customHeight="1">
      <c r="A40" s="779" t="s">
        <v>1894</v>
      </c>
      <c r="B40" s="2214" t="s">
        <v>2298</v>
      </c>
      <c r="C40" s="781">
        <f ca="1">ROUND(C39*(1-((1+F42)/(1+F40))^F41)/(F40-F42),0)</f>
        <v>835</v>
      </c>
      <c r="D40" s="812" t="s">
        <v>1806</v>
      </c>
      <c r="E40" s="782" t="s">
        <v>2416</v>
      </c>
      <c r="F40" s="792">
        <f ca="1">INDIRECT("'数据-取费表'!I"&amp;$G$1)</f>
        <v>5.5E-2</v>
      </c>
      <c r="G40" s="2044"/>
      <c r="H40" s="2044"/>
      <c r="I40" s="835" t="s">
        <v>1818</v>
      </c>
      <c r="J40" s="843">
        <f ca="1">1-J39</f>
        <v>0.69199999999999995</v>
      </c>
      <c r="K40" s="2065"/>
      <c r="L40" s="2044"/>
      <c r="M40" s="2044"/>
    </row>
    <row r="41" spans="1:18" ht="18" customHeight="1">
      <c r="A41" s="784"/>
      <c r="B41" s="785"/>
      <c r="C41" s="786"/>
      <c r="D41" s="819" t="s">
        <v>1807</v>
      </c>
      <c r="E41" s="782" t="s">
        <v>2952</v>
      </c>
      <c r="F41" s="820">
        <f ca="1">IF(INDIRECT("'数据-取费表'!af"&amp;$G$1)=0,INDIRECT("'数据-取费表'!ae"&amp;$G$1),INDIRECT("'数据-取费表'!af"&amp;$G$1))</f>
        <v>21.39</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0.219</v>
      </c>
      <c r="K42" s="2064"/>
      <c r="L42" s="1970"/>
      <c r="M42" s="1970"/>
    </row>
    <row r="43" spans="1:18" ht="18" customHeight="1" thickBot="1">
      <c r="A43" s="821" t="s">
        <v>1786</v>
      </c>
      <c r="B43" s="822" t="s">
        <v>1809</v>
      </c>
      <c r="C43" s="823">
        <f ca="1">ROUND(C40*10000/F43,0)</f>
        <v>24675</v>
      </c>
      <c r="D43" s="824" t="s">
        <v>1810</v>
      </c>
      <c r="E43" s="825" t="s">
        <v>1811</v>
      </c>
      <c r="F43" s="826">
        <f ca="1">INDIRECT("'数据-取费表'!k"&amp;$G$1)</f>
        <v>338.4</v>
      </c>
      <c r="G43" s="2044"/>
      <c r="H43" s="1970"/>
      <c r="I43" s="845" t="s">
        <v>1821</v>
      </c>
      <c r="J43" s="846">
        <f ca="1">1-J42</f>
        <v>0.78100000000000003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-872</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40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2293</v>
      </c>
      <c r="F48" s="2338"/>
      <c r="G48" s="2072"/>
      <c r="I48" s="3074" t="s">
        <v>2342</v>
      </c>
      <c r="J48" s="2343" t="s">
        <v>2347</v>
      </c>
      <c r="K48" s="3102" t="s">
        <v>2348</v>
      </c>
      <c r="L48" s="1890">
        <f ca="1">INDIRECT("'数据-取费表'!f"&amp;$G$1)</f>
        <v>23.89</v>
      </c>
      <c r="O48" s="2359" t="s">
        <v>2376</v>
      </c>
      <c r="P48" s="2360" t="s">
        <v>2402</v>
      </c>
      <c r="Q48" s="2361">
        <f ca="1">C40+J29</f>
        <v>835</v>
      </c>
      <c r="R48" s="2360" t="s">
        <v>2377</v>
      </c>
    </row>
    <row r="49" spans="1:18" s="2041" customFormat="1" ht="18" customHeight="1" thickBot="1">
      <c r="A49" s="784"/>
      <c r="B49" s="785"/>
      <c r="C49" s="786"/>
      <c r="D49" s="787"/>
      <c r="E49" s="782" t="s">
        <v>1738</v>
      </c>
      <c r="F49" s="783">
        <f ca="1">F7</f>
        <v>338.4</v>
      </c>
      <c r="G49" s="2072"/>
      <c r="H49" s="2075"/>
      <c r="I49" s="3074" t="s">
        <v>2343</v>
      </c>
      <c r="J49" s="2344"/>
      <c r="K49" s="3103" t="s">
        <v>2349</v>
      </c>
      <c r="L49" s="2345"/>
      <c r="O49" s="2359" t="s">
        <v>2378</v>
      </c>
      <c r="P49" s="2360" t="s">
        <v>2403</v>
      </c>
      <c r="Q49" s="2361">
        <f ca="1">J60</f>
        <v>110</v>
      </c>
      <c r="R49" s="2360" t="s">
        <v>2379</v>
      </c>
    </row>
    <row r="50" spans="1:18" s="2041" customFormat="1" ht="18" customHeight="1" thickBot="1">
      <c r="A50" s="784"/>
      <c r="B50" s="785"/>
      <c r="C50" s="786"/>
      <c r="D50" s="787"/>
      <c r="E50" s="782" t="s">
        <v>1739</v>
      </c>
      <c r="F50" s="783">
        <f ca="1">F8</f>
        <v>365</v>
      </c>
      <c r="G50" s="2077"/>
      <c r="H50" s="2075"/>
      <c r="I50" s="3074" t="s">
        <v>2344</v>
      </c>
      <c r="J50" s="3099">
        <f>SUMPRODUCT((I63:I65=J47)*(J62:L62=J48)*(J63:L65))</f>
        <v>60</v>
      </c>
      <c r="K50" s="3103" t="s">
        <v>2350</v>
      </c>
      <c r="L50" s="2345"/>
      <c r="O50" s="2362" t="s">
        <v>2380</v>
      </c>
      <c r="P50" s="2360" t="s">
        <v>2404</v>
      </c>
      <c r="Q50" s="2361">
        <f ca="1">C29</f>
        <v>183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502</v>
      </c>
      <c r="O51" s="2362" t="s">
        <v>2381</v>
      </c>
      <c r="P51" s="2360" t="s">
        <v>2382</v>
      </c>
      <c r="Q51" s="2363">
        <f ca="1">J58</f>
        <v>0.60199999999999998</v>
      </c>
      <c r="R51" s="2364"/>
    </row>
    <row r="52" spans="1:18" s="2041" customFormat="1" ht="18" customHeight="1" thickBot="1">
      <c r="A52" s="779" t="s">
        <v>2533</v>
      </c>
      <c r="B52" s="2455" t="s">
        <v>2456</v>
      </c>
      <c r="C52" s="797">
        <f ca="1">ROUND(IF(F52="押一",C48/12*F11,IF(F52="押二",C48/12*2*F11,IF(F52="押三",C48/12*3*F11,C53*F11))),0)</f>
        <v>0</v>
      </c>
      <c r="D52" s="2462" t="s">
        <v>2963</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21.39</v>
      </c>
      <c r="K53" s="3480" t="s">
        <v>2954</v>
      </c>
      <c r="L53" s="3481"/>
      <c r="O53" s="2362" t="s">
        <v>2385</v>
      </c>
      <c r="P53" s="2360" t="s">
        <v>2386</v>
      </c>
      <c r="Q53" s="2361">
        <f ca="1">J53</f>
        <v>21.39</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945</v>
      </c>
      <c r="R54" s="2364" t="s">
        <v>2389</v>
      </c>
    </row>
    <row r="55" spans="1:18" s="2041" customFormat="1" ht="18" customHeight="1" thickTop="1" thickBot="1">
      <c r="A55" s="795">
        <v>2</v>
      </c>
      <c r="B55" s="796" t="s">
        <v>644</v>
      </c>
      <c r="C55" s="797">
        <f ca="1">C13</f>
        <v>183</v>
      </c>
      <c r="D55" s="793"/>
      <c r="E55" s="793"/>
      <c r="F55" s="798"/>
      <c r="I55" s="3109" t="s">
        <v>2352</v>
      </c>
      <c r="J55" s="3049">
        <f ca="1">ROUND(IF(J47="钢混",J57/J50,1-(1-2%)*(J50-J57)/J50),3)</f>
        <v>0.60199999999999998</v>
      </c>
      <c r="K55" s="3110" t="s">
        <v>2353</v>
      </c>
      <c r="L55" s="2347"/>
      <c r="O55" s="2365" t="s">
        <v>2408</v>
      </c>
      <c r="P55" s="1575"/>
      <c r="Q55" s="1586"/>
      <c r="R55" s="1575"/>
    </row>
    <row r="56" spans="1:18" s="2041" customFormat="1" ht="42.75" customHeight="1" thickBot="1">
      <c r="A56" s="1632"/>
      <c r="B56" s="2213" t="s">
        <v>2299</v>
      </c>
      <c r="C56" s="53">
        <f ca="1">C29</f>
        <v>183</v>
      </c>
      <c r="D56" s="2600"/>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3</v>
      </c>
      <c r="D57" s="26" t="s">
        <v>1749</v>
      </c>
      <c r="E57" s="2601"/>
      <c r="F57" s="56"/>
      <c r="I57" s="3112" t="s">
        <v>2355</v>
      </c>
      <c r="J57" s="3113">
        <f ca="1">IF(OR(M47="住宅",J51&lt;L48,J56="是"),"——",J51-L48)</f>
        <v>36.11</v>
      </c>
      <c r="K57" s="3074" t="s">
        <v>2360</v>
      </c>
      <c r="L57" s="1890" t="str">
        <f ca="1">IF(L48&lt;J51,"——",IF(L55="比较法",L49,IF(L55="基准地价",L50,L51)))</f>
        <v>——</v>
      </c>
      <c r="O57" s="2359" t="s">
        <v>2376</v>
      </c>
      <c r="P57" s="2360" t="s">
        <v>2406</v>
      </c>
      <c r="Q57" s="2361">
        <f ca="1">C40+J29</f>
        <v>835</v>
      </c>
      <c r="R57" s="2360" t="s">
        <v>2377</v>
      </c>
    </row>
    <row r="58" spans="1:18" s="2041" customFormat="1" ht="28.5" customHeight="1" thickBot="1">
      <c r="A58" s="1631" t="s">
        <v>1823</v>
      </c>
      <c r="B58" s="782" t="s">
        <v>656</v>
      </c>
      <c r="C58" s="53">
        <f ca="1">ROUND(IF(项目基本情况!B11="自然人",C47*F58,C59+C60+C61),1)</f>
        <v>0</v>
      </c>
      <c r="D58" s="2599" t="s">
        <v>657</v>
      </c>
      <c r="E58" s="2600" t="s">
        <v>690</v>
      </c>
      <c r="F58" s="808">
        <f ca="1">IF(项目基本情况!B11="企业","",IF(INDIRECT("'数据-取费表'!c"&amp;$G$1)="住宅",5%,IF(F48*F49*F50/12/(1+'数据-取费表'!C42)&gt;20000,12%,7%)))</f>
        <v>7.0000000000000007E-2</v>
      </c>
      <c r="I58" s="3112" t="s">
        <v>2356</v>
      </c>
      <c r="J58" s="3050">
        <f ca="1">IF(J55&lt;0.4,0.4,J55)</f>
        <v>0.60199999999999998</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2600" t="s">
        <v>1755</v>
      </c>
      <c r="E59" s="782" t="s">
        <v>1746</v>
      </c>
      <c r="F59" s="807">
        <f t="shared" ref="F59:F65" si="0">F32</f>
        <v>5.6000000000000001E-2</v>
      </c>
      <c r="I59" s="3112" t="s">
        <v>2357</v>
      </c>
      <c r="J59" s="3113">
        <f ca="1">IF(OR(M47="住宅",J51&lt;L48,J56="是"),"——",ROUND(C29*J58,0))</f>
        <v>110</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4" t="s">
        <v>2358</v>
      </c>
      <c r="J60" s="3115">
        <f ca="1">IF(OR(M47="住宅",J51&lt;L48,J56="是"),"0",ROUND(J59/(1+J52)^J53,0))</f>
        <v>110</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122.28</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2.7</v>
      </c>
      <c r="D63" s="2600" t="s">
        <v>1802</v>
      </c>
      <c r="E63" s="782" t="s">
        <v>1746</v>
      </c>
      <c r="F63" s="815">
        <f t="shared" ca="1" si="0"/>
        <v>1.4999999999999999E-2</v>
      </c>
      <c r="I63" s="3117" t="s">
        <v>2367</v>
      </c>
      <c r="J63" s="3118">
        <v>70</v>
      </c>
      <c r="K63" s="3118">
        <v>50</v>
      </c>
      <c r="L63" s="3118">
        <v>80</v>
      </c>
      <c r="M63" s="3120">
        <v>0.02</v>
      </c>
      <c r="O63" s="2359" t="s">
        <v>2388</v>
      </c>
      <c r="P63" s="2360" t="s">
        <v>2405</v>
      </c>
      <c r="Q63" s="2361">
        <f ca="1">Q57+Q58</f>
        <v>835</v>
      </c>
      <c r="R63" s="2364" t="s">
        <v>2389</v>
      </c>
    </row>
    <row r="64" spans="1:18" s="2041" customFormat="1" ht="16.2" thickBot="1">
      <c r="A64" s="1631" t="s">
        <v>1889</v>
      </c>
      <c r="B64" s="782" t="s">
        <v>679</v>
      </c>
      <c r="C64" s="53">
        <f ca="1">ROUND(C55*F64,1)</f>
        <v>0.3</v>
      </c>
      <c r="D64" s="2600" t="s">
        <v>680</v>
      </c>
      <c r="E64" s="782" t="s">
        <v>1746</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2600" t="s">
        <v>683</v>
      </c>
      <c r="E65" s="782" t="s">
        <v>1746</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-3</v>
      </c>
      <c r="D66" s="2599" t="s">
        <v>700</v>
      </c>
      <c r="E66" s="2598"/>
      <c r="F66" s="818"/>
      <c r="K66" s="2068"/>
      <c r="O66" s="2359" t="s">
        <v>2376</v>
      </c>
      <c r="P66" s="2360" t="s">
        <v>2406</v>
      </c>
      <c r="Q66" s="2361">
        <f ca="1">C40+J29</f>
        <v>835</v>
      </c>
      <c r="R66" s="2360" t="s">
        <v>2377</v>
      </c>
    </row>
    <row r="67" spans="1:18" s="2041" customFormat="1" ht="19.2" thickBot="1">
      <c r="A67" s="779" t="s">
        <v>1779</v>
      </c>
      <c r="B67" s="2214" t="s">
        <v>2298</v>
      </c>
      <c r="C67" s="781">
        <f ca="1">ROUND(C66*(1-((1+F69)/(1+F67))^F68)/(F67-F69),0)</f>
        <v>-37</v>
      </c>
      <c r="D67" s="812" t="s">
        <v>704</v>
      </c>
      <c r="E67" s="782" t="s">
        <v>705</v>
      </c>
      <c r="F67" s="792">
        <f ca="1">F40</f>
        <v>5.5E-2</v>
      </c>
      <c r="K67" s="2068"/>
      <c r="O67" s="2359" t="s">
        <v>2378</v>
      </c>
      <c r="P67" s="2360" t="s">
        <v>2409</v>
      </c>
      <c r="Q67" s="2361">
        <f ca="1">L60</f>
        <v>0</v>
      </c>
      <c r="R67" s="2364" t="s">
        <v>2411</v>
      </c>
    </row>
    <row r="68" spans="1:18" ht="20.399999999999999" thickBot="1">
      <c r="A68" s="784"/>
      <c r="B68" s="785"/>
      <c r="C68" s="786"/>
      <c r="D68" s="819" t="s">
        <v>1807</v>
      </c>
      <c r="E68" s="782" t="s">
        <v>1783</v>
      </c>
      <c r="F68" s="820">
        <f ca="1">F41</f>
        <v>21.39</v>
      </c>
      <c r="O68" s="2362" t="s">
        <v>2380</v>
      </c>
      <c r="P68" s="2360" t="s">
        <v>2410</v>
      </c>
      <c r="Q68" s="2366">
        <f ca="1">L51</f>
        <v>502</v>
      </c>
      <c r="R68" s="2367" t="s">
        <v>2413</v>
      </c>
    </row>
    <row r="69" spans="1:18" ht="19.2" thickBot="1">
      <c r="A69" s="788"/>
      <c r="B69" s="789"/>
      <c r="C69" s="790"/>
      <c r="D69" s="814"/>
      <c r="E69" s="782" t="s">
        <v>710</v>
      </c>
      <c r="F69" s="2332"/>
      <c r="O69" s="2362" t="s">
        <v>2381</v>
      </c>
      <c r="P69" s="2368" t="s">
        <v>2395</v>
      </c>
      <c r="Q69" s="2361">
        <f ca="1">ROUND(Q70-Q71*Q72,0)</f>
        <v>36</v>
      </c>
      <c r="R69" s="2364"/>
    </row>
    <row r="70" spans="1:18" ht="16.2" thickBot="1">
      <c r="A70" s="821" t="s">
        <v>1786</v>
      </c>
      <c r="B70" s="822" t="s">
        <v>1809</v>
      </c>
      <c r="C70" s="823">
        <f ca="1">ROUND(C67*10000/F70,0)</f>
        <v>-1093</v>
      </c>
      <c r="D70" s="824" t="s">
        <v>1810</v>
      </c>
      <c r="E70" s="825" t="s">
        <v>1811</v>
      </c>
      <c r="F70" s="826">
        <f ca="1">F43</f>
        <v>338.4</v>
      </c>
      <c r="O70" s="2362" t="s">
        <v>2396</v>
      </c>
      <c r="P70" s="2368" t="s">
        <v>2397</v>
      </c>
      <c r="Q70" s="2361">
        <f ca="1">C39</f>
        <v>52</v>
      </c>
      <c r="R70" s="2360" t="s">
        <v>2377</v>
      </c>
    </row>
    <row r="71" spans="1:18" ht="16.2" thickBot="1">
      <c r="O71" s="2362" t="s">
        <v>2398</v>
      </c>
      <c r="P71" s="2368" t="s">
        <v>2399</v>
      </c>
      <c r="Q71" s="2361">
        <f ca="1">C13</f>
        <v>183</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835</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9" sqref="F39"/>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3022</v>
      </c>
      <c r="D1" s="3073" t="s">
        <v>3035</v>
      </c>
      <c r="E1" s="2348" t="s">
        <v>869</v>
      </c>
      <c r="F1" s="2349">
        <f ca="1">J53</f>
        <v>31.4</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3461</v>
      </c>
      <c r="C2" s="2039"/>
      <c r="D2" s="2037"/>
      <c r="E2" s="2038"/>
      <c r="F2" s="2038"/>
      <c r="G2" s="1573"/>
      <c r="H2" s="2039"/>
      <c r="I2" s="2039"/>
      <c r="J2" s="2039"/>
      <c r="K2" s="2040"/>
      <c r="L2" s="2039"/>
      <c r="M2" s="2039"/>
    </row>
    <row r="3" spans="1:33" ht="18" customHeight="1" thickBot="1">
      <c r="A3" s="831" t="s">
        <v>794</v>
      </c>
      <c r="B3" s="832">
        <f ca="1">IF(ISERROR(B2*10000/F43),0,ROUND(B2*10000/F43,0))</f>
        <v>10058</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226</v>
      </c>
      <c r="D5" s="2457" t="s">
        <v>2458</v>
      </c>
      <c r="E5" s="2451"/>
      <c r="F5" s="2452"/>
      <c r="G5" s="1575"/>
      <c r="H5" s="779">
        <v>1</v>
      </c>
      <c r="I5" s="780" t="s">
        <v>2455</v>
      </c>
      <c r="J5" s="55">
        <f ca="1">J6+J10+J12</f>
        <v>0</v>
      </c>
      <c r="K5" s="2457" t="s">
        <v>2458</v>
      </c>
      <c r="L5" s="2451"/>
      <c r="M5" s="2452"/>
    </row>
    <row r="6" spans="1:33" ht="18" customHeight="1">
      <c r="A6" s="1812" t="s">
        <v>1823</v>
      </c>
      <c r="B6" s="3469" t="s">
        <v>2460</v>
      </c>
      <c r="C6" s="781">
        <f ca="1">ROUND(F6*F8*F7*(1-F9)/10000,0)</f>
        <v>226</v>
      </c>
      <c r="D6" s="2458" t="s">
        <v>2459</v>
      </c>
      <c r="E6" s="782" t="s">
        <v>1737</v>
      </c>
      <c r="F6" s="783">
        <f ca="1">INDIRECT("'数据-取费表'!u"&amp;$G$1)</f>
        <v>2</v>
      </c>
      <c r="G6" s="1575"/>
      <c r="H6" s="2465" t="s">
        <v>1823</v>
      </c>
      <c r="I6" s="3469" t="s">
        <v>2460</v>
      </c>
      <c r="J6" s="781">
        <f ca="1">ROUND(M6*M8*M7*(1-M9)/10000,0)</f>
        <v>0</v>
      </c>
      <c r="K6" s="339" t="s">
        <v>636</v>
      </c>
      <c r="L6" s="782" t="s">
        <v>1737</v>
      </c>
      <c r="M6" s="783">
        <f ca="1">INDIRECT("'数据-取费表'!z"&amp;$G$1)</f>
        <v>0</v>
      </c>
    </row>
    <row r="7" spans="1:33" ht="18" customHeight="1">
      <c r="A7" s="2461"/>
      <c r="B7" s="3470"/>
      <c r="C7" s="786"/>
      <c r="D7" s="787"/>
      <c r="E7" s="782" t="s">
        <v>638</v>
      </c>
      <c r="F7" s="783">
        <f ca="1">IF(INDIRECT("'数据-取费表'!ah"&amp;$G$1)="",INDIRECT("'数据-取费表'!k"&amp;$G$1),INDIRECT("'数据-取费表'!ah"&amp;$G$1))</f>
        <v>3440.91</v>
      </c>
      <c r="G7" s="1575"/>
      <c r="H7" s="2450"/>
      <c r="I7" s="3470"/>
      <c r="J7" s="786"/>
      <c r="K7" s="787"/>
      <c r="L7" s="782" t="s">
        <v>638</v>
      </c>
      <c r="M7" s="783">
        <f ca="1">F7</f>
        <v>3440.91</v>
      </c>
    </row>
    <row r="8" spans="1:33" ht="18" customHeight="1">
      <c r="A8" s="2454"/>
      <c r="B8" s="3471"/>
      <c r="C8" s="786"/>
      <c r="D8" s="787"/>
      <c r="E8" s="782" t="s">
        <v>639</v>
      </c>
      <c r="F8" s="783">
        <f ca="1">INDIRECT("'数据-取费表'!ai"&amp;$G$1)</f>
        <v>365</v>
      </c>
      <c r="G8" s="1575"/>
      <c r="H8" s="2450"/>
      <c r="I8" s="3471"/>
      <c r="J8" s="786"/>
      <c r="K8" s="787"/>
      <c r="L8" s="782" t="s">
        <v>639</v>
      </c>
      <c r="M8" s="783">
        <f ca="1">INDIRECT("'数据-取费表'!ai"&amp;$G$1)</f>
        <v>365</v>
      </c>
    </row>
    <row r="9" spans="1:33" ht="18" customHeight="1">
      <c r="A9" s="784"/>
      <c r="B9" s="3472"/>
      <c r="C9" s="786"/>
      <c r="D9" s="787"/>
      <c r="E9" s="782" t="s">
        <v>1740</v>
      </c>
      <c r="F9" s="792">
        <f ca="1">INDIRECT("'数据-取费表'!w"&amp;$G$1)</f>
        <v>0.1</v>
      </c>
      <c r="G9" s="1575"/>
      <c r="H9" s="2466"/>
      <c r="I9" s="3471"/>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1361</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972</v>
      </c>
      <c r="D14" s="3179" t="s">
        <v>1744</v>
      </c>
      <c r="E14" s="3180"/>
      <c r="F14" s="803"/>
      <c r="G14" s="1575"/>
      <c r="H14" s="1631" t="s">
        <v>1823</v>
      </c>
      <c r="I14" s="2213" t="s">
        <v>2822</v>
      </c>
      <c r="J14" s="53">
        <f ca="1">C29</f>
        <v>1361</v>
      </c>
      <c r="K14" s="26"/>
      <c r="L14" s="799"/>
      <c r="M14" s="800"/>
    </row>
    <row r="15" spans="1:33" s="2046" customFormat="1" ht="18" customHeight="1" thickBot="1">
      <c r="A15" s="1630" t="s">
        <v>1831</v>
      </c>
      <c r="B15" s="782" t="s">
        <v>647</v>
      </c>
      <c r="C15" s="53">
        <f ca="1">ROUND(C14*F15,0)</f>
        <v>49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134</v>
      </c>
      <c r="K16" s="1803" t="s">
        <v>1749</v>
      </c>
      <c r="L16" s="3181"/>
      <c r="M16" s="2452"/>
    </row>
    <row r="17" spans="1:33" s="2046" customFormat="1" ht="18" customHeight="1">
      <c r="A17" s="1630" t="s">
        <v>1886</v>
      </c>
      <c r="B17" s="782" t="s">
        <v>653</v>
      </c>
      <c r="C17" s="53">
        <f ca="1">ROUND(F17*(F43+INDIRECT("'数据-取费表'!S"&amp;$G$1))/10000,0)</f>
        <v>78</v>
      </c>
      <c r="D17" s="782" t="s">
        <v>654</v>
      </c>
      <c r="E17" s="782" t="s">
        <v>655</v>
      </c>
      <c r="F17" s="56">
        <f>'数据-取费表'!B35</f>
        <v>200</v>
      </c>
      <c r="G17" s="1576"/>
      <c r="H17" s="1631" t="s">
        <v>1823</v>
      </c>
      <c r="I17" s="782" t="s">
        <v>656</v>
      </c>
      <c r="J17" s="53">
        <f ca="1">ROUND(IF(项目基本情况!B11="自然人",J6*M17/(1+'数据-取费表'!C42),J18+J19+J20),0)</f>
        <v>114</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15</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1114</v>
      </c>
      <c r="D19" s="259" t="s">
        <v>663</v>
      </c>
      <c r="E19" s="3183"/>
      <c r="F19" s="56"/>
      <c r="G19" s="1575"/>
      <c r="H19" s="1630" t="s">
        <v>1831</v>
      </c>
      <c r="I19" s="782" t="s">
        <v>664</v>
      </c>
      <c r="J19" s="53">
        <f ca="1">IF(K19="按租金收入计税",ROUND(J6*M19/(1+'数据-取费表'!C42),1),ROUND(C29*F33*0.7,1))</f>
        <v>114.3</v>
      </c>
      <c r="K19" s="809" t="s">
        <v>665</v>
      </c>
      <c r="L19" s="782" t="s">
        <v>649</v>
      </c>
      <c r="M19" s="807">
        <f>IF(K19="按租金收入计税",'数据-取费表'!B51,'数据-取费表'!B50)</f>
        <v>1.2E-2</v>
      </c>
    </row>
    <row r="20" spans="1:33" s="2046" customFormat="1" ht="18" customHeight="1">
      <c r="A20" s="1631" t="s">
        <v>1888</v>
      </c>
      <c r="B20" s="782" t="s">
        <v>666</v>
      </c>
      <c r="C20" s="53">
        <f ca="1">ROUND(C19*F20,0)</f>
        <v>28</v>
      </c>
      <c r="D20" s="810" t="s">
        <v>1758</v>
      </c>
      <c r="E20" s="782" t="s">
        <v>649</v>
      </c>
      <c r="F20" s="807">
        <f>'数据-取费表'!B37</f>
        <v>2.5000000000000001E-2</v>
      </c>
      <c r="G20" s="1576"/>
      <c r="H20" s="1633" t="s">
        <v>1832</v>
      </c>
      <c r="I20" s="339" t="s">
        <v>1759</v>
      </c>
      <c r="J20" s="54">
        <f ca="1">ROUND(M20*M21/10000,0)</f>
        <v>0</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1243.3700000000001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20</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68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-134</v>
      </c>
      <c r="K25" s="2509" t="s">
        <v>1776</v>
      </c>
      <c r="L25" s="2510"/>
      <c r="M25" s="2511"/>
    </row>
    <row r="26" spans="1:33" ht="18" customHeight="1">
      <c r="A26" s="1630" t="s">
        <v>1830</v>
      </c>
      <c r="B26" s="782" t="s">
        <v>2435</v>
      </c>
      <c r="C26" s="53">
        <f ca="1">ROUND((C19+C20)*F26,0)</f>
        <v>34</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1361</v>
      </c>
      <c r="D29" s="2506"/>
      <c r="E29" s="2507"/>
      <c r="F29" s="2508"/>
      <c r="G29" s="1576"/>
      <c r="H29" s="821" t="s">
        <v>1786</v>
      </c>
      <c r="I29" s="822" t="s">
        <v>1787</v>
      </c>
      <c r="J29" s="823">
        <f ca="1">ROUND(J26/(1+F40)^F41,0)</f>
        <v>0</v>
      </c>
      <c r="K29" s="824" t="s">
        <v>1788</v>
      </c>
      <c r="L29" s="825"/>
      <c r="M29" s="826">
        <f ca="1">INDIRECT("'数据-取费表'!k"&amp;$G$1)</f>
        <v>3440.91</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63</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38.1</v>
      </c>
      <c r="D31" s="3179" t="s">
        <v>657</v>
      </c>
      <c r="E31" s="3178" t="s">
        <v>690</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1754</v>
      </c>
      <c r="C32" s="53">
        <f ca="1">ROUND(C6*F32/(1+'数据-取费表'!C42),1)</f>
        <v>12.1</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25.8</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0.2</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1243.3700000000001</v>
      </c>
      <c r="G35" s="2044"/>
      <c r="H35" s="2047"/>
      <c r="I35" s="835" t="s">
        <v>1813</v>
      </c>
      <c r="J35" s="836">
        <f ca="1">ROUND(C13*J36,0)</f>
        <v>116</v>
      </c>
      <c r="K35" s="2060"/>
      <c r="L35" s="2059"/>
      <c r="M35" s="2059"/>
    </row>
    <row r="36" spans="1:18" ht="18" customHeight="1">
      <c r="A36" s="1631" t="s">
        <v>1888</v>
      </c>
      <c r="B36" s="782" t="s">
        <v>676</v>
      </c>
      <c r="C36" s="53">
        <f ca="1">ROUND(C29*F36,1)</f>
        <v>20.399999999999999</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2</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2.2999999999999998</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163</v>
      </c>
      <c r="D39" s="2509" t="s">
        <v>1776</v>
      </c>
      <c r="E39" s="2510"/>
      <c r="F39" s="2511"/>
      <c r="G39" s="2044"/>
      <c r="H39" s="2059"/>
      <c r="I39" s="835" t="s">
        <v>1817</v>
      </c>
      <c r="J39" s="843">
        <f ca="1">ROUND(J35/C39,3)</f>
        <v>0.71199999999999997</v>
      </c>
      <c r="K39" s="2065"/>
      <c r="L39" s="2059"/>
      <c r="M39" s="2059"/>
    </row>
    <row r="40" spans="1:18" ht="18" customHeight="1">
      <c r="A40" s="779" t="s">
        <v>1779</v>
      </c>
      <c r="B40" s="2214" t="s">
        <v>2298</v>
      </c>
      <c r="C40" s="781">
        <f ca="1">ROUND(C39*(1-((1+F42)/(1+F40))^F41)/(F40-F42),0)</f>
        <v>3461</v>
      </c>
      <c r="D40" s="812" t="s">
        <v>704</v>
      </c>
      <c r="E40" s="782" t="s">
        <v>2416</v>
      </c>
      <c r="F40" s="792">
        <f ca="1">INDIRECT("'数据-取费表'!I"&amp;$G$1)</f>
        <v>0.05</v>
      </c>
      <c r="G40" s="2044"/>
      <c r="H40" s="2044"/>
      <c r="I40" s="835" t="s">
        <v>1818</v>
      </c>
      <c r="J40" s="843">
        <f ca="1">1-J39</f>
        <v>0.28800000000000003</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v>
      </c>
      <c r="G41" s="2044"/>
      <c r="H41" s="1970"/>
      <c r="I41" s="841" t="s">
        <v>1819</v>
      </c>
      <c r="J41" s="844"/>
      <c r="K41" s="2064"/>
      <c r="L41" s="1970"/>
      <c r="M41" s="1970"/>
    </row>
    <row r="42" spans="1:18" ht="18" customHeight="1">
      <c r="A42" s="788"/>
      <c r="B42" s="789"/>
      <c r="C42" s="790"/>
      <c r="D42" s="814"/>
      <c r="E42" s="782" t="s">
        <v>1785</v>
      </c>
      <c r="F42" s="792">
        <f ca="1">INDIRECT("'数据-取费表'!v"&amp;$G$1)</f>
        <v>2.5000000000000001E-2</v>
      </c>
      <c r="G42" s="2044"/>
      <c r="H42" s="1970"/>
      <c r="I42" s="845" t="s">
        <v>1820</v>
      </c>
      <c r="J42" s="843">
        <f ca="1">ROUND(C13/C40,3)</f>
        <v>0.39300000000000002</v>
      </c>
      <c r="K42" s="2064"/>
      <c r="L42" s="1970"/>
      <c r="M42" s="1970"/>
    </row>
    <row r="43" spans="1:18" ht="18" customHeight="1" thickBot="1">
      <c r="A43" s="821" t="s">
        <v>1786</v>
      </c>
      <c r="B43" s="822" t="s">
        <v>1809</v>
      </c>
      <c r="C43" s="823">
        <f ca="1">ROUND(C40*10000/F43,0)</f>
        <v>10058</v>
      </c>
      <c r="D43" s="824" t="s">
        <v>1810</v>
      </c>
      <c r="E43" s="825" t="s">
        <v>1811</v>
      </c>
      <c r="F43" s="826">
        <f ca="1">INDIRECT("'数据-取费表'!k"&amp;$G$1)</f>
        <v>3440.91</v>
      </c>
      <c r="G43" s="2044"/>
      <c r="H43" s="1970"/>
      <c r="I43" s="845" t="s">
        <v>1821</v>
      </c>
      <c r="J43" s="846">
        <f ca="1">1-J42</f>
        <v>0.60699999999999998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-3822</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v>
      </c>
      <c r="O48" s="2359" t="s">
        <v>2376</v>
      </c>
      <c r="P48" s="2360" t="s">
        <v>2402</v>
      </c>
      <c r="Q48" s="2361">
        <f ca="1">C40+J29</f>
        <v>3461</v>
      </c>
      <c r="R48" s="2360" t="s">
        <v>2377</v>
      </c>
    </row>
    <row r="49" spans="1:18" s="2041" customFormat="1" ht="18" customHeight="1" thickBot="1">
      <c r="A49" s="784"/>
      <c r="B49" s="785"/>
      <c r="C49" s="786"/>
      <c r="D49" s="787"/>
      <c r="E49" s="782" t="s">
        <v>638</v>
      </c>
      <c r="F49" s="783">
        <f ca="1">F7</f>
        <v>3440.91</v>
      </c>
      <c r="G49" s="2072"/>
      <c r="H49" s="2075"/>
      <c r="I49" s="3074" t="s">
        <v>2343</v>
      </c>
      <c r="J49" s="2344"/>
      <c r="K49" s="3103" t="s">
        <v>2349</v>
      </c>
      <c r="L49" s="2345"/>
      <c r="O49" s="2359" t="s">
        <v>2378</v>
      </c>
      <c r="P49" s="2360" t="s">
        <v>2403</v>
      </c>
      <c r="Q49" s="2361">
        <f ca="1">J60</f>
        <v>592</v>
      </c>
      <c r="R49" s="2360" t="s">
        <v>2379</v>
      </c>
    </row>
    <row r="50" spans="1:18" s="2041" customFormat="1" ht="18" customHeight="1" thickBot="1">
      <c r="A50" s="784"/>
      <c r="B50" s="785"/>
      <c r="C50" s="786"/>
      <c r="D50" s="787"/>
      <c r="E50" s="782" t="s">
        <v>639</v>
      </c>
      <c r="F50" s="783">
        <f ca="1">F8</f>
        <v>365</v>
      </c>
      <c r="G50" s="2077"/>
      <c r="H50" s="2075"/>
      <c r="I50" s="3074" t="s">
        <v>2344</v>
      </c>
      <c r="J50" s="3099">
        <f>SUMPRODUCT((I63:I65=J47)*(J62:L62=J48)*(J63:L65))</f>
        <v>60</v>
      </c>
      <c r="K50" s="3103" t="s">
        <v>2350</v>
      </c>
      <c r="L50" s="2345"/>
      <c r="O50" s="2362" t="s">
        <v>2380</v>
      </c>
      <c r="P50" s="2360" t="s">
        <v>2404</v>
      </c>
      <c r="Q50" s="2361">
        <f ca="1">C29</f>
        <v>1361</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815</v>
      </c>
      <c r="O51" s="2362" t="s">
        <v>2381</v>
      </c>
      <c r="P51" s="2360" t="s">
        <v>2382</v>
      </c>
      <c r="Q51" s="2363">
        <f ca="1">J58</f>
        <v>0.435</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v>
      </c>
      <c r="K53" s="3480" t="s">
        <v>2954</v>
      </c>
      <c r="L53" s="3481"/>
      <c r="O53" s="2362" t="s">
        <v>2385</v>
      </c>
      <c r="P53" s="2360" t="s">
        <v>2386</v>
      </c>
      <c r="Q53" s="2361">
        <f ca="1">J53</f>
        <v>31.4</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4053</v>
      </c>
      <c r="R54" s="2364" t="s">
        <v>2389</v>
      </c>
    </row>
    <row r="55" spans="1:18" s="2041" customFormat="1" ht="18" customHeight="1" thickTop="1" thickBot="1">
      <c r="A55" s="795">
        <v>2</v>
      </c>
      <c r="B55" s="796" t="s">
        <v>644</v>
      </c>
      <c r="C55" s="797">
        <f ca="1">C13</f>
        <v>1361</v>
      </c>
      <c r="D55" s="793"/>
      <c r="E55" s="793"/>
      <c r="F55" s="798"/>
      <c r="I55" s="3109" t="s">
        <v>2352</v>
      </c>
      <c r="J55" s="3049">
        <f ca="1">ROUND(IF(J47="钢混",J57/J50,1-(1-2%)*(J50-J57)/J50),3)</f>
        <v>0.435</v>
      </c>
      <c r="K55" s="3110" t="s">
        <v>2353</v>
      </c>
      <c r="L55" s="2347"/>
      <c r="O55" s="2365" t="s">
        <v>2408</v>
      </c>
      <c r="P55" s="1575"/>
      <c r="Q55" s="1586"/>
      <c r="R55" s="1575"/>
    </row>
    <row r="56" spans="1:18" s="2041" customFormat="1" ht="42.75" customHeight="1" thickBot="1">
      <c r="A56" s="1632"/>
      <c r="B56" s="2213" t="s">
        <v>2297</v>
      </c>
      <c r="C56" s="53">
        <f ca="1">C29</f>
        <v>1361</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23</v>
      </c>
      <c r="D57" s="26" t="s">
        <v>1749</v>
      </c>
      <c r="E57" s="3183"/>
      <c r="F57" s="56"/>
      <c r="I57" s="3112" t="s">
        <v>2355</v>
      </c>
      <c r="J57" s="3113">
        <f ca="1">IF(OR(M47="住宅",J51&lt;L48,J56="是"),"——",J51-L48)</f>
        <v>26.1</v>
      </c>
      <c r="K57" s="3074" t="s">
        <v>2360</v>
      </c>
      <c r="L57" s="1890" t="str">
        <f ca="1">IF(L48&lt;J51,"——",IF(L55="比较法",L49,IF(L55="基准地价",L50,L51)))</f>
        <v>——</v>
      </c>
      <c r="O57" s="2359" t="s">
        <v>2376</v>
      </c>
      <c r="P57" s="2360" t="s">
        <v>2402</v>
      </c>
      <c r="Q57" s="2361">
        <f ca="1">C40+J29</f>
        <v>3461</v>
      </c>
      <c r="R57" s="2360" t="s">
        <v>2377</v>
      </c>
    </row>
    <row r="58" spans="1:18" s="2041" customFormat="1" ht="28.5" customHeight="1" thickBot="1">
      <c r="A58" s="1631" t="s">
        <v>1823</v>
      </c>
      <c r="B58" s="782" t="s">
        <v>656</v>
      </c>
      <c r="C58" s="53">
        <f ca="1">ROUND(IF(项目基本情况!B11="自然人",C47*F58,C59+C60+C61),1)</f>
        <v>0.2</v>
      </c>
      <c r="D58" s="3179" t="s">
        <v>657</v>
      </c>
      <c r="E58" s="3178" t="s">
        <v>690</v>
      </c>
      <c r="F58" s="808">
        <f ca="1">IF(项目基本情况!B11="企业","",IF(INDIRECT("'数据-取费表'!c"&amp;$G$1)="住宅",5%,IF(F48*F49*F50/12/(1+'数据-取费表'!C42)&gt;20000,12%,7%)))</f>
        <v>7.0000000000000007E-2</v>
      </c>
      <c r="I58" s="3112" t="s">
        <v>2356</v>
      </c>
      <c r="J58" s="3050">
        <f ca="1">IF(J55&lt;0.4,0.4,J55)</f>
        <v>0.435</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592</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592</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0.2</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1243.3700000000001</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20.399999999999999</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3461</v>
      </c>
      <c r="R63" s="2364" t="s">
        <v>2389</v>
      </c>
    </row>
    <row r="64" spans="1:18" s="2041" customFormat="1" ht="16.2" thickBot="1">
      <c r="A64" s="1631" t="s">
        <v>1889</v>
      </c>
      <c r="B64" s="782" t="s">
        <v>679</v>
      </c>
      <c r="C64" s="53">
        <f ca="1">ROUND(C55*F64,1)</f>
        <v>2</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-23</v>
      </c>
      <c r="D66" s="3179" t="s">
        <v>700</v>
      </c>
      <c r="E66" s="3182"/>
      <c r="F66" s="818"/>
      <c r="K66" s="2068"/>
      <c r="O66" s="2359" t="s">
        <v>2376</v>
      </c>
      <c r="P66" s="2360" t="s">
        <v>2402</v>
      </c>
      <c r="Q66" s="2361">
        <f ca="1">C40+J29</f>
        <v>3461</v>
      </c>
      <c r="R66" s="2360" t="s">
        <v>2377</v>
      </c>
    </row>
    <row r="67" spans="1:18" s="2041" customFormat="1" ht="19.2" thickBot="1">
      <c r="A67" s="779" t="s">
        <v>1779</v>
      </c>
      <c r="B67" s="2214" t="s">
        <v>2298</v>
      </c>
      <c r="C67" s="781">
        <f ca="1">ROUND(C66*(1-((1+F69)/(1+F67))^F68)/(F67-F69),0)</f>
        <v>-361</v>
      </c>
      <c r="D67" s="812" t="s">
        <v>704</v>
      </c>
      <c r="E67" s="782" t="s">
        <v>705</v>
      </c>
      <c r="F67" s="792">
        <f ca="1">F40</f>
        <v>0.05</v>
      </c>
      <c r="K67" s="2068"/>
      <c r="O67" s="2359" t="s">
        <v>2378</v>
      </c>
      <c r="P67" s="2360" t="s">
        <v>2409</v>
      </c>
      <c r="Q67" s="2361">
        <f ca="1">L60</f>
        <v>0</v>
      </c>
      <c r="R67" s="2364" t="s">
        <v>2411</v>
      </c>
    </row>
    <row r="68" spans="1:18" ht="20.399999999999999" thickBot="1">
      <c r="A68" s="784"/>
      <c r="B68" s="785"/>
      <c r="C68" s="786"/>
      <c r="D68" s="819" t="s">
        <v>1807</v>
      </c>
      <c r="E68" s="782" t="s">
        <v>708</v>
      </c>
      <c r="F68" s="820">
        <f ca="1">F41</f>
        <v>31.4</v>
      </c>
      <c r="O68" s="2362" t="s">
        <v>2380</v>
      </c>
      <c r="P68" s="2360" t="s">
        <v>2410</v>
      </c>
      <c r="Q68" s="2366">
        <f ca="1">L51</f>
        <v>815</v>
      </c>
      <c r="R68" s="2367" t="s">
        <v>2413</v>
      </c>
    </row>
    <row r="69" spans="1:18" ht="19.2" thickBot="1">
      <c r="A69" s="788"/>
      <c r="B69" s="789"/>
      <c r="C69" s="790"/>
      <c r="D69" s="814"/>
      <c r="E69" s="782" t="s">
        <v>710</v>
      </c>
      <c r="F69" s="2332"/>
      <c r="O69" s="2362" t="s">
        <v>2381</v>
      </c>
      <c r="P69" s="2368" t="s">
        <v>2395</v>
      </c>
      <c r="Q69" s="2361">
        <f ca="1">ROUND(Q70-Q71*Q72,0)</f>
        <v>47</v>
      </c>
      <c r="R69" s="2364"/>
    </row>
    <row r="70" spans="1:18" ht="16.2" thickBot="1">
      <c r="A70" s="821" t="s">
        <v>1786</v>
      </c>
      <c r="B70" s="822" t="s">
        <v>1809</v>
      </c>
      <c r="C70" s="823">
        <f ca="1">ROUND(C67*10000/F70,0)</f>
        <v>-1049</v>
      </c>
      <c r="D70" s="824" t="s">
        <v>1810</v>
      </c>
      <c r="E70" s="825" t="s">
        <v>1811</v>
      </c>
      <c r="F70" s="826">
        <f ca="1">F43</f>
        <v>3440.91</v>
      </c>
      <c r="O70" s="2362" t="s">
        <v>2396</v>
      </c>
      <c r="P70" s="2368" t="s">
        <v>2397</v>
      </c>
      <c r="Q70" s="2361">
        <f ca="1">C39</f>
        <v>163</v>
      </c>
      <c r="R70" s="2360" t="s">
        <v>2377</v>
      </c>
    </row>
    <row r="71" spans="1:18" ht="16.2" thickBot="1">
      <c r="O71" s="2362" t="s">
        <v>2398</v>
      </c>
      <c r="P71" s="2368" t="s">
        <v>2399</v>
      </c>
      <c r="Q71" s="2361">
        <f ca="1">C13</f>
        <v>1361</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3461</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35</v>
      </c>
      <c r="D1" s="3073" t="s">
        <v>3035</v>
      </c>
      <c r="E1" s="2348" t="s">
        <v>869</v>
      </c>
      <c r="F1" s="2349">
        <f ca="1">J53</f>
        <v>31.4</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-3057</v>
      </c>
      <c r="C2" s="2039"/>
      <c r="D2" s="2037"/>
      <c r="E2" s="2038"/>
      <c r="F2" s="2038"/>
      <c r="G2" s="1573"/>
      <c r="H2" s="2039"/>
      <c r="I2" s="2039"/>
      <c r="J2" s="2039"/>
      <c r="K2" s="2040"/>
      <c r="L2" s="2039"/>
      <c r="M2" s="2039"/>
    </row>
    <row r="3" spans="1:33" ht="18" customHeight="1" thickBot="1">
      <c r="A3" s="831" t="s">
        <v>794</v>
      </c>
      <c r="B3" s="832">
        <f ca="1">IF(ISERROR(B2*10000/F43),0,ROUND(B2*10000/F43,0))</f>
        <v>-1030</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0</v>
      </c>
      <c r="D5" s="2457" t="s">
        <v>2458</v>
      </c>
      <c r="E5" s="2451"/>
      <c r="F5" s="2452"/>
      <c r="G5" s="1575"/>
      <c r="H5" s="779">
        <v>1</v>
      </c>
      <c r="I5" s="780" t="s">
        <v>2455</v>
      </c>
      <c r="J5" s="55">
        <f ca="1">J6+J10+J12</f>
        <v>0</v>
      </c>
      <c r="K5" s="2457" t="s">
        <v>2458</v>
      </c>
      <c r="L5" s="2451"/>
      <c r="M5" s="2452"/>
    </row>
    <row r="6" spans="1:33" ht="18" customHeight="1">
      <c r="A6" s="1812" t="s">
        <v>1823</v>
      </c>
      <c r="B6" s="3469" t="s">
        <v>2460</v>
      </c>
      <c r="C6" s="781">
        <f ca="1">ROUND(F6*F8*F7*(1-F9)/10000,0)</f>
        <v>0</v>
      </c>
      <c r="D6" s="2458" t="s">
        <v>2459</v>
      </c>
      <c r="E6" s="782" t="s">
        <v>1737</v>
      </c>
      <c r="F6" s="783">
        <f ca="1">INDIRECT("'数据-取费表'!u"&amp;$G$1)</f>
        <v>0</v>
      </c>
      <c r="G6" s="1575"/>
      <c r="H6" s="2465" t="s">
        <v>1823</v>
      </c>
      <c r="I6" s="3469" t="s">
        <v>2460</v>
      </c>
      <c r="J6" s="781">
        <f ca="1">ROUND(M6*M8*M7*(1-M9)/10000,0)</f>
        <v>0</v>
      </c>
      <c r="K6" s="339" t="s">
        <v>636</v>
      </c>
      <c r="L6" s="782" t="s">
        <v>1737</v>
      </c>
      <c r="M6" s="783">
        <f ca="1">INDIRECT("'数据-取费表'!z"&amp;$G$1)</f>
        <v>0</v>
      </c>
    </row>
    <row r="7" spans="1:33" ht="18" customHeight="1">
      <c r="A7" s="2461"/>
      <c r="B7" s="3470"/>
      <c r="C7" s="786"/>
      <c r="D7" s="787"/>
      <c r="E7" s="782" t="s">
        <v>638</v>
      </c>
      <c r="F7" s="783">
        <f ca="1">IF(INDIRECT("'数据-取费表'!ah"&amp;$G$1)="",INDIRECT("'数据-取费表'!k"&amp;$G$1),INDIRECT("'数据-取费表'!ah"&amp;$G$1))</f>
        <v>947</v>
      </c>
      <c r="G7" s="1575"/>
      <c r="H7" s="2450"/>
      <c r="I7" s="3470"/>
      <c r="J7" s="786"/>
      <c r="K7" s="787"/>
      <c r="L7" s="782" t="s">
        <v>638</v>
      </c>
      <c r="M7" s="783">
        <f ca="1">F7</f>
        <v>947</v>
      </c>
    </row>
    <row r="8" spans="1:33" ht="18" customHeight="1">
      <c r="A8" s="2454"/>
      <c r="B8" s="3471"/>
      <c r="C8" s="786"/>
      <c r="D8" s="787"/>
      <c r="E8" s="782" t="s">
        <v>639</v>
      </c>
      <c r="F8" s="783">
        <f ca="1">INDIRECT("'数据-取费表'!ai"&amp;$G$1)</f>
        <v>12</v>
      </c>
      <c r="G8" s="1575"/>
      <c r="H8" s="2450"/>
      <c r="I8" s="3471"/>
      <c r="J8" s="786"/>
      <c r="K8" s="787"/>
      <c r="L8" s="782" t="s">
        <v>639</v>
      </c>
      <c r="M8" s="783">
        <f ca="1">INDIRECT("'数据-取费表'!ai"&amp;$G$1)</f>
        <v>12</v>
      </c>
    </row>
    <row r="9" spans="1:33" ht="18" customHeight="1">
      <c r="A9" s="784"/>
      <c r="B9" s="3472"/>
      <c r="C9" s="786"/>
      <c r="D9" s="787"/>
      <c r="E9" s="782" t="s">
        <v>1740</v>
      </c>
      <c r="F9" s="792">
        <f ca="1">INDIRECT("'数据-取费表'!w"&amp;$G$1)</f>
        <v>0</v>
      </c>
      <c r="G9" s="1575"/>
      <c r="H9" s="2466"/>
      <c r="I9" s="3471"/>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11733</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8385</v>
      </c>
      <c r="D14" s="3179" t="s">
        <v>1744</v>
      </c>
      <c r="E14" s="3180"/>
      <c r="F14" s="803"/>
      <c r="G14" s="1575"/>
      <c r="H14" s="1631" t="s">
        <v>1823</v>
      </c>
      <c r="I14" s="2213" t="s">
        <v>2822</v>
      </c>
      <c r="J14" s="53">
        <f ca="1">C29</f>
        <v>11733</v>
      </c>
      <c r="K14" s="26"/>
      <c r="L14" s="799"/>
      <c r="M14" s="800"/>
    </row>
    <row r="15" spans="1:33" s="2046" customFormat="1" ht="18" customHeight="1" thickBot="1">
      <c r="A15" s="1630" t="s">
        <v>1831</v>
      </c>
      <c r="B15" s="782" t="s">
        <v>647</v>
      </c>
      <c r="C15" s="53">
        <f ca="1">ROUND(C14*F15,0)</f>
        <v>419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1164</v>
      </c>
      <c r="K16" s="1803" t="s">
        <v>1749</v>
      </c>
      <c r="L16" s="3181"/>
      <c r="M16" s="2452"/>
    </row>
    <row r="17" spans="1:33" s="2046" customFormat="1" ht="18" customHeight="1">
      <c r="A17" s="1630" t="s">
        <v>1886</v>
      </c>
      <c r="B17" s="782" t="s">
        <v>653</v>
      </c>
      <c r="C17" s="53">
        <f ca="1">ROUND(F17*(F43+INDIRECT("'数据-取费表'!S"&amp;$G$1))/10000,0)</f>
        <v>671</v>
      </c>
      <c r="D17" s="782" t="s">
        <v>654</v>
      </c>
      <c r="E17" s="782" t="s">
        <v>655</v>
      </c>
      <c r="F17" s="56">
        <f>'数据-取费表'!B35</f>
        <v>200</v>
      </c>
      <c r="G17" s="1576"/>
      <c r="H17" s="1631" t="s">
        <v>1823</v>
      </c>
      <c r="I17" s="782" t="s">
        <v>656</v>
      </c>
      <c r="J17" s="53">
        <f ca="1">ROUND(IF(项目基本情况!B11="自然人",J6*M17/(1+'数据-取费表'!C42),J18+J19+J20),0)</f>
        <v>988</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126</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9601</v>
      </c>
      <c r="D19" s="259" t="s">
        <v>663</v>
      </c>
      <c r="E19" s="3183"/>
      <c r="F19" s="56"/>
      <c r="G19" s="1575"/>
      <c r="H19" s="1630" t="s">
        <v>1831</v>
      </c>
      <c r="I19" s="782" t="s">
        <v>664</v>
      </c>
      <c r="J19" s="53">
        <f ca="1">IF(K19="按租金收入计税",ROUND(J6*M19/(1+'数据-取费表'!C42),1),ROUND(C29*F33*0.7,1))</f>
        <v>985.6</v>
      </c>
      <c r="K19" s="809" t="s">
        <v>665</v>
      </c>
      <c r="L19" s="782" t="s">
        <v>649</v>
      </c>
      <c r="M19" s="807">
        <f>IF(K19="按租金收入计税",'数据-取费表'!B51,'数据-取费表'!B50)</f>
        <v>1.2E-2</v>
      </c>
    </row>
    <row r="20" spans="1:33" s="2046" customFormat="1" ht="18" customHeight="1">
      <c r="A20" s="1631" t="s">
        <v>1888</v>
      </c>
      <c r="B20" s="782" t="s">
        <v>666</v>
      </c>
      <c r="C20" s="53">
        <f ca="1">ROUND(C19*F20,0)</f>
        <v>240</v>
      </c>
      <c r="D20" s="810" t="s">
        <v>1758</v>
      </c>
      <c r="E20" s="782" t="s">
        <v>649</v>
      </c>
      <c r="F20" s="807">
        <f>'数据-取费表'!B37</f>
        <v>2.5000000000000001E-2</v>
      </c>
      <c r="G20" s="1576"/>
      <c r="H20" s="1633" t="s">
        <v>1832</v>
      </c>
      <c r="I20" s="339" t="s">
        <v>1759</v>
      </c>
      <c r="J20" s="54">
        <f ca="1">ROUND(M20*M21/10000,0)</f>
        <v>2</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10727.57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176</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588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-1164</v>
      </c>
      <c r="K25" s="2509" t="s">
        <v>1776</v>
      </c>
      <c r="L25" s="2510"/>
      <c r="M25" s="2511"/>
    </row>
    <row r="26" spans="1:33" ht="18" customHeight="1">
      <c r="A26" s="1630" t="s">
        <v>1830</v>
      </c>
      <c r="B26" s="782" t="s">
        <v>2435</v>
      </c>
      <c r="C26" s="53">
        <f ca="1">ROUND((C19+C20)*F26,0)</f>
        <v>295</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11733</v>
      </c>
      <c r="D29" s="2506"/>
      <c r="E29" s="2507"/>
      <c r="F29" s="2508"/>
      <c r="G29" s="1576"/>
      <c r="H29" s="821" t="s">
        <v>1786</v>
      </c>
      <c r="I29" s="822" t="s">
        <v>1787</v>
      </c>
      <c r="J29" s="823">
        <f ca="1">ROUND(J26/(1+F40)^F41,0)</f>
        <v>0</v>
      </c>
      <c r="K29" s="824" t="s">
        <v>1788</v>
      </c>
      <c r="L29" s="825"/>
      <c r="M29" s="826">
        <f ca="1">INDIRECT("'数据-取费表'!k"&amp;$G$1)</f>
        <v>29687.75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195</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1.6</v>
      </c>
      <c r="D31" s="3179" t="s">
        <v>657</v>
      </c>
      <c r="E31" s="3178" t="s">
        <v>690</v>
      </c>
      <c r="F31" s="808">
        <f ca="1">IF(项目基本情况!B11="企业","",IF(INDIRECT("'数据-取费表'!c"&amp;$G$1)="住宅",5%,IF(F6*F7*F8/12/(1+'数据-取费表'!C42)&gt;20000,12%,7%)))</f>
        <v>7.0000000000000007E-2</v>
      </c>
      <c r="G31" s="2044"/>
      <c r="H31" s="2047"/>
      <c r="I31" s="2048"/>
      <c r="J31" s="2049"/>
      <c r="K31" s="2050"/>
      <c r="L31" s="2051"/>
      <c r="M31" s="2052"/>
    </row>
    <row r="32" spans="1:33" ht="18" customHeight="1">
      <c r="A32" s="1630" t="s">
        <v>1830</v>
      </c>
      <c r="B32" s="782" t="s">
        <v>1754</v>
      </c>
      <c r="C32" s="53">
        <f ca="1">ROUND(C6*F32/(1+'数据-取费表'!C42),1)</f>
        <v>0</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0</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1.6</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10727.57</v>
      </c>
      <c r="G35" s="2044"/>
      <c r="H35" s="2047"/>
      <c r="I35" s="835" t="s">
        <v>1813</v>
      </c>
      <c r="J35" s="836">
        <f ca="1">ROUND(C13*J36,0)</f>
        <v>997</v>
      </c>
      <c r="K35" s="2060"/>
      <c r="L35" s="2059"/>
      <c r="M35" s="2059"/>
    </row>
    <row r="36" spans="1:18" ht="18" customHeight="1">
      <c r="A36" s="1631" t="s">
        <v>1888</v>
      </c>
      <c r="B36" s="782" t="s">
        <v>676</v>
      </c>
      <c r="C36" s="53">
        <f ca="1">ROUND(C29*F36,1)</f>
        <v>176</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17.600000000000001</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-195</v>
      </c>
      <c r="D39" s="2509" t="s">
        <v>1776</v>
      </c>
      <c r="E39" s="2510"/>
      <c r="F39" s="2511"/>
      <c r="G39" s="2044"/>
      <c r="H39" s="2059"/>
      <c r="I39" s="835" t="s">
        <v>1817</v>
      </c>
      <c r="J39" s="843">
        <f ca="1">ROUND(J35/C39,3)</f>
        <v>-5.1130000000000004</v>
      </c>
      <c r="K39" s="2065"/>
      <c r="L39" s="2059"/>
      <c r="M39" s="2059"/>
    </row>
    <row r="40" spans="1:18" ht="18" customHeight="1">
      <c r="A40" s="779" t="s">
        <v>1779</v>
      </c>
      <c r="B40" s="2214" t="s">
        <v>2298</v>
      </c>
      <c r="C40" s="781">
        <f ca="1">ROUND(C39*(1-((1+F42)/(1+F40))^F41)/(F40-F42),0)</f>
        <v>-3057</v>
      </c>
      <c r="D40" s="812" t="s">
        <v>704</v>
      </c>
      <c r="E40" s="782" t="s">
        <v>2416</v>
      </c>
      <c r="F40" s="792">
        <f ca="1">INDIRECT("'数据-取费表'!I"&amp;$G$1)</f>
        <v>0.05</v>
      </c>
      <c r="G40" s="2044"/>
      <c r="H40" s="2044"/>
      <c r="I40" s="835" t="s">
        <v>1818</v>
      </c>
      <c r="J40" s="843">
        <f ca="1">1-J39</f>
        <v>6.1130000000000004</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v>
      </c>
      <c r="G41" s="2044"/>
      <c r="H41" s="1970"/>
      <c r="I41" s="841" t="s">
        <v>1819</v>
      </c>
      <c r="J41" s="844"/>
      <c r="K41" s="2064"/>
      <c r="L41" s="1970"/>
      <c r="M41" s="1970"/>
    </row>
    <row r="42" spans="1:18" ht="18" customHeight="1">
      <c r="A42" s="788"/>
      <c r="B42" s="789"/>
      <c r="C42" s="790"/>
      <c r="D42" s="814"/>
      <c r="E42" s="782" t="s">
        <v>1785</v>
      </c>
      <c r="F42" s="792">
        <f ca="1">INDIRECT("'数据-取费表'!v"&amp;$G$1)</f>
        <v>0</v>
      </c>
      <c r="G42" s="2044"/>
      <c r="H42" s="1970"/>
      <c r="I42" s="845" t="s">
        <v>1820</v>
      </c>
      <c r="J42" s="843">
        <f ca="1">ROUND(C13/C40,3)</f>
        <v>-3.8380000000000001</v>
      </c>
      <c r="K42" s="2064"/>
      <c r="L42" s="1970"/>
      <c r="M42" s="1970"/>
    </row>
    <row r="43" spans="1:18" ht="18" customHeight="1" thickBot="1">
      <c r="A43" s="821" t="s">
        <v>1786</v>
      </c>
      <c r="B43" s="822" t="s">
        <v>1809</v>
      </c>
      <c r="C43" s="823">
        <f ca="1">ROUND(C40*10000/F43,0)</f>
        <v>-1030</v>
      </c>
      <c r="D43" s="824" t="s">
        <v>1810</v>
      </c>
      <c r="E43" s="825" t="s">
        <v>1811</v>
      </c>
      <c r="F43" s="826">
        <f ca="1">INDIRECT("'数据-取费表'!k"&amp;$G$1)</f>
        <v>29687.75</v>
      </c>
      <c r="G43" s="2044"/>
      <c r="H43" s="1970"/>
      <c r="I43" s="845" t="s">
        <v>1821</v>
      </c>
      <c r="J43" s="846">
        <f ca="1">1-J42</f>
        <v>4.8380000000000001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0</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v>
      </c>
      <c r="O48" s="2359" t="s">
        <v>2376</v>
      </c>
      <c r="P48" s="2360" t="s">
        <v>2402</v>
      </c>
      <c r="Q48" s="2361">
        <f ca="1">C40+J29</f>
        <v>-3057</v>
      </c>
      <c r="R48" s="2360" t="s">
        <v>2377</v>
      </c>
    </row>
    <row r="49" spans="1:18" s="2041" customFormat="1" ht="18" customHeight="1" thickBot="1">
      <c r="A49" s="784"/>
      <c r="B49" s="785"/>
      <c r="C49" s="786"/>
      <c r="D49" s="787"/>
      <c r="E49" s="782" t="s">
        <v>638</v>
      </c>
      <c r="F49" s="783">
        <f ca="1">F7</f>
        <v>947</v>
      </c>
      <c r="G49" s="2072"/>
      <c r="H49" s="2075"/>
      <c r="I49" s="3074" t="s">
        <v>2343</v>
      </c>
      <c r="J49" s="2344"/>
      <c r="K49" s="3103" t="s">
        <v>2349</v>
      </c>
      <c r="L49" s="2345"/>
      <c r="O49" s="2359" t="s">
        <v>2378</v>
      </c>
      <c r="P49" s="2360" t="s">
        <v>2403</v>
      </c>
      <c r="Q49" s="2361">
        <f ca="1">J60</f>
        <v>5104</v>
      </c>
      <c r="R49" s="2360" t="s">
        <v>2379</v>
      </c>
    </row>
    <row r="50" spans="1:18" s="2041" customFormat="1" ht="18" customHeight="1" thickBot="1">
      <c r="A50" s="784"/>
      <c r="B50" s="785"/>
      <c r="C50" s="786"/>
      <c r="D50" s="787"/>
      <c r="E50" s="782" t="s">
        <v>639</v>
      </c>
      <c r="F50" s="783">
        <f ca="1">F8</f>
        <v>12</v>
      </c>
      <c r="G50" s="2077"/>
      <c r="H50" s="2075"/>
      <c r="I50" s="3074" t="s">
        <v>2344</v>
      </c>
      <c r="J50" s="3099">
        <f>SUMPRODUCT((I63:I65=J47)*(J62:L62=J48)*(J63:L65))</f>
        <v>60</v>
      </c>
      <c r="K50" s="3103" t="s">
        <v>2350</v>
      </c>
      <c r="L50" s="2345"/>
      <c r="O50" s="2362" t="s">
        <v>2380</v>
      </c>
      <c r="P50" s="2360" t="s">
        <v>2404</v>
      </c>
      <c r="Q50" s="2361">
        <f ca="1">C29</f>
        <v>11733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-20537</v>
      </c>
      <c r="O51" s="2362" t="s">
        <v>2381</v>
      </c>
      <c r="P51" s="2360" t="s">
        <v>2382</v>
      </c>
      <c r="Q51" s="2363">
        <f ca="1">J58</f>
        <v>0.435</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v>
      </c>
      <c r="K53" s="3480" t="s">
        <v>2954</v>
      </c>
      <c r="L53" s="3481"/>
      <c r="O53" s="2362" t="s">
        <v>2385</v>
      </c>
      <c r="P53" s="2360" t="s">
        <v>2386</v>
      </c>
      <c r="Q53" s="2361">
        <f ca="1">J53</f>
        <v>31.4</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2047</v>
      </c>
      <c r="R54" s="2364" t="s">
        <v>2389</v>
      </c>
    </row>
    <row r="55" spans="1:18" s="2041" customFormat="1" ht="18" customHeight="1" thickTop="1" thickBot="1">
      <c r="A55" s="795">
        <v>2</v>
      </c>
      <c r="B55" s="796" t="s">
        <v>644</v>
      </c>
      <c r="C55" s="797">
        <f ca="1">C13</f>
        <v>11733</v>
      </c>
      <c r="D55" s="793"/>
      <c r="E55" s="793"/>
      <c r="F55" s="798"/>
      <c r="I55" s="3109" t="s">
        <v>2352</v>
      </c>
      <c r="J55" s="3049">
        <f ca="1">ROUND(IF(J47="钢混",J57/J50,1-(1-2%)*(J50-J57)/J50),3)</f>
        <v>0.435</v>
      </c>
      <c r="K55" s="3110" t="s">
        <v>2353</v>
      </c>
      <c r="L55" s="2347"/>
      <c r="O55" s="2365" t="s">
        <v>2408</v>
      </c>
      <c r="P55" s="1575"/>
      <c r="Q55" s="1586"/>
      <c r="R55" s="1575"/>
    </row>
    <row r="56" spans="1:18" s="2041" customFormat="1" ht="42.75" customHeight="1" thickBot="1">
      <c r="A56" s="1632"/>
      <c r="B56" s="2213" t="s">
        <v>2297</v>
      </c>
      <c r="C56" s="53">
        <f ca="1">C29</f>
        <v>11733</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195</v>
      </c>
      <c r="D57" s="26" t="s">
        <v>1749</v>
      </c>
      <c r="E57" s="3183"/>
      <c r="F57" s="56"/>
      <c r="I57" s="3112" t="s">
        <v>2355</v>
      </c>
      <c r="J57" s="3113">
        <f ca="1">IF(OR(M47="住宅",J51&lt;L48,J56="是"),"——",J51-L48)</f>
        <v>26.1</v>
      </c>
      <c r="K57" s="3074" t="s">
        <v>2360</v>
      </c>
      <c r="L57" s="1890" t="str">
        <f ca="1">IF(L48&lt;J51,"——",IF(L55="比较法",L49,IF(L55="基准地价",L50,L51)))</f>
        <v>——</v>
      </c>
      <c r="O57" s="2359" t="s">
        <v>2376</v>
      </c>
      <c r="P57" s="2360" t="s">
        <v>2402</v>
      </c>
      <c r="Q57" s="2361">
        <f ca="1">C40+J29</f>
        <v>-3057</v>
      </c>
      <c r="R57" s="2360" t="s">
        <v>2377</v>
      </c>
    </row>
    <row r="58" spans="1:18" s="2041" customFormat="1" ht="28.5" customHeight="1" thickBot="1">
      <c r="A58" s="1631" t="s">
        <v>1823</v>
      </c>
      <c r="B58" s="782" t="s">
        <v>656</v>
      </c>
      <c r="C58" s="53">
        <f ca="1">ROUND(IF(项目基本情况!B11="自然人",C47*F58,C59+C60+C61),1)</f>
        <v>1.6</v>
      </c>
      <c r="D58" s="3179" t="s">
        <v>657</v>
      </c>
      <c r="E58" s="3178" t="s">
        <v>690</v>
      </c>
      <c r="F58" s="808">
        <f ca="1">IF(项目基本情况!B11="企业","",IF(INDIRECT("'数据-取费表'!c"&amp;$G$1)="住宅",5%,IF(F48*F49*F50/12/(1+'数据-取费表'!C42)&gt;20000,12%,7%)))</f>
        <v>7.0000000000000007E-2</v>
      </c>
      <c r="I58" s="3112" t="s">
        <v>2356</v>
      </c>
      <c r="J58" s="3050">
        <f ca="1">IF(J55&lt;0.4,0.4,J55)</f>
        <v>0.435</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5104</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5104</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1.6</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10727.57</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176</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-3057</v>
      </c>
      <c r="R63" s="2364" t="s">
        <v>2389</v>
      </c>
    </row>
    <row r="64" spans="1:18" s="2041" customFormat="1" ht="16.2" thickBot="1">
      <c r="A64" s="1631" t="s">
        <v>1889</v>
      </c>
      <c r="B64" s="782" t="s">
        <v>679</v>
      </c>
      <c r="C64" s="53">
        <f ca="1">ROUND(C55*F64,1)</f>
        <v>17.600000000000001</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-195</v>
      </c>
      <c r="D66" s="3179" t="s">
        <v>700</v>
      </c>
      <c r="E66" s="3182"/>
      <c r="F66" s="818"/>
      <c r="K66" s="2068"/>
      <c r="O66" s="2359" t="s">
        <v>2376</v>
      </c>
      <c r="P66" s="2360" t="s">
        <v>2402</v>
      </c>
      <c r="Q66" s="2361">
        <f ca="1">C40+J29</f>
        <v>-3057</v>
      </c>
      <c r="R66" s="2360" t="s">
        <v>2377</v>
      </c>
    </row>
    <row r="67" spans="1:18" s="2041" customFormat="1" ht="19.2" thickBot="1">
      <c r="A67" s="779" t="s">
        <v>1779</v>
      </c>
      <c r="B67" s="2214" t="s">
        <v>2298</v>
      </c>
      <c r="C67" s="781">
        <f ca="1">ROUND(C66*(1-((1+F69)/(1+F67))^F68)/(F67-F69),0)</f>
        <v>-3057</v>
      </c>
      <c r="D67" s="812" t="s">
        <v>704</v>
      </c>
      <c r="E67" s="782" t="s">
        <v>705</v>
      </c>
      <c r="F67" s="792">
        <f ca="1">F40</f>
        <v>0.05</v>
      </c>
      <c r="K67" s="2068"/>
      <c r="O67" s="2359" t="s">
        <v>2378</v>
      </c>
      <c r="P67" s="2360" t="s">
        <v>2409</v>
      </c>
      <c r="Q67" s="2361">
        <f ca="1">L60</f>
        <v>0</v>
      </c>
      <c r="R67" s="2364" t="s">
        <v>2411</v>
      </c>
    </row>
    <row r="68" spans="1:18" ht="20.399999999999999" thickBot="1">
      <c r="A68" s="784"/>
      <c r="B68" s="785"/>
      <c r="C68" s="786"/>
      <c r="D68" s="819" t="s">
        <v>1807</v>
      </c>
      <c r="E68" s="782" t="s">
        <v>708</v>
      </c>
      <c r="F68" s="820">
        <f ca="1">F41</f>
        <v>31.4</v>
      </c>
      <c r="O68" s="2362" t="s">
        <v>2380</v>
      </c>
      <c r="P68" s="2360" t="s">
        <v>2410</v>
      </c>
      <c r="Q68" s="2366">
        <f ca="1">L51</f>
        <v>-20537</v>
      </c>
      <c r="R68" s="2367" t="s">
        <v>2413</v>
      </c>
    </row>
    <row r="69" spans="1:18" ht="19.2" thickBot="1">
      <c r="A69" s="788"/>
      <c r="B69" s="789"/>
      <c r="C69" s="790"/>
      <c r="D69" s="814"/>
      <c r="E69" s="782" t="s">
        <v>710</v>
      </c>
      <c r="F69" s="2332"/>
      <c r="O69" s="2362" t="s">
        <v>2381</v>
      </c>
      <c r="P69" s="2368" t="s">
        <v>2395</v>
      </c>
      <c r="Q69" s="2361">
        <f ca="1">ROUND(Q70-Q71*Q72,0)</f>
        <v>-1192</v>
      </c>
      <c r="R69" s="2364"/>
    </row>
    <row r="70" spans="1:18" ht="16.2" thickBot="1">
      <c r="A70" s="821" t="s">
        <v>1786</v>
      </c>
      <c r="B70" s="822" t="s">
        <v>1809</v>
      </c>
      <c r="C70" s="823">
        <f ca="1">ROUND(C67*10000/F70,0)</f>
        <v>-1030</v>
      </c>
      <c r="D70" s="824" t="s">
        <v>1810</v>
      </c>
      <c r="E70" s="825" t="s">
        <v>1811</v>
      </c>
      <c r="F70" s="826">
        <f ca="1">F43</f>
        <v>29687.75</v>
      </c>
      <c r="O70" s="2362" t="s">
        <v>2396</v>
      </c>
      <c r="P70" s="2368" t="s">
        <v>2397</v>
      </c>
      <c r="Q70" s="2361">
        <f ca="1">C39</f>
        <v>-195</v>
      </c>
      <c r="R70" s="2360" t="s">
        <v>2377</v>
      </c>
    </row>
    <row r="71" spans="1:18" ht="16.2" thickBot="1">
      <c r="O71" s="2362" t="s">
        <v>2398</v>
      </c>
      <c r="P71" s="2368" t="s">
        <v>2399</v>
      </c>
      <c r="Q71" s="2361">
        <f ca="1">C13</f>
        <v>11733</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-3057</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82" t="s">
        <v>2468</v>
      </c>
      <c r="B1" s="3483"/>
      <c r="C1" s="3484"/>
      <c r="D1" s="3485">
        <f>SUM(I10,I15,I20,I21,I23)</f>
        <v>0</v>
      </c>
      <c r="E1" s="3485"/>
      <c r="F1" s="3485"/>
      <c r="G1" s="3485"/>
      <c r="H1" s="3485"/>
      <c r="I1" s="3486"/>
    </row>
    <row r="2" spans="1:9">
      <c r="A2" s="3487" t="s">
        <v>2469</v>
      </c>
      <c r="B2" s="3488" t="s">
        <v>2470</v>
      </c>
      <c r="C2" s="3488"/>
      <c r="D2" s="2468" t="s">
        <v>2471</v>
      </c>
      <c r="E2" s="2468" t="s">
        <v>2472</v>
      </c>
      <c r="F2" s="2468" t="s">
        <v>2473</v>
      </c>
      <c r="G2" s="2468" t="s">
        <v>2474</v>
      </c>
      <c r="H2" s="2468" t="s">
        <v>2475</v>
      </c>
      <c r="I2" s="2469" t="s">
        <v>2476</v>
      </c>
    </row>
    <row r="3" spans="1:9">
      <c r="A3" s="3487"/>
      <c r="B3" s="3488" t="s">
        <v>2477</v>
      </c>
      <c r="C3" s="3488"/>
      <c r="D3" s="2470"/>
      <c r="E3" s="2468"/>
      <c r="F3" s="2471"/>
      <c r="G3" s="2471"/>
      <c r="H3" s="2472"/>
      <c r="I3" s="2473">
        <f>ROUND(D3*E3*F3*G3*H3/10000,0)</f>
        <v>0</v>
      </c>
    </row>
    <row r="4" spans="1:9">
      <c r="A4" s="3487"/>
      <c r="B4" s="3488" t="s">
        <v>2478</v>
      </c>
      <c r="C4" s="3488"/>
      <c r="D4" s="2470"/>
      <c r="E4" s="2468"/>
      <c r="F4" s="2471"/>
      <c r="G4" s="2471"/>
      <c r="H4" s="2472"/>
      <c r="I4" s="2473">
        <f t="shared" ref="I4:I9" si="0">ROUND(D4*E4*F4*G4*H4/10000,0)</f>
        <v>0</v>
      </c>
    </row>
    <row r="5" spans="1:9">
      <c r="A5" s="3487"/>
      <c r="B5" s="3488" t="s">
        <v>2479</v>
      </c>
      <c r="C5" s="3488"/>
      <c r="D5" s="2470"/>
      <c r="E5" s="2468"/>
      <c r="F5" s="2471"/>
      <c r="G5" s="2471"/>
      <c r="H5" s="2472"/>
      <c r="I5" s="2473">
        <f t="shared" si="0"/>
        <v>0</v>
      </c>
    </row>
    <row r="6" spans="1:9">
      <c r="A6" s="3487"/>
      <c r="B6" s="3488" t="s">
        <v>2480</v>
      </c>
      <c r="C6" s="3488"/>
      <c r="D6" s="2470"/>
      <c r="E6" s="2468"/>
      <c r="F6" s="2471"/>
      <c r="G6" s="2471"/>
      <c r="H6" s="2472"/>
      <c r="I6" s="2473">
        <f t="shared" si="0"/>
        <v>0</v>
      </c>
    </row>
    <row r="7" spans="1:9">
      <c r="A7" s="3487"/>
      <c r="B7" s="3488" t="s">
        <v>2481</v>
      </c>
      <c r="C7" s="3488"/>
      <c r="D7" s="2470"/>
      <c r="E7" s="2468"/>
      <c r="F7" s="2471"/>
      <c r="G7" s="2471"/>
      <c r="H7" s="2472"/>
      <c r="I7" s="2473">
        <f t="shared" si="0"/>
        <v>0</v>
      </c>
    </row>
    <row r="8" spans="1:9">
      <c r="A8" s="3487"/>
      <c r="B8" s="3488" t="s">
        <v>2482</v>
      </c>
      <c r="C8" s="3488"/>
      <c r="D8" s="2470"/>
      <c r="E8" s="2468"/>
      <c r="F8" s="2471"/>
      <c r="G8" s="2471"/>
      <c r="H8" s="2472"/>
      <c r="I8" s="2473">
        <f t="shared" si="0"/>
        <v>0</v>
      </c>
    </row>
    <row r="9" spans="1:9">
      <c r="A9" s="3487"/>
      <c r="B9" s="3488" t="s">
        <v>2483</v>
      </c>
      <c r="C9" s="3488"/>
      <c r="D9" s="2470"/>
      <c r="E9" s="2468"/>
      <c r="F9" s="2471"/>
      <c r="G9" s="2471"/>
      <c r="H9" s="2472"/>
      <c r="I9" s="2473">
        <f t="shared" si="0"/>
        <v>0</v>
      </c>
    </row>
    <row r="10" spans="1:9">
      <c r="A10" s="3487"/>
      <c r="B10" s="3489" t="s">
        <v>2484</v>
      </c>
      <c r="C10" s="3489"/>
      <c r="D10" s="2474">
        <v>527</v>
      </c>
      <c r="E10" s="2474" t="e">
        <f>ROUND(D1*10000/D10/H9,0)</f>
        <v>#DIV/0!</v>
      </c>
      <c r="F10" s="2475"/>
      <c r="G10" s="2475"/>
      <c r="H10" s="2476"/>
      <c r="I10" s="2477">
        <f>SUM(I3:I9)</f>
        <v>0</v>
      </c>
    </row>
    <row r="11" spans="1:9" ht="15.6">
      <c r="A11" s="3487" t="s">
        <v>2485</v>
      </c>
      <c r="B11" s="3488" t="s">
        <v>2486</v>
      </c>
      <c r="C11" s="3488"/>
      <c r="D11" s="2470" t="s">
        <v>2487</v>
      </c>
      <c r="E11" s="2470" t="s">
        <v>2488</v>
      </c>
      <c r="F11" s="2471" t="s">
        <v>2489</v>
      </c>
      <c r="G11" s="2471" t="s">
        <v>2490</v>
      </c>
      <c r="H11" s="2478" t="s">
        <v>2491</v>
      </c>
      <c r="I11" s="2469" t="s">
        <v>2492</v>
      </c>
    </row>
    <row r="12" spans="1:9">
      <c r="A12" s="3487"/>
      <c r="B12" s="3488" t="s">
        <v>2493</v>
      </c>
      <c r="C12" s="3488"/>
      <c r="D12" s="2470"/>
      <c r="E12" s="2470"/>
      <c r="F12" s="2471"/>
      <c r="G12" s="2472"/>
      <c r="H12" s="2479"/>
      <c r="I12" s="2469">
        <f>ROUND(D12*E12*F12*G12/10000,0)</f>
        <v>0</v>
      </c>
    </row>
    <row r="13" spans="1:9">
      <c r="A13" s="3487"/>
      <c r="B13" s="3488" t="s">
        <v>2494</v>
      </c>
      <c r="C13" s="3488"/>
      <c r="D13" s="2470"/>
      <c r="E13" s="2470"/>
      <c r="F13" s="2471"/>
      <c r="G13" s="2472"/>
      <c r="H13" s="2479"/>
      <c r="I13" s="2469">
        <f>ROUND(D13*E13*F13*G13/10000,0)</f>
        <v>0</v>
      </c>
    </row>
    <row r="14" spans="1:9">
      <c r="A14" s="3487"/>
      <c r="B14" s="3488" t="s">
        <v>2495</v>
      </c>
      <c r="C14" s="3488"/>
      <c r="D14" s="2470"/>
      <c r="E14" s="2470"/>
      <c r="F14" s="2471"/>
      <c r="G14" s="2472"/>
      <c r="H14" s="2479"/>
      <c r="I14" s="2469">
        <f>ROUND(D14*E14*F14*G14/10000,0)</f>
        <v>0</v>
      </c>
    </row>
    <row r="15" spans="1:9">
      <c r="A15" s="3487"/>
      <c r="B15" s="3489" t="s">
        <v>2484</v>
      </c>
      <c r="C15" s="3489"/>
      <c r="D15" s="2474"/>
      <c r="E15" s="2474">
        <f>SUM(E12:E14)</f>
        <v>0</v>
      </c>
      <c r="F15" s="2475"/>
      <c r="G15" s="2472"/>
      <c r="H15" s="2479"/>
      <c r="I15" s="2480">
        <f>SUM(I12:I14)</f>
        <v>0</v>
      </c>
    </row>
    <row r="16" spans="1:9" ht="24">
      <c r="A16" s="3487" t="s">
        <v>2496</v>
      </c>
      <c r="B16" s="3488" t="s">
        <v>2497</v>
      </c>
      <c r="C16" s="3488"/>
      <c r="D16" s="2470" t="s">
        <v>2498</v>
      </c>
      <c r="E16" s="2481" t="s">
        <v>2499</v>
      </c>
      <c r="F16" s="2471" t="s">
        <v>2500</v>
      </c>
      <c r="G16" s="2472" t="s">
        <v>2490</v>
      </c>
      <c r="H16" s="2478" t="s">
        <v>2491</v>
      </c>
      <c r="I16" s="2469" t="s">
        <v>2492</v>
      </c>
    </row>
    <row r="17" spans="1:9" ht="15.6">
      <c r="A17" s="3487"/>
      <c r="B17" s="3488" t="s">
        <v>2501</v>
      </c>
      <c r="C17" s="3488"/>
      <c r="D17" s="2470"/>
      <c r="E17" s="2470"/>
      <c r="F17" s="2471"/>
      <c r="G17" s="2472"/>
      <c r="H17" s="2482"/>
      <c r="I17" s="2483">
        <f>ROUND(D17*E17*F17*G17/10000,0)</f>
        <v>0</v>
      </c>
    </row>
    <row r="18" spans="1:9" ht="15.6">
      <c r="A18" s="3487"/>
      <c r="B18" s="3488" t="s">
        <v>2502</v>
      </c>
      <c r="C18" s="3488"/>
      <c r="D18" s="2470"/>
      <c r="E18" s="2470"/>
      <c r="F18" s="2471"/>
      <c r="G18" s="2472"/>
      <c r="H18" s="2482"/>
      <c r="I18" s="2483">
        <f>ROUND(D18*E18*F18*G18/10000,0)</f>
        <v>0</v>
      </c>
    </row>
    <row r="19" spans="1:9" ht="15.6">
      <c r="A19" s="3487"/>
      <c r="B19" s="3488" t="s">
        <v>2503</v>
      </c>
      <c r="C19" s="3488"/>
      <c r="D19" s="2470"/>
      <c r="E19" s="2470"/>
      <c r="F19" s="2471"/>
      <c r="G19" s="2472"/>
      <c r="H19" s="2482"/>
      <c r="I19" s="2483">
        <f>ROUND(D19*E19*F19*G19/10000,0)</f>
        <v>0</v>
      </c>
    </row>
    <row r="20" spans="1:9">
      <c r="A20" s="3487"/>
      <c r="B20" s="3489" t="s">
        <v>2484</v>
      </c>
      <c r="C20" s="3489"/>
      <c r="D20" s="2474">
        <f>SUM(D17:D19)</f>
        <v>0</v>
      </c>
      <c r="E20" s="2474"/>
      <c r="F20" s="2475"/>
      <c r="G20" s="2472"/>
      <c r="H20" s="2479"/>
      <c r="I20" s="2480">
        <f>SUM(I17:I19)</f>
        <v>0</v>
      </c>
    </row>
    <row r="21" spans="1:9">
      <c r="A21" s="3487" t="s">
        <v>2504</v>
      </c>
      <c r="B21" s="3491"/>
      <c r="C21" s="3491"/>
      <c r="D21" s="3491"/>
      <c r="E21" s="3491"/>
      <c r="F21" s="3491"/>
      <c r="G21" s="3491"/>
      <c r="H21" s="2484">
        <v>0.1</v>
      </c>
      <c r="I21" s="2477">
        <f>ROUND(I10*H21,0)</f>
        <v>0</v>
      </c>
    </row>
    <row r="22" spans="1:9" ht="15.6">
      <c r="A22" s="3492" t="s">
        <v>2505</v>
      </c>
      <c r="B22" s="3493"/>
      <c r="C22" s="3494"/>
      <c r="D22" s="2485" t="s">
        <v>2506</v>
      </c>
      <c r="E22" s="2485" t="s">
        <v>2507</v>
      </c>
      <c r="F22" s="2486" t="s">
        <v>2508</v>
      </c>
      <c r="G22" s="2486" t="s">
        <v>2509</v>
      </c>
      <c r="H22" s="2478" t="s">
        <v>2510</v>
      </c>
      <c r="I22" s="2469" t="s">
        <v>2511</v>
      </c>
    </row>
    <row r="23" spans="1:9" ht="15" thickBot="1">
      <c r="A23" s="3495"/>
      <c r="B23" s="3496"/>
      <c r="C23" s="3497"/>
      <c r="D23" s="2487"/>
      <c r="E23" s="2487"/>
      <c r="F23" s="2487"/>
      <c r="G23" s="2488"/>
      <c r="H23" s="2489"/>
      <c r="I23" s="2490">
        <f>ROUND(E23*D23*F23*(1-G23)/10000,0)</f>
        <v>0</v>
      </c>
    </row>
    <row r="26" spans="1:9">
      <c r="A26" s="2491" t="s">
        <v>2512</v>
      </c>
      <c r="B26" s="2491"/>
      <c r="C26" s="2491"/>
      <c r="D26" s="2491"/>
      <c r="E26" s="3498">
        <f>C27-C30-C31-C32</f>
        <v>0</v>
      </c>
      <c r="F26" s="3498"/>
      <c r="G26" s="3498"/>
      <c r="H26" s="2991" t="s">
        <v>2840</v>
      </c>
    </row>
    <row r="27" spans="1:9">
      <c r="A27" s="2492">
        <v>1</v>
      </c>
      <c r="B27" s="2493" t="s">
        <v>2513</v>
      </c>
      <c r="C27" s="2493"/>
      <c r="D27" s="2493"/>
      <c r="E27" s="3499"/>
      <c r="F27" s="3499"/>
      <c r="G27" s="3499"/>
    </row>
    <row r="28" spans="1:9">
      <c r="A28" s="2494" t="s">
        <v>2514</v>
      </c>
      <c r="B28" s="2493" t="s">
        <v>2515</v>
      </c>
      <c r="C28" s="2493"/>
      <c r="D28" s="2493"/>
      <c r="E28" s="3499"/>
      <c r="F28" s="3499"/>
      <c r="G28" s="3499"/>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90"/>
      <c r="F32" s="3490"/>
      <c r="G32" s="3490"/>
    </row>
    <row r="33" spans="1:7" hidden="1">
      <c r="A33" s="3500" t="s">
        <v>2523</v>
      </c>
      <c r="B33" s="3501"/>
      <c r="C33" s="3501"/>
      <c r="D33" s="3502"/>
      <c r="E33" s="3498"/>
      <c r="F33" s="3498"/>
      <c r="G33" s="3498"/>
    </row>
    <row r="34" spans="1:7" hidden="1">
      <c r="A34" s="2496">
        <v>1</v>
      </c>
      <c r="B34" s="2493" t="s">
        <v>2524</v>
      </c>
      <c r="C34" s="2493"/>
      <c r="D34" s="2493"/>
      <c r="E34" s="3499"/>
      <c r="F34" s="3499"/>
      <c r="G34" s="3499"/>
    </row>
    <row r="35" spans="1:7" hidden="1">
      <c r="A35" s="2496">
        <v>2</v>
      </c>
      <c r="B35" s="2493" t="s">
        <v>2525</v>
      </c>
      <c r="C35" s="2493"/>
      <c r="D35" s="2493"/>
      <c r="E35" s="3499"/>
      <c r="F35" s="3499"/>
      <c r="G35" s="3499"/>
    </row>
    <row r="36" spans="1:7" hidden="1">
      <c r="A36" s="2496">
        <v>3</v>
      </c>
      <c r="B36" s="2493" t="s">
        <v>2526</v>
      </c>
      <c r="C36" s="2493"/>
      <c r="D36" s="2493"/>
      <c r="E36" s="3499"/>
      <c r="F36" s="3499"/>
      <c r="G36" s="3499"/>
    </row>
    <row r="37" spans="1:7" hidden="1">
      <c r="A37" s="2496">
        <v>4</v>
      </c>
      <c r="B37" s="2493" t="s">
        <v>2527</v>
      </c>
      <c r="C37" s="2493"/>
      <c r="D37" s="2493"/>
      <c r="E37" s="3499"/>
      <c r="F37" s="3499"/>
      <c r="G37" s="3499"/>
    </row>
    <row r="38" spans="1:7" hidden="1">
      <c r="A38" s="3500" t="s">
        <v>2528</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109310.18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1010</v>
      </c>
      <c r="D12" s="756">
        <f>'数据-汇总表'!E5</f>
        <v>63135.22</v>
      </c>
      <c r="E12" s="755">
        <f>'数据-取费表'!B27</f>
        <v>160</v>
      </c>
      <c r="F12" s="753"/>
      <c r="G12" s="757"/>
    </row>
    <row r="13" spans="1:25" s="2165" customFormat="1" ht="13.5" customHeight="1">
      <c r="A13" s="2437" t="s">
        <v>2444</v>
      </c>
      <c r="B13" s="754" t="s">
        <v>612</v>
      </c>
      <c r="C13" s="755">
        <f>ROUND(D13*E13/10000,0)</f>
        <v>923</v>
      </c>
      <c r="D13" s="756">
        <f>'数据-汇总表'!E6</f>
        <v>46174.959999999992</v>
      </c>
      <c r="E13" s="755">
        <f>'数据-取费表'!B28</f>
        <v>200</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0.14000000000000001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0.86099999999999999</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756</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4.4">
      <c r="A4" s="510" t="s">
        <v>521</v>
      </c>
      <c r="B4" s="511"/>
      <c r="C4" s="3387" t="s">
        <v>522</v>
      </c>
      <c r="D4" s="3388"/>
      <c r="E4" s="3424" t="s">
        <v>523</v>
      </c>
      <c r="F4" s="3425"/>
      <c r="G4" s="3387" t="s">
        <v>524</v>
      </c>
      <c r="H4" s="3388"/>
      <c r="I4" s="3387" t="s">
        <v>525</v>
      </c>
      <c r="J4" s="3388"/>
      <c r="K4" s="512" t="s">
        <v>526</v>
      </c>
      <c r="L4" s="2115"/>
      <c r="M4" s="2116"/>
      <c r="N4" s="2116"/>
      <c r="O4" s="2116"/>
      <c r="P4" s="3389" t="s">
        <v>527</v>
      </c>
      <c r="Q4" s="3390"/>
      <c r="R4" s="3395" t="s">
        <v>523</v>
      </c>
      <c r="S4" s="3396"/>
      <c r="T4" s="3395" t="s">
        <v>524</v>
      </c>
      <c r="U4" s="3396"/>
      <c r="V4" s="3382" t="s">
        <v>525</v>
      </c>
      <c r="W4" s="3382"/>
      <c r="X4" s="1550"/>
      <c r="Y4" s="3395" t="s">
        <v>527</v>
      </c>
      <c r="Z4" s="3396"/>
      <c r="AA4" s="3384" t="s">
        <v>523</v>
      </c>
      <c r="AB4" s="3382" t="s">
        <v>524</v>
      </c>
      <c r="AC4" s="3384" t="s">
        <v>525</v>
      </c>
    </row>
    <row r="5" spans="1:29">
      <c r="A5" s="513"/>
      <c r="B5" s="514"/>
      <c r="C5" s="3403" t="s">
        <v>2918</v>
      </c>
      <c r="D5" s="3404"/>
      <c r="E5" s="3408" t="s">
        <v>2919</v>
      </c>
      <c r="F5" s="3409"/>
      <c r="G5" s="3403" t="s">
        <v>2920</v>
      </c>
      <c r="H5" s="3404"/>
      <c r="I5" s="3403" t="s">
        <v>2921</v>
      </c>
      <c r="J5" s="3404"/>
      <c r="K5" s="512"/>
      <c r="L5" s="2115"/>
      <c r="M5" s="2116"/>
      <c r="N5" s="2116"/>
      <c r="O5" s="2116"/>
      <c r="P5" s="3391"/>
      <c r="Q5" s="3392"/>
      <c r="R5" s="3397"/>
      <c r="S5" s="3398"/>
      <c r="T5" s="3397"/>
      <c r="U5" s="3398"/>
      <c r="V5" s="3382"/>
      <c r="W5" s="3382"/>
      <c r="X5" s="1550"/>
      <c r="Y5" s="3397"/>
      <c r="Z5" s="3398"/>
      <c r="AA5" s="3385"/>
      <c r="AB5" s="3382"/>
      <c r="AC5" s="3385"/>
    </row>
    <row r="6" spans="1:29" ht="15" thickBot="1">
      <c r="A6" s="515"/>
      <c r="B6" s="516"/>
      <c r="C6" s="3422" t="s">
        <v>2922</v>
      </c>
      <c r="D6" s="3423"/>
      <c r="E6" s="3407" t="s">
        <v>2922</v>
      </c>
      <c r="F6" s="3402"/>
      <c r="G6" s="3422" t="s">
        <v>2922</v>
      </c>
      <c r="H6" s="3423"/>
      <c r="I6" s="3422" t="s">
        <v>2922</v>
      </c>
      <c r="J6" s="3423"/>
      <c r="K6" s="512" t="s">
        <v>528</v>
      </c>
      <c r="L6" s="2115"/>
      <c r="M6" s="2116"/>
      <c r="N6" s="2116"/>
      <c r="O6" s="2116"/>
      <c r="P6" s="3393"/>
      <c r="Q6" s="3394"/>
      <c r="R6" s="3397"/>
      <c r="S6" s="3398"/>
      <c r="T6" s="3399"/>
      <c r="U6" s="3400"/>
      <c r="V6" s="3382"/>
      <c r="W6" s="3382"/>
      <c r="X6" s="1550"/>
      <c r="Y6" s="3399"/>
      <c r="Z6" s="3400"/>
      <c r="AA6" s="3386"/>
      <c r="AB6" s="3382"/>
      <c r="AC6" s="3386"/>
    </row>
    <row r="7" spans="1:29" s="1214" customFormat="1" ht="15" thickBot="1">
      <c r="A7" s="2864"/>
      <c r="B7" s="2871" t="s">
        <v>529</v>
      </c>
      <c r="C7" s="517">
        <f>'数据-取费表'!B2</f>
        <v>43832</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5" t="s">
        <v>530</v>
      </c>
      <c r="Q7" s="3417"/>
      <c r="R7" s="1551" t="s">
        <v>8</v>
      </c>
      <c r="S7" s="1552">
        <f t="shared" ref="S7:S15" si="0">F7</f>
        <v>0</v>
      </c>
      <c r="T7" s="1551" t="s">
        <v>8</v>
      </c>
      <c r="U7" s="1552">
        <f t="shared" ref="U7:U15" si="1">H7</f>
        <v>0</v>
      </c>
      <c r="V7" s="1551" t="s">
        <v>8</v>
      </c>
      <c r="W7" s="1552">
        <f t="shared" ref="W7:W15" si="2">J7</f>
        <v>0</v>
      </c>
      <c r="X7" s="1553"/>
      <c r="Y7" s="3415" t="s">
        <v>530</v>
      </c>
      <c r="Z7" s="3416"/>
      <c r="AA7" s="1554" t="e">
        <f>D7/F7</f>
        <v>#DIV/0!</v>
      </c>
      <c r="AB7" s="1554" t="e">
        <f>D7/H7</f>
        <v>#DIV/0!</v>
      </c>
      <c r="AC7" s="1554" t="e">
        <f>D7/J7</f>
        <v>#DIV/0!</v>
      </c>
    </row>
    <row r="8" spans="1:29" s="1214" customFormat="1" ht="1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5" t="s">
        <v>533</v>
      </c>
      <c r="Q8" s="3416"/>
      <c r="R8" s="1551" t="s">
        <v>8</v>
      </c>
      <c r="S8" s="1552">
        <f t="shared" si="0"/>
        <v>0</v>
      </c>
      <c r="T8" s="1551" t="s">
        <v>8</v>
      </c>
      <c r="U8" s="1552">
        <f t="shared" si="1"/>
        <v>0</v>
      </c>
      <c r="V8" s="1551" t="s">
        <v>8</v>
      </c>
      <c r="W8" s="1552">
        <f t="shared" si="2"/>
        <v>0</v>
      </c>
      <c r="X8" s="1553"/>
      <c r="Y8" s="3415" t="s">
        <v>533</v>
      </c>
      <c r="Z8" s="3416"/>
      <c r="AA8" s="1554" t="e">
        <f t="shared" ref="AA8:AA46" si="3">D8/F8</f>
        <v>#DIV/0!</v>
      </c>
      <c r="AB8" s="1554" t="e">
        <f t="shared" ref="AB8:AB46" si="4">D8/H8</f>
        <v>#DIV/0!</v>
      </c>
      <c r="AC8" s="1554" t="e">
        <f t="shared" ref="AC8:AC46" si="5">D8/J8</f>
        <v>#DIV/0!</v>
      </c>
    </row>
    <row r="9" spans="1:29" s="1214" customFormat="1" ht="14.4">
      <c r="A9" s="2866"/>
      <c r="B9" s="2873" t="s">
        <v>2753</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81" t="s">
        <v>535</v>
      </c>
      <c r="Q9" s="1145" t="str">
        <f t="shared" ref="Q9:Q15" si="6">B9</f>
        <v>用途</v>
      </c>
      <c r="R9" s="1551" t="s">
        <v>8</v>
      </c>
      <c r="S9" s="1552">
        <f t="shared" si="0"/>
        <v>100</v>
      </c>
      <c r="T9" s="1551" t="s">
        <v>8</v>
      </c>
      <c r="U9" s="1552">
        <f t="shared" si="1"/>
        <v>100</v>
      </c>
      <c r="V9" s="1551" t="s">
        <v>8</v>
      </c>
      <c r="W9" s="1552">
        <f t="shared" si="2"/>
        <v>100</v>
      </c>
      <c r="X9" s="1553"/>
      <c r="Y9" s="3327"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81"/>
      <c r="Q10" s="1145" t="str">
        <f t="shared" si="6"/>
        <v>土地使用年限（年）</v>
      </c>
      <c r="R10" s="1551" t="s">
        <v>8</v>
      </c>
      <c r="S10" s="1552">
        <f t="shared" si="0"/>
        <v>100</v>
      </c>
      <c r="T10" s="1551" t="s">
        <v>8</v>
      </c>
      <c r="U10" s="1552">
        <f t="shared" si="1"/>
        <v>100</v>
      </c>
      <c r="V10" s="1551" t="s">
        <v>8</v>
      </c>
      <c r="W10" s="1552">
        <f t="shared" si="2"/>
        <v>100</v>
      </c>
      <c r="X10" s="1553"/>
      <c r="Y10" s="3327"/>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81"/>
      <c r="Q11" s="1145" t="str">
        <f t="shared" si="6"/>
        <v>容积率</v>
      </c>
      <c r="R11" s="1551" t="s">
        <v>8</v>
      </c>
      <c r="S11" s="1552" t="e">
        <f t="shared" si="0"/>
        <v>#N/A</v>
      </c>
      <c r="T11" s="1551" t="s">
        <v>8</v>
      </c>
      <c r="U11" s="1552" t="e">
        <f t="shared" si="1"/>
        <v>#N/A</v>
      </c>
      <c r="V11" s="1551" t="s">
        <v>8</v>
      </c>
      <c r="W11" s="1552" t="e">
        <f t="shared" si="2"/>
        <v>#N/A</v>
      </c>
      <c r="X11" s="1553"/>
      <c r="Y11" s="3327"/>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81"/>
      <c r="Q12" s="1145">
        <f t="shared" si="6"/>
        <v>111</v>
      </c>
      <c r="R12" s="1551" t="s">
        <v>8</v>
      </c>
      <c r="S12" s="1552">
        <f t="shared" si="0"/>
        <v>100</v>
      </c>
      <c r="T12" s="1551" t="s">
        <v>8</v>
      </c>
      <c r="U12" s="1552">
        <f t="shared" si="1"/>
        <v>100</v>
      </c>
      <c r="V12" s="1551" t="s">
        <v>8</v>
      </c>
      <c r="W12" s="1552">
        <f t="shared" si="2"/>
        <v>100</v>
      </c>
      <c r="X12" s="1553"/>
      <c r="Y12" s="3327"/>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81"/>
      <c r="Q13" s="1145">
        <f t="shared" si="6"/>
        <v>111</v>
      </c>
      <c r="R13" s="1551" t="s">
        <v>8</v>
      </c>
      <c r="S13" s="1552">
        <f t="shared" si="0"/>
        <v>100</v>
      </c>
      <c r="T13" s="1551" t="s">
        <v>8</v>
      </c>
      <c r="U13" s="1552">
        <f t="shared" si="1"/>
        <v>100</v>
      </c>
      <c r="V13" s="1551" t="s">
        <v>8</v>
      </c>
      <c r="W13" s="1552">
        <f t="shared" si="2"/>
        <v>100</v>
      </c>
      <c r="X13" s="1553"/>
      <c r="Y13" s="3327"/>
      <c r="Z13" s="1144">
        <f t="shared" si="7"/>
        <v>111</v>
      </c>
      <c r="AA13" s="1554">
        <f t="shared" si="3"/>
        <v>1</v>
      </c>
      <c r="AB13" s="1554">
        <f t="shared" si="4"/>
        <v>1</v>
      </c>
      <c r="AC13" s="1554">
        <f t="shared" si="5"/>
        <v>1</v>
      </c>
    </row>
    <row r="14" spans="1:29" ht="15.6"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81"/>
      <c r="Q14" s="1145">
        <f t="shared" si="6"/>
        <v>111</v>
      </c>
      <c r="R14" s="1551" t="s">
        <v>8</v>
      </c>
      <c r="S14" s="1552">
        <f t="shared" si="0"/>
        <v>100</v>
      </c>
      <c r="T14" s="1551" t="s">
        <v>8</v>
      </c>
      <c r="U14" s="1552">
        <f t="shared" si="1"/>
        <v>100</v>
      </c>
      <c r="V14" s="1551" t="s">
        <v>8</v>
      </c>
      <c r="W14" s="1552">
        <f t="shared" si="2"/>
        <v>100</v>
      </c>
      <c r="X14" s="1553"/>
      <c r="Y14" s="3327"/>
      <c r="Z14" s="1144">
        <f t="shared" si="7"/>
        <v>111</v>
      </c>
      <c r="AA14" s="1554">
        <f t="shared" si="3"/>
        <v>1</v>
      </c>
      <c r="AB14" s="1554">
        <f t="shared" si="4"/>
        <v>1</v>
      </c>
      <c r="AC14" s="1554">
        <f t="shared" si="5"/>
        <v>1</v>
      </c>
    </row>
    <row r="15" spans="1:29" ht="15">
      <c r="A15" s="2862"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18" t="s">
        <v>540</v>
      </c>
      <c r="Q15" s="1555" t="str">
        <f t="shared" si="6"/>
        <v>商业繁华度</v>
      </c>
      <c r="R15" s="1556" t="s">
        <v>8</v>
      </c>
      <c r="S15" s="1557">
        <f t="shared" si="0"/>
        <v>100</v>
      </c>
      <c r="T15" s="1556" t="s">
        <v>8</v>
      </c>
      <c r="U15" s="1557">
        <f t="shared" si="1"/>
        <v>100</v>
      </c>
      <c r="V15" s="1556" t="s">
        <v>8</v>
      </c>
      <c r="W15" s="1557">
        <f t="shared" si="2"/>
        <v>100</v>
      </c>
      <c r="X15" s="1550"/>
      <c r="Y15" s="3418"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9"/>
      <c r="Q16" s="1555"/>
      <c r="R16" s="1556"/>
      <c r="S16" s="1557"/>
      <c r="T16" s="1556"/>
      <c r="U16" s="1557"/>
      <c r="V16" s="1556"/>
      <c r="W16" s="1557"/>
      <c r="X16" s="1550"/>
      <c r="Y16" s="3419"/>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19"/>
      <c r="Q17" s="1555" t="str">
        <f>B17</f>
        <v>交通便捷度</v>
      </c>
      <c r="R17" s="1556" t="s">
        <v>8</v>
      </c>
      <c r="S17" s="1557">
        <f>F17</f>
        <v>100</v>
      </c>
      <c r="T17" s="1556" t="s">
        <v>8</v>
      </c>
      <c r="U17" s="1557">
        <f>H17</f>
        <v>100</v>
      </c>
      <c r="V17" s="1556" t="s">
        <v>8</v>
      </c>
      <c r="W17" s="1557">
        <f>J17</f>
        <v>100</v>
      </c>
      <c r="X17" s="1550"/>
      <c r="Y17" s="3419"/>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9"/>
      <c r="Q18" s="1555"/>
      <c r="R18" s="1556"/>
      <c r="S18" s="1557"/>
      <c r="T18" s="1556"/>
      <c r="U18" s="1557"/>
      <c r="V18" s="1556"/>
      <c r="W18" s="1557"/>
      <c r="X18" s="1550"/>
      <c r="Y18" s="3419"/>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19"/>
      <c r="Q19" s="1555" t="str">
        <f>B19</f>
        <v>公共配套设施</v>
      </c>
      <c r="R19" s="1556" t="s">
        <v>8</v>
      </c>
      <c r="S19" s="1557">
        <f>F19</f>
        <v>100</v>
      </c>
      <c r="T19" s="1556" t="s">
        <v>8</v>
      </c>
      <c r="U19" s="1557">
        <f>H19</f>
        <v>100</v>
      </c>
      <c r="V19" s="1556" t="s">
        <v>8</v>
      </c>
      <c r="W19" s="1557">
        <f>J19</f>
        <v>100</v>
      </c>
      <c r="X19" s="1550"/>
      <c r="Y19" s="3419"/>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19"/>
      <c r="Q20" s="1555"/>
      <c r="R20" s="1556"/>
      <c r="S20" s="1557"/>
      <c r="T20" s="1556"/>
      <c r="U20" s="1557"/>
      <c r="V20" s="1556"/>
      <c r="W20" s="1557"/>
      <c r="X20" s="1550"/>
      <c r="Y20" s="3419"/>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19"/>
      <c r="Q21" s="2540" t="str">
        <f>B21</f>
        <v>基础设施水平</v>
      </c>
      <c r="R21" s="1556" t="s">
        <v>8</v>
      </c>
      <c r="S21" s="1557">
        <f>F21</f>
        <v>100</v>
      </c>
      <c r="T21" s="1556" t="s">
        <v>8</v>
      </c>
      <c r="U21" s="1557">
        <f>H21</f>
        <v>100</v>
      </c>
      <c r="V21" s="1556" t="s">
        <v>8</v>
      </c>
      <c r="W21" s="1557">
        <f>J21</f>
        <v>100</v>
      </c>
      <c r="X21" s="2542"/>
      <c r="Y21" s="3419"/>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19"/>
      <c r="Q22" s="2540"/>
      <c r="R22" s="1556"/>
      <c r="S22" s="1557"/>
      <c r="T22" s="1556"/>
      <c r="U22" s="1557"/>
      <c r="V22" s="1556"/>
      <c r="W22" s="1557"/>
      <c r="X22" s="2542"/>
      <c r="Y22" s="3419"/>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19"/>
      <c r="Q23" s="1555" t="str">
        <f>B23</f>
        <v>自然及人文环境</v>
      </c>
      <c r="R23" s="1556" t="s">
        <v>8</v>
      </c>
      <c r="S23" s="1557">
        <f>F23</f>
        <v>100</v>
      </c>
      <c r="T23" s="1556" t="s">
        <v>8</v>
      </c>
      <c r="U23" s="1557">
        <f>H23</f>
        <v>100</v>
      </c>
      <c r="V23" s="1556" t="s">
        <v>8</v>
      </c>
      <c r="W23" s="1557">
        <f>J23</f>
        <v>100</v>
      </c>
      <c r="X23" s="1550"/>
      <c r="Y23" s="3419"/>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19"/>
      <c r="Q24" s="1555"/>
      <c r="R24" s="1556"/>
      <c r="S24" s="1557"/>
      <c r="T24" s="1556"/>
      <c r="U24" s="1557"/>
      <c r="V24" s="1556"/>
      <c r="W24" s="1557"/>
      <c r="X24" s="1550"/>
      <c r="Y24" s="3419"/>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19"/>
      <c r="Q25" s="1555" t="str">
        <f t="shared" ref="Q25:Q46" si="11">B25</f>
        <v>临街状况</v>
      </c>
      <c r="R25" s="1556" t="s">
        <v>8</v>
      </c>
      <c r="S25" s="1557">
        <f>F25</f>
        <v>100</v>
      </c>
      <c r="T25" s="1556" t="s">
        <v>8</v>
      </c>
      <c r="U25" s="1557">
        <f>H25</f>
        <v>100</v>
      </c>
      <c r="V25" s="1556" t="s">
        <v>8</v>
      </c>
      <c r="W25" s="1557">
        <f>J25</f>
        <v>100</v>
      </c>
      <c r="X25" s="1550"/>
      <c r="Y25" s="3419"/>
      <c r="Z25" s="1558" t="str">
        <f>Q25</f>
        <v>临街状况</v>
      </c>
      <c r="AA25" s="1559">
        <f t="shared" si="3"/>
        <v>1</v>
      </c>
      <c r="AB25" s="1559">
        <f t="shared" si="4"/>
        <v>1</v>
      </c>
      <c r="AC25" s="1559">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19"/>
      <c r="Q26" s="1555" t="str">
        <f t="shared" si="11"/>
        <v>平面位置/可视性</v>
      </c>
      <c r="R26" s="1556" t="s">
        <v>8</v>
      </c>
      <c r="S26" s="1557">
        <f>F26</f>
        <v>100</v>
      </c>
      <c r="T26" s="1556" t="s">
        <v>8</v>
      </c>
      <c r="U26" s="1557">
        <f>H26</f>
        <v>100</v>
      </c>
      <c r="V26" s="1556" t="s">
        <v>8</v>
      </c>
      <c r="W26" s="1557">
        <f>J26</f>
        <v>100</v>
      </c>
      <c r="X26" s="1550"/>
      <c r="Y26" s="3419"/>
      <c r="Z26" s="1558" t="str">
        <f>Q26</f>
        <v>平面位置/可视性</v>
      </c>
      <c r="AA26" s="1559">
        <f t="shared" si="3"/>
        <v>1</v>
      </c>
      <c r="AB26" s="1559">
        <f t="shared" si="4"/>
        <v>1</v>
      </c>
      <c r="AC26" s="1559">
        <f t="shared" si="5"/>
        <v>1</v>
      </c>
    </row>
    <row r="27" spans="1:29" s="1214"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19"/>
      <c r="Q27" s="1145" t="str">
        <f t="shared" si="11"/>
        <v>人流量</v>
      </c>
      <c r="R27" s="1551" t="s">
        <v>8</v>
      </c>
      <c r="S27" s="1552">
        <f>F27</f>
        <v>100</v>
      </c>
      <c r="T27" s="1551" t="s">
        <v>8</v>
      </c>
      <c r="U27" s="1552">
        <f>H27</f>
        <v>100</v>
      </c>
      <c r="V27" s="1551" t="s">
        <v>8</v>
      </c>
      <c r="W27" s="1552">
        <f>J27</f>
        <v>100</v>
      </c>
      <c r="X27" s="1553"/>
      <c r="Y27" s="3419"/>
      <c r="Z27" s="1144" t="str">
        <f>Q27</f>
        <v>人流量</v>
      </c>
      <c r="AA27" s="1559">
        <f>D27/F27</f>
        <v>1</v>
      </c>
      <c r="AB27" s="1559">
        <f>D27/H27</f>
        <v>1</v>
      </c>
      <c r="AC27" s="1559">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19"/>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19"/>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19"/>
      <c r="Q29" s="1555">
        <f t="shared" si="11"/>
        <v>111</v>
      </c>
      <c r="R29" s="1556" t="s">
        <v>8</v>
      </c>
      <c r="S29" s="1557">
        <f t="shared" si="12"/>
        <v>100</v>
      </c>
      <c r="T29" s="1556" t="s">
        <v>8</v>
      </c>
      <c r="U29" s="1557">
        <f t="shared" si="13"/>
        <v>100</v>
      </c>
      <c r="V29" s="1556" t="s">
        <v>8</v>
      </c>
      <c r="W29" s="1557">
        <f t="shared" si="14"/>
        <v>100</v>
      </c>
      <c r="X29" s="1550"/>
      <c r="Y29" s="3419"/>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19"/>
      <c r="Q30" s="1555">
        <f t="shared" si="11"/>
        <v>111</v>
      </c>
      <c r="R30" s="1556" t="s">
        <v>8</v>
      </c>
      <c r="S30" s="1557">
        <f t="shared" si="12"/>
        <v>100</v>
      </c>
      <c r="T30" s="1556" t="s">
        <v>8</v>
      </c>
      <c r="U30" s="1557">
        <f t="shared" si="13"/>
        <v>100</v>
      </c>
      <c r="V30" s="1556" t="s">
        <v>8</v>
      </c>
      <c r="W30" s="1557">
        <f t="shared" si="14"/>
        <v>100</v>
      </c>
      <c r="X30" s="1550"/>
      <c r="Y30" s="3419"/>
      <c r="Z30" s="1558">
        <f t="shared" si="15"/>
        <v>111</v>
      </c>
      <c r="AA30" s="1559">
        <f t="shared" si="3"/>
        <v>1</v>
      </c>
      <c r="AB30" s="1559">
        <f t="shared" si="4"/>
        <v>1</v>
      </c>
      <c r="AC30" s="1559">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19"/>
      <c r="Q31" s="1555">
        <f t="shared" si="11"/>
        <v>111</v>
      </c>
      <c r="R31" s="1556" t="s">
        <v>8</v>
      </c>
      <c r="S31" s="1557">
        <f t="shared" si="12"/>
        <v>100</v>
      </c>
      <c r="T31" s="1556" t="s">
        <v>8</v>
      </c>
      <c r="U31" s="1557">
        <f t="shared" si="13"/>
        <v>100</v>
      </c>
      <c r="V31" s="1556" t="s">
        <v>8</v>
      </c>
      <c r="W31" s="1557">
        <f t="shared" si="14"/>
        <v>100</v>
      </c>
      <c r="X31" s="1550"/>
      <c r="Y31" s="3419"/>
      <c r="Z31" s="1558">
        <f t="shared" si="15"/>
        <v>111</v>
      </c>
      <c r="AA31" s="1559">
        <f t="shared" si="3"/>
        <v>1</v>
      </c>
      <c r="AB31" s="1559">
        <f t="shared" si="4"/>
        <v>1</v>
      </c>
      <c r="AC31" s="1559">
        <f t="shared" si="5"/>
        <v>1</v>
      </c>
    </row>
    <row r="32" spans="1:29" ht="15">
      <c r="A32" s="2859" t="s">
        <v>2752</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20" t="s">
        <v>550</v>
      </c>
      <c r="Q32" s="1555" t="str">
        <f t="shared" si="11"/>
        <v>商业类型</v>
      </c>
      <c r="R32" s="1556" t="s">
        <v>8</v>
      </c>
      <c r="S32" s="1557">
        <f t="shared" si="12"/>
        <v>100</v>
      </c>
      <c r="T32" s="1556" t="s">
        <v>8</v>
      </c>
      <c r="U32" s="1557">
        <f t="shared" si="13"/>
        <v>100</v>
      </c>
      <c r="V32" s="1556" t="s">
        <v>8</v>
      </c>
      <c r="W32" s="1557">
        <f t="shared" si="14"/>
        <v>100</v>
      </c>
      <c r="X32" s="1550"/>
      <c r="Y32" s="3421" t="s">
        <v>550</v>
      </c>
      <c r="Z32" s="1558" t="str">
        <f t="shared" si="15"/>
        <v>商业类型</v>
      </c>
      <c r="AA32" s="1559">
        <f t="shared" si="3"/>
        <v>1</v>
      </c>
      <c r="AB32" s="1559">
        <f t="shared" si="4"/>
        <v>1</v>
      </c>
      <c r="AC32" s="1559">
        <f t="shared" si="5"/>
        <v>1</v>
      </c>
    </row>
    <row r="33" spans="1:29" s="1333"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1"/>
      <c r="Q33" s="1587" t="str">
        <f t="shared" si="11"/>
        <v>项目建筑规模</v>
      </c>
      <c r="R33" s="1560" t="s">
        <v>8</v>
      </c>
      <c r="S33" s="1561" t="e">
        <f t="shared" si="12"/>
        <v>#N/A</v>
      </c>
      <c r="T33" s="1560" t="s">
        <v>8</v>
      </c>
      <c r="U33" s="1561" t="e">
        <f t="shared" si="13"/>
        <v>#N/A</v>
      </c>
      <c r="V33" s="1560" t="s">
        <v>8</v>
      </c>
      <c r="W33" s="1561" t="e">
        <f t="shared" si="14"/>
        <v>#N/A</v>
      </c>
      <c r="X33" s="1562"/>
      <c r="Y33" s="3421"/>
      <c r="Z33" s="1563" t="str">
        <f t="shared" si="15"/>
        <v>项目建筑规模</v>
      </c>
      <c r="AA33" s="1559" t="e">
        <f t="shared" si="3"/>
        <v>#N/A</v>
      </c>
      <c r="AB33" s="1559" t="e">
        <f t="shared" si="4"/>
        <v>#N/A</v>
      </c>
      <c r="AC33" s="1559"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21"/>
      <c r="Q34" s="1555" t="str">
        <f t="shared" si="11"/>
        <v>建筑结构</v>
      </c>
      <c r="R34" s="1556" t="s">
        <v>8</v>
      </c>
      <c r="S34" s="1557">
        <f t="shared" si="12"/>
        <v>100</v>
      </c>
      <c r="T34" s="1556" t="s">
        <v>8</v>
      </c>
      <c r="U34" s="1557">
        <f t="shared" si="13"/>
        <v>100</v>
      </c>
      <c r="V34" s="1556" t="s">
        <v>8</v>
      </c>
      <c r="W34" s="1557">
        <f t="shared" si="14"/>
        <v>100</v>
      </c>
      <c r="X34" s="1550"/>
      <c r="Y34" s="3421"/>
      <c r="Z34" s="1558" t="str">
        <f t="shared" si="15"/>
        <v>建筑结构</v>
      </c>
      <c r="AA34" s="1559">
        <f t="shared" si="3"/>
        <v>1</v>
      </c>
      <c r="AB34" s="1559">
        <f t="shared" si="4"/>
        <v>1</v>
      </c>
      <c r="AC34" s="1559">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1"/>
      <c r="Q35" s="1555" t="str">
        <f t="shared" si="11"/>
        <v>公共部分装修</v>
      </c>
      <c r="R35" s="1556" t="s">
        <v>8</v>
      </c>
      <c r="S35" s="1557">
        <f t="shared" si="12"/>
        <v>100</v>
      </c>
      <c r="T35" s="1556" t="s">
        <v>8</v>
      </c>
      <c r="U35" s="1557">
        <f t="shared" si="13"/>
        <v>100</v>
      </c>
      <c r="V35" s="1556" t="s">
        <v>8</v>
      </c>
      <c r="W35" s="1557">
        <f t="shared" si="14"/>
        <v>100</v>
      </c>
      <c r="X35" s="1550"/>
      <c r="Y35" s="3421"/>
      <c r="Z35" s="1558" t="str">
        <f t="shared" si="15"/>
        <v>公共部分装修</v>
      </c>
      <c r="AA35" s="1559">
        <f t="shared" si="3"/>
        <v>1</v>
      </c>
      <c r="AB35" s="1559">
        <f t="shared" si="4"/>
        <v>1</v>
      </c>
      <c r="AC35" s="1559">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21"/>
      <c r="Q36" s="1555" t="str">
        <f t="shared" si="11"/>
        <v>成新度</v>
      </c>
      <c r="R36" s="1556" t="s">
        <v>8</v>
      </c>
      <c r="S36" s="1557" t="e">
        <f t="shared" si="12"/>
        <v>#N/A</v>
      </c>
      <c r="T36" s="1556" t="s">
        <v>8</v>
      </c>
      <c r="U36" s="1557" t="e">
        <f t="shared" si="13"/>
        <v>#N/A</v>
      </c>
      <c r="V36" s="1556" t="s">
        <v>8</v>
      </c>
      <c r="W36" s="1557" t="e">
        <f t="shared" si="14"/>
        <v>#N/A</v>
      </c>
      <c r="X36" s="1550"/>
      <c r="Y36" s="3421"/>
      <c r="Z36" s="1558" t="str">
        <f t="shared" si="15"/>
        <v>成新度</v>
      </c>
      <c r="AA36" s="1559" t="e">
        <f t="shared" si="3"/>
        <v>#N/A</v>
      </c>
      <c r="AB36" s="1559" t="e">
        <f t="shared" si="4"/>
        <v>#N/A</v>
      </c>
      <c r="AC36" s="1559" t="e">
        <f t="shared" si="5"/>
        <v>#N/A</v>
      </c>
    </row>
    <row r="37" spans="1:29" s="1214"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1"/>
      <c r="Q37" s="1145" t="str">
        <f t="shared" si="11"/>
        <v>市政基础设施</v>
      </c>
      <c r="R37" s="1551" t="s">
        <v>8</v>
      </c>
      <c r="S37" s="1552">
        <f t="shared" si="12"/>
        <v>100</v>
      </c>
      <c r="T37" s="1551" t="s">
        <v>8</v>
      </c>
      <c r="U37" s="1552">
        <f t="shared" si="13"/>
        <v>100</v>
      </c>
      <c r="V37" s="1551" t="s">
        <v>8</v>
      </c>
      <c r="W37" s="1552">
        <f t="shared" si="14"/>
        <v>100</v>
      </c>
      <c r="X37" s="1553"/>
      <c r="Y37" s="3421"/>
      <c r="Z37" s="1144" t="str">
        <f t="shared" si="15"/>
        <v>市政基础设施</v>
      </c>
      <c r="AA37" s="1554">
        <f t="shared" si="3"/>
        <v>1</v>
      </c>
      <c r="AB37" s="1554">
        <f t="shared" si="4"/>
        <v>1</v>
      </c>
      <c r="AC37" s="1554">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1" t="s">
        <v>765</v>
      </c>
      <c r="Q38" s="1555" t="str">
        <f t="shared" si="11"/>
        <v>业态</v>
      </c>
      <c r="R38" s="1556" t="s">
        <v>8</v>
      </c>
      <c r="S38" s="1557">
        <f t="shared" si="12"/>
        <v>100</v>
      </c>
      <c r="T38" s="1556" t="s">
        <v>8</v>
      </c>
      <c r="U38" s="1557">
        <f t="shared" si="13"/>
        <v>100</v>
      </c>
      <c r="V38" s="1556" t="s">
        <v>8</v>
      </c>
      <c r="W38" s="1557">
        <f t="shared" si="14"/>
        <v>100</v>
      </c>
      <c r="X38" s="1550"/>
      <c r="Y38" s="3421" t="s">
        <v>765</v>
      </c>
      <c r="Z38" s="1558" t="str">
        <f t="shared" si="15"/>
        <v>业态</v>
      </c>
      <c r="AA38" s="1559">
        <f t="shared" si="3"/>
        <v>1</v>
      </c>
      <c r="AB38" s="1559">
        <f t="shared" si="4"/>
        <v>1</v>
      </c>
      <c r="AC38" s="1559">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1"/>
      <c r="Q39" s="1555" t="str">
        <f t="shared" si="11"/>
        <v>层高</v>
      </c>
      <c r="R39" s="1556" t="s">
        <v>8</v>
      </c>
      <c r="S39" s="1557">
        <f t="shared" si="12"/>
        <v>100</v>
      </c>
      <c r="T39" s="1556" t="s">
        <v>8</v>
      </c>
      <c r="U39" s="1557">
        <f t="shared" si="13"/>
        <v>100</v>
      </c>
      <c r="V39" s="1556" t="s">
        <v>8</v>
      </c>
      <c r="W39" s="1557">
        <f t="shared" si="14"/>
        <v>100</v>
      </c>
      <c r="X39" s="1550"/>
      <c r="Y39" s="3421"/>
      <c r="Z39" s="1558" t="str">
        <f t="shared" si="15"/>
        <v>层高</v>
      </c>
      <c r="AA39" s="1559">
        <f t="shared" si="3"/>
        <v>1</v>
      </c>
      <c r="AB39" s="1559">
        <f t="shared" si="4"/>
        <v>1</v>
      </c>
      <c r="AC39" s="1559">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21"/>
      <c r="Q40" s="1555" t="str">
        <f t="shared" si="11"/>
        <v>单套建筑面积</v>
      </c>
      <c r="R40" s="1556" t="s">
        <v>8</v>
      </c>
      <c r="S40" s="1557">
        <f t="shared" si="12"/>
        <v>100</v>
      </c>
      <c r="T40" s="1556" t="s">
        <v>8</v>
      </c>
      <c r="U40" s="1557">
        <f t="shared" si="13"/>
        <v>100</v>
      </c>
      <c r="V40" s="1556" t="s">
        <v>8</v>
      </c>
      <c r="W40" s="1557">
        <f t="shared" si="14"/>
        <v>100</v>
      </c>
      <c r="X40" s="1550"/>
      <c r="Y40" s="3421"/>
      <c r="Z40" s="1558" t="str">
        <f t="shared" si="15"/>
        <v>单套建筑面积</v>
      </c>
      <c r="AA40" s="1559">
        <f t="shared" si="3"/>
        <v>1</v>
      </c>
      <c r="AB40" s="1559">
        <f t="shared" si="4"/>
        <v>1</v>
      </c>
      <c r="AC40" s="1559">
        <f t="shared" si="5"/>
        <v>1</v>
      </c>
    </row>
    <row r="41" spans="1:29" s="1333"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1"/>
      <c r="Q41" s="1587" t="str">
        <f t="shared" si="11"/>
        <v>进深比</v>
      </c>
      <c r="R41" s="1560" t="s">
        <v>8</v>
      </c>
      <c r="S41" s="1561">
        <f t="shared" si="12"/>
        <v>100</v>
      </c>
      <c r="T41" s="1560" t="s">
        <v>8</v>
      </c>
      <c r="U41" s="1561">
        <f t="shared" si="13"/>
        <v>100</v>
      </c>
      <c r="V41" s="1560" t="s">
        <v>8</v>
      </c>
      <c r="W41" s="1561">
        <f t="shared" si="14"/>
        <v>100</v>
      </c>
      <c r="X41" s="1562"/>
      <c r="Y41" s="3421"/>
      <c r="Z41" s="1563" t="str">
        <f t="shared" si="15"/>
        <v>进深比</v>
      </c>
      <c r="AA41" s="1559">
        <f t="shared" si="3"/>
        <v>1</v>
      </c>
      <c r="AB41" s="1559">
        <f t="shared" si="4"/>
        <v>1</v>
      </c>
      <c r="AC41" s="1559">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1"/>
      <c r="Q42" s="1555" t="str">
        <f t="shared" si="11"/>
        <v>内部装修</v>
      </c>
      <c r="R42" s="1556" t="s">
        <v>8</v>
      </c>
      <c r="S42" s="1557">
        <f t="shared" si="12"/>
        <v>100</v>
      </c>
      <c r="T42" s="1556" t="s">
        <v>8</v>
      </c>
      <c r="U42" s="1557">
        <f t="shared" si="13"/>
        <v>100</v>
      </c>
      <c r="V42" s="1556" t="s">
        <v>8</v>
      </c>
      <c r="W42" s="1557">
        <f t="shared" si="14"/>
        <v>100</v>
      </c>
      <c r="X42" s="1550"/>
      <c r="Y42" s="3421"/>
      <c r="Z42" s="1558" t="str">
        <f t="shared" si="15"/>
        <v>内部装修</v>
      </c>
      <c r="AA42" s="1559">
        <f t="shared" si="3"/>
        <v>1</v>
      </c>
      <c r="AB42" s="1559">
        <f t="shared" si="4"/>
        <v>1</v>
      </c>
      <c r="AC42" s="1559">
        <f t="shared" si="5"/>
        <v>1</v>
      </c>
    </row>
    <row r="43" spans="1:29" ht="28.8">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1"/>
      <c r="Q43" s="1555" t="str">
        <f t="shared" si="11"/>
        <v>内部装修维护情况</v>
      </c>
      <c r="R43" s="1556" t="s">
        <v>8</v>
      </c>
      <c r="S43" s="1557">
        <f t="shared" si="12"/>
        <v>100</v>
      </c>
      <c r="T43" s="1556" t="s">
        <v>8</v>
      </c>
      <c r="U43" s="1557">
        <f t="shared" si="13"/>
        <v>100</v>
      </c>
      <c r="V43" s="1556" t="s">
        <v>8</v>
      </c>
      <c r="W43" s="1557">
        <f t="shared" si="14"/>
        <v>100</v>
      </c>
      <c r="X43" s="1550"/>
      <c r="Y43" s="3421"/>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1"/>
      <c r="Q44" s="1145">
        <f t="shared" si="11"/>
        <v>111</v>
      </c>
      <c r="R44" s="1551" t="s">
        <v>8</v>
      </c>
      <c r="S44" s="1552">
        <f t="shared" si="12"/>
        <v>100</v>
      </c>
      <c r="T44" s="1551" t="s">
        <v>8</v>
      </c>
      <c r="U44" s="1552">
        <f t="shared" si="13"/>
        <v>100</v>
      </c>
      <c r="V44" s="1551" t="s">
        <v>8</v>
      </c>
      <c r="W44" s="1552">
        <f t="shared" si="14"/>
        <v>100</v>
      </c>
      <c r="X44" s="1553"/>
      <c r="Y44" s="3421"/>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1"/>
      <c r="Q45" s="1555">
        <f t="shared" si="11"/>
        <v>111</v>
      </c>
      <c r="R45" s="1556" t="s">
        <v>8</v>
      </c>
      <c r="S45" s="1557">
        <f t="shared" si="12"/>
        <v>100</v>
      </c>
      <c r="T45" s="1556" t="s">
        <v>8</v>
      </c>
      <c r="U45" s="1557">
        <f t="shared" si="13"/>
        <v>100</v>
      </c>
      <c r="V45" s="1556" t="s">
        <v>8</v>
      </c>
      <c r="W45" s="1557">
        <f t="shared" si="14"/>
        <v>100</v>
      </c>
      <c r="X45" s="1550"/>
      <c r="Y45" s="3421"/>
      <c r="Z45" s="1558">
        <f t="shared" si="15"/>
        <v>111</v>
      </c>
      <c r="AA45" s="1559">
        <f t="shared" si="3"/>
        <v>1</v>
      </c>
      <c r="AB45" s="1559">
        <f t="shared" si="4"/>
        <v>1</v>
      </c>
      <c r="AC45" s="1559">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77"/>
      <c r="Q46" s="1555">
        <f t="shared" si="11"/>
        <v>111</v>
      </c>
      <c r="R46" s="1556" t="s">
        <v>8</v>
      </c>
      <c r="S46" s="1557">
        <f t="shared" si="12"/>
        <v>100</v>
      </c>
      <c r="T46" s="1556" t="s">
        <v>8</v>
      </c>
      <c r="U46" s="1557">
        <f t="shared" si="13"/>
        <v>100</v>
      </c>
      <c r="V46" s="1556" t="s">
        <v>8</v>
      </c>
      <c r="W46" s="1557">
        <f t="shared" si="14"/>
        <v>100</v>
      </c>
      <c r="X46" s="1550"/>
      <c r="Y46" s="3477"/>
      <c r="Z46" s="1558">
        <f t="shared" si="15"/>
        <v>111</v>
      </c>
      <c r="AA46" s="1559">
        <f t="shared" si="3"/>
        <v>1</v>
      </c>
      <c r="AB46" s="1559">
        <f t="shared" si="4"/>
        <v>1</v>
      </c>
      <c r="AC46" s="1559">
        <f t="shared" si="5"/>
        <v>1</v>
      </c>
    </row>
    <row r="47" spans="1:29" ht="14.4">
      <c r="A47" s="605" t="s">
        <v>735</v>
      </c>
      <c r="B47" s="885"/>
      <c r="C47" s="2588" t="s">
        <v>1</v>
      </c>
      <c r="D47" s="2589"/>
      <c r="E47" s="2590"/>
      <c r="F47" s="2591"/>
      <c r="G47" s="2592"/>
      <c r="H47" s="2593"/>
      <c r="I47" s="2590"/>
      <c r="J47" s="2593"/>
      <c r="K47" s="1593"/>
      <c r="L47" s="2126"/>
      <c r="M47" s="2127"/>
      <c r="N47" s="2116"/>
      <c r="O47" s="2127"/>
      <c r="P47" s="3381" t="str">
        <f>A47</f>
        <v>成交单价（元/平方米）</v>
      </c>
      <c r="Q47" s="3381"/>
      <c r="R47" s="3476">
        <f>E47</f>
        <v>0</v>
      </c>
      <c r="S47" s="3476"/>
      <c r="T47" s="3476">
        <f>G47</f>
        <v>0</v>
      </c>
      <c r="U47" s="3476"/>
      <c r="V47" s="3476">
        <f>I47</f>
        <v>0</v>
      </c>
      <c r="W47" s="3476"/>
      <c r="X47" s="1542"/>
      <c r="Y47" s="1564"/>
      <c r="Z47" s="1542"/>
      <c r="AA47" s="1542"/>
      <c r="AB47" s="1542"/>
      <c r="AC47" s="1542"/>
    </row>
    <row r="48" spans="1:29" ht="15" thickBot="1">
      <c r="A48" s="613" t="s">
        <v>2757</v>
      </c>
      <c r="B48" s="886"/>
      <c r="C48" s="2594" t="e">
        <f>R49</f>
        <v>#DIV/0!</v>
      </c>
      <c r="D48" s="2595"/>
      <c r="E48" s="2596" t="e">
        <f>R48</f>
        <v>#DIV/0!</v>
      </c>
      <c r="F48" s="2596"/>
      <c r="G48" s="2594" t="e">
        <f>T48</f>
        <v>#DIV/0!</v>
      </c>
      <c r="H48" s="2595"/>
      <c r="I48" s="2596" t="e">
        <f>V48</f>
        <v>#DIV/0!</v>
      </c>
      <c r="J48" s="2595"/>
      <c r="K48" s="1594"/>
      <c r="L48" s="2126"/>
      <c r="M48" s="2127"/>
      <c r="N48" s="2116"/>
      <c r="O48" s="2127"/>
      <c r="P48" s="3381" t="str">
        <f>A48</f>
        <v>比较价格（元/平方米）</v>
      </c>
      <c r="Q48" s="3381"/>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2"/>
      <c r="Y48" s="1542"/>
      <c r="Z48" s="1542"/>
      <c r="AA48" s="1542"/>
      <c r="AB48" s="1542"/>
      <c r="AC48" s="1542"/>
    </row>
    <row r="49" spans="1:29" ht="15" thickBot="1">
      <c r="A49" s="619" t="s">
        <v>2924</v>
      </c>
      <c r="B49" s="620"/>
      <c r="C49" s="2597" t="e">
        <f>R49</f>
        <v>#DIV/0!</v>
      </c>
      <c r="D49" s="2597"/>
      <c r="E49" s="2597"/>
      <c r="F49" s="2597"/>
      <c r="G49" s="2597"/>
      <c r="H49" s="2597"/>
      <c r="I49" s="2597"/>
      <c r="J49" s="2597"/>
      <c r="K49" s="1595"/>
      <c r="L49" s="2126"/>
      <c r="M49" s="2127"/>
      <c r="N49" s="2116"/>
      <c r="O49" s="2127"/>
      <c r="P49" s="3378" t="str">
        <f>A49</f>
        <v>估价对象XX用房的比较价格（楼面单价，元/平方米）</v>
      </c>
      <c r="Q49" s="3379"/>
      <c r="R49" s="3475" t="e">
        <f>IF(F1="售价",ROUND(AVERAGE(R48:V48),0),ROUND(AVERAGE(R48:V48),1))</f>
        <v>#DIV/0!</v>
      </c>
      <c r="S49" s="3475"/>
      <c r="T49" s="3475"/>
      <c r="U49" s="3475"/>
      <c r="V49" s="3475"/>
      <c r="W49" s="347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4"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ht="14.4">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671" t="s">
        <v>770</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771</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774</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775</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776</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0" t="s">
        <v>521</v>
      </c>
      <c r="B4" s="511"/>
      <c r="C4" s="3387" t="s">
        <v>522</v>
      </c>
      <c r="D4" s="3388"/>
      <c r="E4" s="3424" t="s">
        <v>523</v>
      </c>
      <c r="F4" s="3425"/>
      <c r="G4" s="3387" t="s">
        <v>524</v>
      </c>
      <c r="H4" s="3388"/>
      <c r="I4" s="3387" t="s">
        <v>525</v>
      </c>
      <c r="J4" s="3388"/>
      <c r="K4" s="512" t="s">
        <v>526</v>
      </c>
      <c r="L4" s="2115"/>
      <c r="M4" s="2116"/>
      <c r="N4" s="2116"/>
      <c r="O4" s="2116"/>
      <c r="P4" s="3504" t="s">
        <v>527</v>
      </c>
      <c r="Q4" s="3390"/>
      <c r="R4" s="3395" t="s">
        <v>523</v>
      </c>
      <c r="S4" s="3396"/>
      <c r="T4" s="3395" t="s">
        <v>524</v>
      </c>
      <c r="U4" s="3396"/>
      <c r="V4" s="3382" t="s">
        <v>525</v>
      </c>
      <c r="W4" s="3382"/>
      <c r="X4" s="1550"/>
      <c r="Y4" s="3395" t="s">
        <v>527</v>
      </c>
      <c r="Z4" s="3396"/>
      <c r="AA4" s="3384" t="s">
        <v>523</v>
      </c>
      <c r="AB4" s="3384" t="s">
        <v>524</v>
      </c>
      <c r="AC4" s="3384" t="s">
        <v>525</v>
      </c>
    </row>
    <row r="5" spans="1:29">
      <c r="A5" s="513"/>
      <c r="B5" s="514"/>
      <c r="C5" s="3403" t="s">
        <v>2918</v>
      </c>
      <c r="D5" s="3404"/>
      <c r="E5" s="3408" t="s">
        <v>2919</v>
      </c>
      <c r="F5" s="3409"/>
      <c r="G5" s="3403" t="s">
        <v>2920</v>
      </c>
      <c r="H5" s="3404"/>
      <c r="I5" s="3403" t="s">
        <v>2921</v>
      </c>
      <c r="J5" s="3404"/>
      <c r="K5" s="512"/>
      <c r="L5" s="2115"/>
      <c r="M5" s="2116"/>
      <c r="N5" s="2116"/>
      <c r="O5" s="2116"/>
      <c r="P5" s="3505"/>
      <c r="Q5" s="3392"/>
      <c r="R5" s="3397"/>
      <c r="S5" s="3398"/>
      <c r="T5" s="3397"/>
      <c r="U5" s="3398"/>
      <c r="V5" s="3382"/>
      <c r="W5" s="3382"/>
      <c r="X5" s="1550"/>
      <c r="Y5" s="3397"/>
      <c r="Z5" s="3398"/>
      <c r="AA5" s="3385"/>
      <c r="AB5" s="3385"/>
      <c r="AC5" s="3385"/>
    </row>
    <row r="6" spans="1:29" ht="15" thickBot="1">
      <c r="A6" s="515"/>
      <c r="B6" s="516"/>
      <c r="C6" s="3422" t="s">
        <v>2922</v>
      </c>
      <c r="D6" s="3423"/>
      <c r="E6" s="3407" t="s">
        <v>2922</v>
      </c>
      <c r="F6" s="3402"/>
      <c r="G6" s="3422" t="s">
        <v>2922</v>
      </c>
      <c r="H6" s="3423"/>
      <c r="I6" s="3422" t="s">
        <v>2922</v>
      </c>
      <c r="J6" s="3423"/>
      <c r="K6" s="512" t="s">
        <v>528</v>
      </c>
      <c r="L6" s="2115"/>
      <c r="M6" s="2116"/>
      <c r="N6" s="2116"/>
      <c r="O6" s="2116"/>
      <c r="P6" s="3506"/>
      <c r="Q6" s="3394"/>
      <c r="R6" s="3397"/>
      <c r="S6" s="3398"/>
      <c r="T6" s="3399"/>
      <c r="U6" s="3400"/>
      <c r="V6" s="3382"/>
      <c r="W6" s="3382"/>
      <c r="X6" s="1550"/>
      <c r="Y6" s="3399"/>
      <c r="Z6" s="3400"/>
      <c r="AA6" s="3386"/>
      <c r="AB6" s="3386"/>
      <c r="AC6" s="3386"/>
    </row>
    <row r="7" spans="1:29" s="1214" customFormat="1" ht="15" thickBot="1">
      <c r="A7" s="2864"/>
      <c r="B7" s="2871" t="s">
        <v>529</v>
      </c>
      <c r="C7" s="517">
        <f>'数据-取费表'!B2</f>
        <v>43832</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7" t="s">
        <v>530</v>
      </c>
      <c r="Q7" s="3417"/>
      <c r="R7" s="1551" t="s">
        <v>8</v>
      </c>
      <c r="S7" s="1552">
        <f t="shared" ref="S7:S15" si="0">F7</f>
        <v>0</v>
      </c>
      <c r="T7" s="1551" t="s">
        <v>8</v>
      </c>
      <c r="U7" s="1552">
        <f t="shared" ref="U7:U15" si="1">H7</f>
        <v>0</v>
      </c>
      <c r="V7" s="1551" t="s">
        <v>8</v>
      </c>
      <c r="W7" s="1552">
        <f t="shared" ref="W7:W15" si="2">J7</f>
        <v>0</v>
      </c>
      <c r="X7" s="1553"/>
      <c r="Y7" s="3415" t="s">
        <v>530</v>
      </c>
      <c r="Z7" s="3416"/>
      <c r="AA7" s="1554" t="e">
        <f>D7/F7</f>
        <v>#DIV/0!</v>
      </c>
      <c r="AB7" s="1554" t="e">
        <f>D7/H7</f>
        <v>#DIV/0!</v>
      </c>
      <c r="AC7" s="1554" t="e">
        <f>D7/J7</f>
        <v>#DIV/0!</v>
      </c>
    </row>
    <row r="8" spans="1:29" s="1214" customFormat="1" ht="1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7" t="s">
        <v>533</v>
      </c>
      <c r="Q8" s="3416"/>
      <c r="R8" s="1551" t="s">
        <v>8</v>
      </c>
      <c r="S8" s="1552">
        <f t="shared" si="0"/>
        <v>0</v>
      </c>
      <c r="T8" s="1551" t="s">
        <v>8</v>
      </c>
      <c r="U8" s="1552">
        <f t="shared" si="1"/>
        <v>0</v>
      </c>
      <c r="V8" s="1551" t="s">
        <v>8</v>
      </c>
      <c r="W8" s="1552">
        <f t="shared" si="2"/>
        <v>0</v>
      </c>
      <c r="X8" s="1553"/>
      <c r="Y8" s="3415" t="s">
        <v>533</v>
      </c>
      <c r="Z8" s="3416"/>
      <c r="AA8" s="1554" t="e">
        <f t="shared" ref="AA8:AA47" si="3">D8/F8</f>
        <v>#DIV/0!</v>
      </c>
      <c r="AB8" s="1554" t="e">
        <f t="shared" ref="AB8:AB47" si="4">D8/H8</f>
        <v>#DIV/0!</v>
      </c>
      <c r="AC8" s="1554" t="e">
        <f t="shared" ref="AC8:AC47" si="5">D8/J8</f>
        <v>#DIV/0!</v>
      </c>
    </row>
    <row r="9" spans="1:29" s="1214" customFormat="1" ht="14.4">
      <c r="A9" s="2866"/>
      <c r="B9" s="2873" t="s">
        <v>2753</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81" t="s">
        <v>535</v>
      </c>
      <c r="Q9" s="1145" t="str">
        <f t="shared" ref="Q9:Q15" si="6">B9</f>
        <v>用途</v>
      </c>
      <c r="R9" s="1551" t="s">
        <v>8</v>
      </c>
      <c r="S9" s="1552">
        <f t="shared" si="0"/>
        <v>100</v>
      </c>
      <c r="T9" s="1551" t="s">
        <v>8</v>
      </c>
      <c r="U9" s="1552">
        <f t="shared" si="1"/>
        <v>100</v>
      </c>
      <c r="V9" s="1551" t="s">
        <v>8</v>
      </c>
      <c r="W9" s="1552">
        <f t="shared" si="2"/>
        <v>100</v>
      </c>
      <c r="X9" s="1553"/>
      <c r="Y9" s="3327"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81"/>
      <c r="Q10" s="1145" t="str">
        <f t="shared" si="6"/>
        <v>土地使用年限（年）</v>
      </c>
      <c r="R10" s="1551" t="s">
        <v>8</v>
      </c>
      <c r="S10" s="1552">
        <f t="shared" si="0"/>
        <v>100</v>
      </c>
      <c r="T10" s="1551" t="s">
        <v>8</v>
      </c>
      <c r="U10" s="1552">
        <f t="shared" si="1"/>
        <v>100</v>
      </c>
      <c r="V10" s="1551" t="s">
        <v>8</v>
      </c>
      <c r="W10" s="1552">
        <f t="shared" si="2"/>
        <v>100</v>
      </c>
      <c r="X10" s="1553"/>
      <c r="Y10" s="3327"/>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81"/>
      <c r="Q11" s="1145" t="str">
        <f t="shared" si="6"/>
        <v>容积率</v>
      </c>
      <c r="R11" s="1551" t="s">
        <v>8</v>
      </c>
      <c r="S11" s="1552" t="e">
        <f t="shared" si="0"/>
        <v>#N/A</v>
      </c>
      <c r="T11" s="1551" t="s">
        <v>8</v>
      </c>
      <c r="U11" s="1552" t="e">
        <f t="shared" si="1"/>
        <v>#N/A</v>
      </c>
      <c r="V11" s="1551" t="s">
        <v>8</v>
      </c>
      <c r="W11" s="1552" t="e">
        <f t="shared" si="2"/>
        <v>#N/A</v>
      </c>
      <c r="X11" s="1553"/>
      <c r="Y11" s="3327"/>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81"/>
      <c r="Q12" s="1145">
        <f t="shared" si="6"/>
        <v>111</v>
      </c>
      <c r="R12" s="1551" t="s">
        <v>8</v>
      </c>
      <c r="S12" s="1552">
        <f t="shared" si="0"/>
        <v>100</v>
      </c>
      <c r="T12" s="1551" t="s">
        <v>8</v>
      </c>
      <c r="U12" s="1552">
        <f t="shared" si="1"/>
        <v>100</v>
      </c>
      <c r="V12" s="1551" t="s">
        <v>8</v>
      </c>
      <c r="W12" s="1552">
        <f t="shared" si="2"/>
        <v>100</v>
      </c>
      <c r="X12" s="1553"/>
      <c r="Y12" s="3327"/>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81"/>
      <c r="Q13" s="1145">
        <f t="shared" si="6"/>
        <v>111</v>
      </c>
      <c r="R13" s="1551" t="s">
        <v>8</v>
      </c>
      <c r="S13" s="1552">
        <f t="shared" si="0"/>
        <v>100</v>
      </c>
      <c r="T13" s="1551" t="s">
        <v>8</v>
      </c>
      <c r="U13" s="1552">
        <f t="shared" si="1"/>
        <v>100</v>
      </c>
      <c r="V13" s="1551" t="s">
        <v>8</v>
      </c>
      <c r="W13" s="1552">
        <f t="shared" si="2"/>
        <v>100</v>
      </c>
      <c r="X13" s="1553"/>
      <c r="Y13" s="3327"/>
      <c r="Z13" s="1144">
        <f t="shared" si="7"/>
        <v>111</v>
      </c>
      <c r="AA13" s="1554">
        <f t="shared" si="3"/>
        <v>1</v>
      </c>
      <c r="AB13" s="1554">
        <f t="shared" si="4"/>
        <v>1</v>
      </c>
      <c r="AC13" s="1554">
        <f t="shared" si="5"/>
        <v>1</v>
      </c>
    </row>
    <row r="14" spans="1:29" ht="15.6"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81"/>
      <c r="Q14" s="1145">
        <f t="shared" si="6"/>
        <v>111</v>
      </c>
      <c r="R14" s="1551" t="s">
        <v>8</v>
      </c>
      <c r="S14" s="1552">
        <f t="shared" si="0"/>
        <v>100</v>
      </c>
      <c r="T14" s="1551" t="s">
        <v>8</v>
      </c>
      <c r="U14" s="1552">
        <f t="shared" si="1"/>
        <v>100</v>
      </c>
      <c r="V14" s="1551" t="s">
        <v>8</v>
      </c>
      <c r="W14" s="1552">
        <f t="shared" si="2"/>
        <v>100</v>
      </c>
      <c r="X14" s="1553"/>
      <c r="Y14" s="3327"/>
      <c r="Z14" s="1144">
        <f t="shared" si="7"/>
        <v>111</v>
      </c>
      <c r="AA14" s="1554">
        <f t="shared" si="3"/>
        <v>1</v>
      </c>
      <c r="AB14" s="1554">
        <f t="shared" si="4"/>
        <v>1</v>
      </c>
      <c r="AC14" s="1554">
        <f t="shared" si="5"/>
        <v>1</v>
      </c>
    </row>
    <row r="15" spans="1:29" ht="15">
      <c r="A15" s="2862"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18" t="s">
        <v>540</v>
      </c>
      <c r="Q15" s="1555" t="str">
        <f t="shared" si="6"/>
        <v>办公集聚程度</v>
      </c>
      <c r="R15" s="1556" t="s">
        <v>8</v>
      </c>
      <c r="S15" s="1557">
        <f t="shared" si="0"/>
        <v>100</v>
      </c>
      <c r="T15" s="1556" t="s">
        <v>8</v>
      </c>
      <c r="U15" s="1557">
        <f t="shared" si="1"/>
        <v>100</v>
      </c>
      <c r="V15" s="1556" t="s">
        <v>8</v>
      </c>
      <c r="W15" s="1557">
        <f t="shared" si="2"/>
        <v>100</v>
      </c>
      <c r="X15" s="1550"/>
      <c r="Y15" s="3418"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19"/>
      <c r="Q16" s="1555"/>
      <c r="R16" s="1556"/>
      <c r="S16" s="1557"/>
      <c r="T16" s="1556"/>
      <c r="U16" s="1557"/>
      <c r="V16" s="1556"/>
      <c r="W16" s="1557"/>
      <c r="X16" s="1550"/>
      <c r="Y16" s="3419"/>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19"/>
      <c r="Q17" s="1555" t="str">
        <f>B17</f>
        <v>交通便捷度</v>
      </c>
      <c r="R17" s="1556" t="s">
        <v>8</v>
      </c>
      <c r="S17" s="1557">
        <f>F17</f>
        <v>100</v>
      </c>
      <c r="T17" s="1556" t="s">
        <v>8</v>
      </c>
      <c r="U17" s="1557">
        <f>H17</f>
        <v>100</v>
      </c>
      <c r="V17" s="1556" t="s">
        <v>8</v>
      </c>
      <c r="W17" s="1557">
        <f>J17</f>
        <v>100</v>
      </c>
      <c r="X17" s="1550"/>
      <c r="Y17" s="3419"/>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19"/>
      <c r="Q18" s="1555"/>
      <c r="R18" s="1556"/>
      <c r="S18" s="1557"/>
      <c r="T18" s="1556"/>
      <c r="U18" s="1557"/>
      <c r="V18" s="1556"/>
      <c r="W18" s="1557"/>
      <c r="X18" s="1550"/>
      <c r="Y18" s="3419"/>
      <c r="Z18" s="1558"/>
      <c r="AA18" s="1559">
        <v>1</v>
      </c>
      <c r="AB18" s="1559">
        <v>1</v>
      </c>
      <c r="AC18" s="1559">
        <v>1</v>
      </c>
    </row>
    <row r="19" spans="1:29" ht="15">
      <c r="A19" s="530"/>
      <c r="B19" s="2564" t="s">
        <v>2543</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19"/>
      <c r="Q19" s="1555" t="str">
        <f>B19</f>
        <v>公共配套设施</v>
      </c>
      <c r="R19" s="1556" t="s">
        <v>8</v>
      </c>
      <c r="S19" s="1557">
        <f>F19</f>
        <v>100</v>
      </c>
      <c r="T19" s="1556" t="s">
        <v>8</v>
      </c>
      <c r="U19" s="1557">
        <f>H19</f>
        <v>100</v>
      </c>
      <c r="V19" s="1556" t="s">
        <v>8</v>
      </c>
      <c r="W19" s="1557">
        <f>J19</f>
        <v>100</v>
      </c>
      <c r="X19" s="1550"/>
      <c r="Y19" s="3419"/>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19"/>
      <c r="Q20" s="1555"/>
      <c r="R20" s="1556"/>
      <c r="S20" s="1557"/>
      <c r="T20" s="1556"/>
      <c r="U20" s="1557"/>
      <c r="V20" s="1556"/>
      <c r="W20" s="1557"/>
      <c r="X20" s="1550"/>
      <c r="Y20" s="3419"/>
      <c r="Z20" s="1558"/>
      <c r="AA20" s="1559">
        <v>1</v>
      </c>
      <c r="AB20" s="1559">
        <v>1</v>
      </c>
      <c r="AC20" s="1559">
        <v>1</v>
      </c>
    </row>
    <row r="21" spans="1:29" ht="15">
      <c r="A21" s="530"/>
      <c r="B21" s="2552" t="s">
        <v>2555</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19"/>
      <c r="Q21" s="2540" t="str">
        <f>B21</f>
        <v>基础设施水平</v>
      </c>
      <c r="R21" s="1556" t="s">
        <v>8</v>
      </c>
      <c r="S21" s="1557">
        <f>F21</f>
        <v>100</v>
      </c>
      <c r="T21" s="1556" t="s">
        <v>8</v>
      </c>
      <c r="U21" s="1557">
        <f>H21</f>
        <v>100</v>
      </c>
      <c r="V21" s="1556" t="s">
        <v>8</v>
      </c>
      <c r="W21" s="1557">
        <f>J21</f>
        <v>100</v>
      </c>
      <c r="X21" s="2542"/>
      <c r="Y21" s="3419"/>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19"/>
      <c r="Q22" s="2540"/>
      <c r="R22" s="1556"/>
      <c r="S22" s="1557"/>
      <c r="T22" s="1556"/>
      <c r="U22" s="1557"/>
      <c r="V22" s="1556"/>
      <c r="W22" s="1557"/>
      <c r="X22" s="2542"/>
      <c r="Y22" s="3419"/>
      <c r="Z22" s="2541"/>
      <c r="AA22" s="1559">
        <v>1</v>
      </c>
      <c r="AB22" s="1559">
        <v>1</v>
      </c>
      <c r="AC22" s="1559">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19"/>
      <c r="Q23" s="1555" t="str">
        <f>B23</f>
        <v>环境质量</v>
      </c>
      <c r="R23" s="1556" t="s">
        <v>8</v>
      </c>
      <c r="S23" s="1557">
        <f>F23</f>
        <v>100</v>
      </c>
      <c r="T23" s="1556" t="s">
        <v>8</v>
      </c>
      <c r="U23" s="1557">
        <f>H23</f>
        <v>100</v>
      </c>
      <c r="V23" s="1556" t="s">
        <v>8</v>
      </c>
      <c r="W23" s="1557">
        <f>J23</f>
        <v>100</v>
      </c>
      <c r="X23" s="1550"/>
      <c r="Y23" s="3419"/>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19"/>
      <c r="Q24" s="1555"/>
      <c r="R24" s="1556"/>
      <c r="S24" s="1557"/>
      <c r="T24" s="1556"/>
      <c r="U24" s="1557"/>
      <c r="V24" s="1556"/>
      <c r="W24" s="1557"/>
      <c r="X24" s="1550"/>
      <c r="Y24" s="3419"/>
      <c r="Z24" s="1558"/>
      <c r="AA24" s="1559">
        <v>1</v>
      </c>
      <c r="AB24" s="1559">
        <v>1</v>
      </c>
      <c r="AC24" s="1559">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19"/>
      <c r="Q25" s="1555" t="str">
        <f>B25</f>
        <v>毗邻道路的类型与等级</v>
      </c>
      <c r="R25" s="1556" t="s">
        <v>8</v>
      </c>
      <c r="S25" s="1557">
        <f>F25</f>
        <v>100</v>
      </c>
      <c r="T25" s="1556" t="s">
        <v>8</v>
      </c>
      <c r="U25" s="1557">
        <f>H25</f>
        <v>100</v>
      </c>
      <c r="V25" s="1556" t="s">
        <v>8</v>
      </c>
      <c r="W25" s="1557">
        <f>J25</f>
        <v>100</v>
      </c>
      <c r="X25" s="1550"/>
      <c r="Y25" s="3419"/>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19"/>
      <c r="Q26" s="1555"/>
      <c r="R26" s="1556"/>
      <c r="S26" s="1557"/>
      <c r="T26" s="1556"/>
      <c r="U26" s="1557"/>
      <c r="V26" s="1556"/>
      <c r="W26" s="1557"/>
      <c r="X26" s="1550"/>
      <c r="Y26" s="3419"/>
      <c r="Z26" s="1558"/>
      <c r="AA26" s="1559">
        <v>1</v>
      </c>
      <c r="AB26" s="1559">
        <v>1</v>
      </c>
      <c r="AC26" s="1559">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19"/>
      <c r="Q27" s="1555" t="str">
        <f t="shared" ref="Q27:Q47" si="11">B27</f>
        <v>楼层</v>
      </c>
      <c r="R27" s="1556" t="s">
        <v>8</v>
      </c>
      <c r="S27" s="1557">
        <f>F27</f>
        <v>100</v>
      </c>
      <c r="T27" s="1556" t="s">
        <v>8</v>
      </c>
      <c r="U27" s="1557">
        <f>H27</f>
        <v>100</v>
      </c>
      <c r="V27" s="1556" t="s">
        <v>8</v>
      </c>
      <c r="W27" s="1557">
        <f>J27</f>
        <v>100</v>
      </c>
      <c r="X27" s="1550"/>
      <c r="Y27" s="3419"/>
      <c r="Z27" s="1558" t="str">
        <f>Q27</f>
        <v>楼层</v>
      </c>
      <c r="AA27" s="1559">
        <f t="shared" si="3"/>
        <v>1</v>
      </c>
      <c r="AB27" s="1559">
        <f t="shared" si="4"/>
        <v>1</v>
      </c>
      <c r="AC27" s="1559">
        <f t="shared" si="5"/>
        <v>1</v>
      </c>
    </row>
    <row r="28" spans="1:29" s="1214"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19"/>
      <c r="Q28" s="1145" t="str">
        <f t="shared" si="11"/>
        <v>朝向</v>
      </c>
      <c r="R28" s="1551" t="s">
        <v>8</v>
      </c>
      <c r="S28" s="1552">
        <f>F28</f>
        <v>100</v>
      </c>
      <c r="T28" s="1551" t="s">
        <v>8</v>
      </c>
      <c r="U28" s="1552">
        <f>H28</f>
        <v>100</v>
      </c>
      <c r="V28" s="1551" t="s">
        <v>8</v>
      </c>
      <c r="W28" s="1552">
        <f>J28</f>
        <v>100</v>
      </c>
      <c r="X28" s="1553"/>
      <c r="Y28" s="3419"/>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19"/>
      <c r="Q29" s="1555">
        <f t="shared" si="11"/>
        <v>111</v>
      </c>
      <c r="R29" s="1556" t="s">
        <v>8</v>
      </c>
      <c r="S29" s="1557">
        <f t="shared" ref="S29:S47" si="12">F29</f>
        <v>100</v>
      </c>
      <c r="T29" s="1556" t="s">
        <v>8</v>
      </c>
      <c r="U29" s="1557">
        <f t="shared" ref="U29:U47" si="13">H29</f>
        <v>100</v>
      </c>
      <c r="V29" s="1556" t="s">
        <v>8</v>
      </c>
      <c r="W29" s="1557">
        <f t="shared" ref="W29:W47" si="14">J29</f>
        <v>100</v>
      </c>
      <c r="X29" s="1550"/>
      <c r="Y29" s="3419"/>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19"/>
      <c r="Q30" s="1555">
        <f t="shared" si="11"/>
        <v>111</v>
      </c>
      <c r="R30" s="1556" t="s">
        <v>8</v>
      </c>
      <c r="S30" s="1557">
        <f t="shared" si="12"/>
        <v>100</v>
      </c>
      <c r="T30" s="1556" t="s">
        <v>8</v>
      </c>
      <c r="U30" s="1557">
        <f t="shared" si="13"/>
        <v>100</v>
      </c>
      <c r="V30" s="1556" t="s">
        <v>8</v>
      </c>
      <c r="W30" s="1557">
        <f t="shared" si="14"/>
        <v>100</v>
      </c>
      <c r="X30" s="1550"/>
      <c r="Y30" s="3419"/>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19"/>
      <c r="Q31" s="1555">
        <f t="shared" si="11"/>
        <v>111</v>
      </c>
      <c r="R31" s="1556" t="s">
        <v>8</v>
      </c>
      <c r="S31" s="1557">
        <f t="shared" si="12"/>
        <v>100</v>
      </c>
      <c r="T31" s="1556" t="s">
        <v>8</v>
      </c>
      <c r="U31" s="1557">
        <f t="shared" si="13"/>
        <v>100</v>
      </c>
      <c r="V31" s="1556" t="s">
        <v>8</v>
      </c>
      <c r="W31" s="1557">
        <f t="shared" si="14"/>
        <v>100</v>
      </c>
      <c r="X31" s="1550"/>
      <c r="Y31" s="3419"/>
      <c r="Z31" s="1558">
        <f t="shared" si="15"/>
        <v>111</v>
      </c>
      <c r="AA31" s="1559">
        <f t="shared" si="3"/>
        <v>1</v>
      </c>
      <c r="AB31" s="1559">
        <f t="shared" si="4"/>
        <v>1</v>
      </c>
      <c r="AC31" s="1559">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19"/>
      <c r="Q32" s="1555">
        <f t="shared" si="11"/>
        <v>111</v>
      </c>
      <c r="R32" s="1556" t="s">
        <v>8</v>
      </c>
      <c r="S32" s="1557">
        <f t="shared" si="12"/>
        <v>100</v>
      </c>
      <c r="T32" s="1556" t="s">
        <v>8</v>
      </c>
      <c r="U32" s="1557">
        <f t="shared" si="13"/>
        <v>100</v>
      </c>
      <c r="V32" s="1556" t="s">
        <v>8</v>
      </c>
      <c r="W32" s="1557">
        <f t="shared" si="14"/>
        <v>100</v>
      </c>
      <c r="X32" s="1550"/>
      <c r="Y32" s="3419"/>
      <c r="Z32" s="1558">
        <f t="shared" si="15"/>
        <v>111</v>
      </c>
      <c r="AA32" s="1559">
        <f t="shared" si="3"/>
        <v>1</v>
      </c>
      <c r="AB32" s="1559">
        <f t="shared" si="4"/>
        <v>1</v>
      </c>
      <c r="AC32" s="1559">
        <f t="shared" si="5"/>
        <v>1</v>
      </c>
    </row>
    <row r="33" spans="1:29" ht="15">
      <c r="A33" s="2859" t="s">
        <v>2752</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20" t="s">
        <v>550</v>
      </c>
      <c r="Q33" s="1555" t="str">
        <f t="shared" si="11"/>
        <v>建筑类型</v>
      </c>
      <c r="R33" s="1556" t="s">
        <v>8</v>
      </c>
      <c r="S33" s="1557">
        <f t="shared" si="12"/>
        <v>100</v>
      </c>
      <c r="T33" s="1556" t="s">
        <v>8</v>
      </c>
      <c r="U33" s="1557">
        <f t="shared" si="13"/>
        <v>100</v>
      </c>
      <c r="V33" s="1556" t="s">
        <v>8</v>
      </c>
      <c r="W33" s="1557">
        <f t="shared" si="14"/>
        <v>100</v>
      </c>
      <c r="X33" s="1550"/>
      <c r="Y33" s="3421" t="s">
        <v>550</v>
      </c>
      <c r="Z33" s="1558" t="str">
        <f t="shared" si="15"/>
        <v>建筑类型</v>
      </c>
      <c r="AA33" s="1559">
        <f t="shared" si="3"/>
        <v>1</v>
      </c>
      <c r="AB33" s="1559">
        <f t="shared" si="4"/>
        <v>1</v>
      </c>
      <c r="AC33" s="1559">
        <f t="shared" si="5"/>
        <v>1</v>
      </c>
    </row>
    <row r="34" spans="1:29" s="1333"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1"/>
      <c r="Q34" s="1587" t="str">
        <f t="shared" si="11"/>
        <v>项目建筑规模</v>
      </c>
      <c r="R34" s="1560" t="s">
        <v>8</v>
      </c>
      <c r="S34" s="1561" t="e">
        <f t="shared" si="12"/>
        <v>#N/A</v>
      </c>
      <c r="T34" s="1560" t="s">
        <v>8</v>
      </c>
      <c r="U34" s="1561" t="e">
        <f t="shared" si="13"/>
        <v>#N/A</v>
      </c>
      <c r="V34" s="1560" t="s">
        <v>8</v>
      </c>
      <c r="W34" s="1561" t="e">
        <f t="shared" si="14"/>
        <v>#N/A</v>
      </c>
      <c r="X34" s="1562"/>
      <c r="Y34" s="3421"/>
      <c r="Z34" s="1563" t="str">
        <f t="shared" si="15"/>
        <v>项目建筑规模</v>
      </c>
      <c r="AA34" s="1559" t="e">
        <f t="shared" si="3"/>
        <v>#N/A</v>
      </c>
      <c r="AB34" s="1559" t="e">
        <f t="shared" si="4"/>
        <v>#N/A</v>
      </c>
      <c r="AC34" s="1559"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1"/>
      <c r="Q35" s="1555" t="str">
        <f t="shared" si="11"/>
        <v>建筑结构</v>
      </c>
      <c r="R35" s="1556" t="s">
        <v>8</v>
      </c>
      <c r="S35" s="1557">
        <f t="shared" si="12"/>
        <v>100</v>
      </c>
      <c r="T35" s="1556" t="s">
        <v>8</v>
      </c>
      <c r="U35" s="1557">
        <f t="shared" si="13"/>
        <v>100</v>
      </c>
      <c r="V35" s="1556" t="s">
        <v>8</v>
      </c>
      <c r="W35" s="1557">
        <f t="shared" si="14"/>
        <v>100</v>
      </c>
      <c r="X35" s="1550"/>
      <c r="Y35" s="3421"/>
      <c r="Z35" s="1558" t="str">
        <f t="shared" si="15"/>
        <v>建筑结构</v>
      </c>
      <c r="AA35" s="1559">
        <f t="shared" si="3"/>
        <v>1</v>
      </c>
      <c r="AB35" s="1559">
        <f t="shared" si="4"/>
        <v>1</v>
      </c>
      <c r="AC35" s="1559">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1"/>
      <c r="Q36" s="1555" t="str">
        <f t="shared" si="11"/>
        <v>公共部分装修</v>
      </c>
      <c r="R36" s="1556" t="s">
        <v>8</v>
      </c>
      <c r="S36" s="1557">
        <f t="shared" si="12"/>
        <v>100</v>
      </c>
      <c r="T36" s="1556" t="s">
        <v>8</v>
      </c>
      <c r="U36" s="1557">
        <f t="shared" si="13"/>
        <v>100</v>
      </c>
      <c r="V36" s="1556" t="s">
        <v>8</v>
      </c>
      <c r="W36" s="1557">
        <f t="shared" si="14"/>
        <v>100</v>
      </c>
      <c r="X36" s="1550"/>
      <c r="Y36" s="3421"/>
      <c r="Z36" s="1558" t="str">
        <f t="shared" si="15"/>
        <v>公共部分装修</v>
      </c>
      <c r="AA36" s="1559">
        <f t="shared" si="3"/>
        <v>1</v>
      </c>
      <c r="AB36" s="1559">
        <f t="shared" si="4"/>
        <v>1</v>
      </c>
      <c r="AC36" s="1559">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21"/>
      <c r="Q37" s="1555" t="str">
        <f t="shared" si="11"/>
        <v>成新度</v>
      </c>
      <c r="R37" s="1556" t="s">
        <v>8</v>
      </c>
      <c r="S37" s="1557" t="e">
        <f t="shared" si="12"/>
        <v>#N/A</v>
      </c>
      <c r="T37" s="1556" t="s">
        <v>8</v>
      </c>
      <c r="U37" s="1557" t="e">
        <f t="shared" si="13"/>
        <v>#N/A</v>
      </c>
      <c r="V37" s="1556" t="s">
        <v>8</v>
      </c>
      <c r="W37" s="1557" t="e">
        <f t="shared" si="14"/>
        <v>#N/A</v>
      </c>
      <c r="X37" s="1550"/>
      <c r="Y37" s="3421"/>
      <c r="Z37" s="1558" t="str">
        <f t="shared" si="15"/>
        <v>成新度</v>
      </c>
      <c r="AA37" s="1559" t="e">
        <f t="shared" si="3"/>
        <v>#N/A</v>
      </c>
      <c r="AB37" s="1559" t="e">
        <f t="shared" si="4"/>
        <v>#N/A</v>
      </c>
      <c r="AC37" s="1559" t="e">
        <f t="shared" si="5"/>
        <v>#N/A</v>
      </c>
    </row>
    <row r="38" spans="1:29" s="1214"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1"/>
      <c r="Q38" s="1145" t="str">
        <f t="shared" si="11"/>
        <v>写字楼等级</v>
      </c>
      <c r="R38" s="1551" t="s">
        <v>8</v>
      </c>
      <c r="S38" s="1552">
        <f t="shared" si="12"/>
        <v>100</v>
      </c>
      <c r="T38" s="1551" t="s">
        <v>8</v>
      </c>
      <c r="U38" s="1552">
        <f t="shared" si="13"/>
        <v>100</v>
      </c>
      <c r="V38" s="1551" t="s">
        <v>8</v>
      </c>
      <c r="W38" s="1552">
        <f t="shared" si="14"/>
        <v>100</v>
      </c>
      <c r="X38" s="1553"/>
      <c r="Y38" s="3421"/>
      <c r="Z38" s="1144" t="str">
        <f t="shared" si="15"/>
        <v>写字楼等级</v>
      </c>
      <c r="AA38" s="1554">
        <f t="shared" si="3"/>
        <v>1</v>
      </c>
      <c r="AB38" s="1554">
        <f t="shared" si="4"/>
        <v>1</v>
      </c>
      <c r="AC38" s="1554">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1" t="s">
        <v>550</v>
      </c>
      <c r="Q39" s="1555" t="str">
        <f t="shared" si="11"/>
        <v>物业管理</v>
      </c>
      <c r="R39" s="1556" t="s">
        <v>8</v>
      </c>
      <c r="S39" s="1557">
        <f t="shared" si="12"/>
        <v>100</v>
      </c>
      <c r="T39" s="1556" t="s">
        <v>8</v>
      </c>
      <c r="U39" s="1557">
        <f t="shared" si="13"/>
        <v>100</v>
      </c>
      <c r="V39" s="1556" t="s">
        <v>8</v>
      </c>
      <c r="W39" s="1557">
        <f t="shared" si="14"/>
        <v>100</v>
      </c>
      <c r="X39" s="1550"/>
      <c r="Y39" s="3421" t="s">
        <v>550</v>
      </c>
      <c r="Z39" s="1558" t="str">
        <f t="shared" si="15"/>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1"/>
      <c r="Q40" s="1555" t="str">
        <f t="shared" si="11"/>
        <v>市政基础设施</v>
      </c>
      <c r="R40" s="1556" t="s">
        <v>8</v>
      </c>
      <c r="S40" s="1557">
        <f t="shared" si="12"/>
        <v>100</v>
      </c>
      <c r="T40" s="1556" t="s">
        <v>8</v>
      </c>
      <c r="U40" s="1557">
        <f t="shared" si="13"/>
        <v>100</v>
      </c>
      <c r="V40" s="1556" t="s">
        <v>8</v>
      </c>
      <c r="W40" s="1557">
        <f t="shared" si="14"/>
        <v>100</v>
      </c>
      <c r="X40" s="1550"/>
      <c r="Y40" s="3421"/>
      <c r="Z40" s="1558" t="str">
        <f t="shared" si="15"/>
        <v>市政基础设施</v>
      </c>
      <c r="AA40" s="1559">
        <f t="shared" si="3"/>
        <v>1</v>
      </c>
      <c r="AB40" s="1559">
        <f t="shared" si="4"/>
        <v>1</v>
      </c>
      <c r="AC40" s="1559">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1"/>
      <c r="Q41" s="1555" t="str">
        <f t="shared" si="11"/>
        <v>层高</v>
      </c>
      <c r="R41" s="1556" t="s">
        <v>8</v>
      </c>
      <c r="S41" s="1557">
        <f t="shared" si="12"/>
        <v>100</v>
      </c>
      <c r="T41" s="1556" t="s">
        <v>8</v>
      </c>
      <c r="U41" s="1557">
        <f t="shared" si="13"/>
        <v>100</v>
      </c>
      <c r="V41" s="1556" t="s">
        <v>8</v>
      </c>
      <c r="W41" s="1557">
        <f t="shared" si="14"/>
        <v>100</v>
      </c>
      <c r="X41" s="1550"/>
      <c r="Y41" s="3421"/>
      <c r="Z41" s="1558" t="str">
        <f t="shared" si="15"/>
        <v>层高</v>
      </c>
      <c r="AA41" s="1559">
        <f t="shared" si="3"/>
        <v>1</v>
      </c>
      <c r="AB41" s="1559">
        <f t="shared" si="4"/>
        <v>1</v>
      </c>
      <c r="AC41" s="1559">
        <f t="shared" si="5"/>
        <v>1</v>
      </c>
    </row>
    <row r="42" spans="1:29" s="1333"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1"/>
      <c r="Q42" s="1587" t="str">
        <f t="shared" si="11"/>
        <v>单套建筑面积</v>
      </c>
      <c r="R42" s="1560" t="s">
        <v>8</v>
      </c>
      <c r="S42" s="1561">
        <f t="shared" si="12"/>
        <v>100</v>
      </c>
      <c r="T42" s="1560" t="s">
        <v>8</v>
      </c>
      <c r="U42" s="1561">
        <f t="shared" si="13"/>
        <v>100</v>
      </c>
      <c r="V42" s="1560" t="s">
        <v>8</v>
      </c>
      <c r="W42" s="1561">
        <f t="shared" si="14"/>
        <v>100</v>
      </c>
      <c r="X42" s="1562"/>
      <c r="Y42" s="3421"/>
      <c r="Z42" s="1563" t="str">
        <f t="shared" si="15"/>
        <v>单套建筑面积</v>
      </c>
      <c r="AA42" s="1559">
        <f t="shared" si="3"/>
        <v>1</v>
      </c>
      <c r="AB42" s="1559">
        <f t="shared" si="4"/>
        <v>1</v>
      </c>
      <c r="AC42" s="1559">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1"/>
      <c r="Q43" s="1555" t="str">
        <f t="shared" si="11"/>
        <v>内部装修</v>
      </c>
      <c r="R43" s="1556" t="s">
        <v>8</v>
      </c>
      <c r="S43" s="1557">
        <f t="shared" si="12"/>
        <v>100</v>
      </c>
      <c r="T43" s="1556" t="s">
        <v>8</v>
      </c>
      <c r="U43" s="1557">
        <f t="shared" si="13"/>
        <v>100</v>
      </c>
      <c r="V43" s="1556" t="s">
        <v>8</v>
      </c>
      <c r="W43" s="1557">
        <f t="shared" si="14"/>
        <v>100</v>
      </c>
      <c r="X43" s="1550"/>
      <c r="Y43" s="3421"/>
      <c r="Z43" s="1558" t="str">
        <f t="shared" si="15"/>
        <v>内部装修</v>
      </c>
      <c r="AA43" s="1559">
        <f t="shared" si="3"/>
        <v>1</v>
      </c>
      <c r="AB43" s="1559">
        <f t="shared" si="4"/>
        <v>1</v>
      </c>
      <c r="AC43" s="1559">
        <f t="shared" si="5"/>
        <v>1</v>
      </c>
    </row>
    <row r="44" spans="1:29" ht="28.8">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1"/>
      <c r="Q44" s="1555" t="str">
        <f t="shared" si="11"/>
        <v>内部装修维护情况</v>
      </c>
      <c r="R44" s="1556" t="s">
        <v>8</v>
      </c>
      <c r="S44" s="1557">
        <f t="shared" si="12"/>
        <v>100</v>
      </c>
      <c r="T44" s="1556" t="s">
        <v>8</v>
      </c>
      <c r="U44" s="1557">
        <f t="shared" si="13"/>
        <v>100</v>
      </c>
      <c r="V44" s="1556" t="s">
        <v>8</v>
      </c>
      <c r="W44" s="1557">
        <f t="shared" si="14"/>
        <v>100</v>
      </c>
      <c r="X44" s="1550"/>
      <c r="Y44" s="3421"/>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1"/>
      <c r="Q45" s="1145">
        <f t="shared" si="11"/>
        <v>111</v>
      </c>
      <c r="R45" s="1551" t="s">
        <v>8</v>
      </c>
      <c r="S45" s="1552">
        <f t="shared" si="12"/>
        <v>100</v>
      </c>
      <c r="T45" s="1551" t="s">
        <v>8</v>
      </c>
      <c r="U45" s="1552">
        <f t="shared" si="13"/>
        <v>100</v>
      </c>
      <c r="V45" s="1551" t="s">
        <v>8</v>
      </c>
      <c r="W45" s="1552">
        <f t="shared" si="14"/>
        <v>100</v>
      </c>
      <c r="X45" s="1553"/>
      <c r="Y45" s="3421"/>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1"/>
      <c r="Q46" s="1555">
        <f t="shared" si="11"/>
        <v>111</v>
      </c>
      <c r="R46" s="1556" t="s">
        <v>8</v>
      </c>
      <c r="S46" s="1557">
        <f t="shared" si="12"/>
        <v>100</v>
      </c>
      <c r="T46" s="1556" t="s">
        <v>8</v>
      </c>
      <c r="U46" s="1557">
        <f t="shared" si="13"/>
        <v>100</v>
      </c>
      <c r="V46" s="1556" t="s">
        <v>8</v>
      </c>
      <c r="W46" s="1557">
        <f t="shared" si="14"/>
        <v>100</v>
      </c>
      <c r="X46" s="1550"/>
      <c r="Y46" s="3421"/>
      <c r="Z46" s="1558">
        <f t="shared" si="15"/>
        <v>111</v>
      </c>
      <c r="AA46" s="1559">
        <f t="shared" si="3"/>
        <v>1</v>
      </c>
      <c r="AB46" s="1559">
        <f t="shared" si="4"/>
        <v>1</v>
      </c>
      <c r="AC46" s="1559">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77"/>
      <c r="Q47" s="1555">
        <f t="shared" si="11"/>
        <v>111</v>
      </c>
      <c r="R47" s="1556" t="s">
        <v>8</v>
      </c>
      <c r="S47" s="1557">
        <f t="shared" si="12"/>
        <v>100</v>
      </c>
      <c r="T47" s="1556" t="s">
        <v>8</v>
      </c>
      <c r="U47" s="1557">
        <f t="shared" si="13"/>
        <v>100</v>
      </c>
      <c r="V47" s="1556" t="s">
        <v>8</v>
      </c>
      <c r="W47" s="1557">
        <f t="shared" si="14"/>
        <v>100</v>
      </c>
      <c r="X47" s="1550"/>
      <c r="Y47" s="3477"/>
      <c r="Z47" s="1558">
        <f t="shared" si="15"/>
        <v>111</v>
      </c>
      <c r="AA47" s="1559">
        <f t="shared" si="3"/>
        <v>1</v>
      </c>
      <c r="AB47" s="1559">
        <f t="shared" si="4"/>
        <v>1</v>
      </c>
      <c r="AC47" s="1559">
        <f t="shared" si="5"/>
        <v>1</v>
      </c>
    </row>
    <row r="48" spans="1:29" ht="14.4">
      <c r="A48" s="605" t="s">
        <v>735</v>
      </c>
      <c r="B48" s="885"/>
      <c r="C48" s="2588" t="s">
        <v>1</v>
      </c>
      <c r="D48" s="2589"/>
      <c r="E48" s="2590"/>
      <c r="F48" s="2591"/>
      <c r="G48" s="2592"/>
      <c r="H48" s="2593"/>
      <c r="I48" s="2590"/>
      <c r="J48" s="2593"/>
      <c r="K48" s="1593"/>
      <c r="L48" s="2126"/>
      <c r="M48" s="2116"/>
      <c r="N48" s="2116"/>
      <c r="O48" s="2116"/>
      <c r="P48" s="3379" t="str">
        <f>A48</f>
        <v>成交单价（元/平方米）</v>
      </c>
      <c r="Q48" s="3381"/>
      <c r="R48" s="3476">
        <f>E48</f>
        <v>0</v>
      </c>
      <c r="S48" s="3476"/>
      <c r="T48" s="3476">
        <f>G48</f>
        <v>0</v>
      </c>
      <c r="U48" s="3476"/>
      <c r="V48" s="3476">
        <f>I48</f>
        <v>0</v>
      </c>
      <c r="W48" s="3476"/>
      <c r="X48" s="1542"/>
      <c r="Y48" s="1564"/>
      <c r="Z48" s="1542"/>
      <c r="AA48" s="1542"/>
      <c r="AB48" s="1542"/>
      <c r="AC48" s="1542"/>
    </row>
    <row r="49" spans="1:29" ht="15" thickBot="1">
      <c r="A49" s="613" t="s">
        <v>2757</v>
      </c>
      <c r="B49" s="886"/>
      <c r="C49" s="2594" t="e">
        <f>R50</f>
        <v>#DIV/0!</v>
      </c>
      <c r="D49" s="2595"/>
      <c r="E49" s="2596" t="e">
        <f>R49</f>
        <v>#DIV/0!</v>
      </c>
      <c r="F49" s="2596"/>
      <c r="G49" s="2594" t="e">
        <f>T49</f>
        <v>#DIV/0!</v>
      </c>
      <c r="H49" s="2595"/>
      <c r="I49" s="2596" t="e">
        <f>V49</f>
        <v>#DIV/0!</v>
      </c>
      <c r="J49" s="2595"/>
      <c r="K49" s="1594"/>
      <c r="L49" s="2126"/>
      <c r="M49" s="2116"/>
      <c r="N49" s="2116"/>
      <c r="O49" s="2116"/>
      <c r="P49" s="3379" t="str">
        <f>A49</f>
        <v>比较价格（元/平方米）</v>
      </c>
      <c r="Q49" s="3381"/>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42"/>
      <c r="Y49" s="1542"/>
      <c r="Z49" s="1542"/>
      <c r="AA49" s="1542"/>
      <c r="AB49" s="1542"/>
      <c r="AC49" s="1542"/>
    </row>
    <row r="50" spans="1:29" ht="15" thickBot="1">
      <c r="A50" s="619" t="s">
        <v>2924</v>
      </c>
      <c r="B50" s="620"/>
      <c r="C50" s="2597" t="e">
        <f>R50</f>
        <v>#DIV/0!</v>
      </c>
      <c r="D50" s="2597"/>
      <c r="E50" s="2597"/>
      <c r="F50" s="2597"/>
      <c r="G50" s="2597"/>
      <c r="H50" s="2597"/>
      <c r="I50" s="2597"/>
      <c r="J50" s="2597"/>
      <c r="K50" s="1595"/>
      <c r="L50" s="2126"/>
      <c r="M50" s="2116"/>
      <c r="N50" s="2116"/>
      <c r="O50" s="2116"/>
      <c r="P50" s="3503" t="str">
        <f>A50</f>
        <v>估价对象XX用房的比较价格（楼面单价，元/平方米）</v>
      </c>
      <c r="Q50" s="3379"/>
      <c r="R50" s="3475" t="e">
        <f>IF(F1="售价",ROUND(AVERAGE(R49:V49),0),ROUND(AVERAGE(R49:V49),1))</f>
        <v>#DIV/0!</v>
      </c>
      <c r="S50" s="3475"/>
      <c r="T50" s="3475"/>
      <c r="U50" s="3475"/>
      <c r="V50" s="3475"/>
      <c r="W50" s="3475"/>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3" t="s">
        <v>529</v>
      </c>
      <c r="B59" s="644"/>
      <c r="C59" s="2754" t="str">
        <f>YEAR(C7)&amp;"-"&amp;MONTH(C7)</f>
        <v>2020-1</v>
      </c>
      <c r="D59" s="2756">
        <f>EDATE(C59,-1)</f>
        <v>43800</v>
      </c>
      <c r="E59" s="2756">
        <f t="shared" ref="E59:O59" si="16">EDATE(D59,-1)</f>
        <v>43770</v>
      </c>
      <c r="F59" s="2756">
        <f t="shared" si="16"/>
        <v>43739</v>
      </c>
      <c r="G59" s="2756">
        <f t="shared" si="16"/>
        <v>43709</v>
      </c>
      <c r="H59" s="2756">
        <f t="shared" si="16"/>
        <v>43678</v>
      </c>
      <c r="I59" s="2756">
        <f t="shared" si="16"/>
        <v>43647</v>
      </c>
      <c r="J59" s="2756">
        <f t="shared" si="16"/>
        <v>43617</v>
      </c>
      <c r="K59" s="2756">
        <f t="shared" si="16"/>
        <v>43586</v>
      </c>
      <c r="L59" s="2756">
        <f t="shared" si="16"/>
        <v>43556</v>
      </c>
      <c r="M59" s="2756">
        <f t="shared" si="16"/>
        <v>43525</v>
      </c>
      <c r="N59" s="2756">
        <f t="shared" si="16"/>
        <v>43497</v>
      </c>
      <c r="O59" s="2756">
        <f t="shared" si="16"/>
        <v>43466</v>
      </c>
      <c r="P59" s="2193"/>
      <c r="Q59" s="2143"/>
      <c r="R59" s="2143"/>
      <c r="S59" s="2143"/>
      <c r="T59" s="2143"/>
      <c r="U59" s="2143"/>
      <c r="V59" s="2143"/>
      <c r="W59" s="2143"/>
      <c r="X59" s="2143"/>
      <c r="Y59" s="2143"/>
      <c r="Z59" s="2143"/>
      <c r="AA59" s="2143"/>
      <c r="AB59" s="2143"/>
      <c r="AC59" s="2143"/>
    </row>
    <row r="60" spans="1:29" s="1214" customFormat="1">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4.4">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4.4"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ht="14.4">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4.4"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9.4" thickTop="1">
      <c r="A66" s="667"/>
      <c r="B66" s="671" t="s">
        <v>537</v>
      </c>
      <c r="C66" s="672" t="s">
        <v>736</v>
      </c>
      <c r="D66" s="672" t="s">
        <v>737</v>
      </c>
      <c r="E66" s="672" t="s">
        <v>738</v>
      </c>
      <c r="F66" s="672" t="s">
        <v>739</v>
      </c>
      <c r="G66" s="672" t="s">
        <v>740</v>
      </c>
      <c r="H66" s="672" t="s">
        <v>741</v>
      </c>
      <c r="I66" s="672" t="s">
        <v>742</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4.4"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4.4"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4.4"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4.4"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4.4"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ht="14.4">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 thickTop="1">
      <c r="A85" s="667"/>
      <c r="B85" s="671" t="s">
        <v>783</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9.4" thickTop="1">
      <c r="A87" s="707"/>
      <c r="B87" s="671" t="s">
        <v>784</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4.4"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4.4"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4.4"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4.4"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4.4"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4.4"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ht="14.4">
      <c r="A101" s="662" t="s">
        <v>551</v>
      </c>
      <c r="B101" s="663" t="s">
        <v>746</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748</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750</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785</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752</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786</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774</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754</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3"/>
      <c r="B125" s="671" t="s">
        <v>755</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4.4"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4.4"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87">
      <c r="A7" s="2825" t="s">
        <v>2745</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2023</v>
      </c>
    </row>
    <row r="11" spans="1:4" ht="17.399999999999999">
      <c r="A11" s="1762" t="str">
        <f>TEXT(项目基本情况!D3,"yyyy年m月d日;;")&amp;IF(项目基本情况!B3=项目基本情况!D3,"（评估专业人员勘察现场之日）","")</f>
        <v>2020年1月2日</v>
      </c>
    </row>
    <row r="12" spans="1:4" ht="17.399999999999999">
      <c r="A12" s="1779" t="s">
        <v>2022</v>
      </c>
    </row>
    <row r="13" spans="1:4" ht="17.399999999999999">
      <c r="A13" s="1773" t="s">
        <v>2068</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2069</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2070</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2071</v>
      </c>
    </row>
    <row r="23" spans="1:1" ht="17.399999999999999">
      <c r="A23" s="2827" t="s">
        <v>2746</v>
      </c>
    </row>
    <row r="24" spans="1:1" ht="17.399999999999999">
      <c r="A24" s="1773" t="s">
        <v>2072</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52.2">
      <c r="A26" s="177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IF(项目基本情况!E9="——","",定义!C57)</f>
        <v/>
      </c>
    </row>
    <row r="29" spans="1:1" ht="17.399999999999999">
      <c r="A29" s="1779" t="s">
        <v>2024</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787</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521</v>
      </c>
      <c r="B4" s="511"/>
      <c r="C4" s="3387" t="s">
        <v>522</v>
      </c>
      <c r="D4" s="3388"/>
      <c r="E4" s="3424" t="s">
        <v>523</v>
      </c>
      <c r="F4" s="3425"/>
      <c r="G4" s="3387" t="s">
        <v>524</v>
      </c>
      <c r="H4" s="3388"/>
      <c r="I4" s="3387" t="s">
        <v>525</v>
      </c>
      <c r="J4" s="3388"/>
      <c r="K4" s="512" t="s">
        <v>526</v>
      </c>
      <c r="L4" s="2115"/>
      <c r="M4" s="2116"/>
      <c r="N4" s="2116"/>
      <c r="O4" s="2116"/>
      <c r="P4" s="3389" t="s">
        <v>527</v>
      </c>
      <c r="Q4" s="3390"/>
      <c r="R4" s="3395" t="s">
        <v>523</v>
      </c>
      <c r="S4" s="3396"/>
      <c r="T4" s="3395" t="s">
        <v>524</v>
      </c>
      <c r="U4" s="3396"/>
      <c r="V4" s="3382" t="s">
        <v>525</v>
      </c>
      <c r="W4" s="3382"/>
      <c r="X4" s="1550"/>
      <c r="Y4" s="3395" t="s">
        <v>527</v>
      </c>
      <c r="Z4" s="3396"/>
      <c r="AA4" s="3384" t="s">
        <v>523</v>
      </c>
      <c r="AB4" s="3385" t="s">
        <v>524</v>
      </c>
      <c r="AC4" s="3384" t="s">
        <v>525</v>
      </c>
    </row>
    <row r="5" spans="1:29">
      <c r="A5" s="513"/>
      <c r="B5" s="514"/>
      <c r="C5" s="3403" t="s">
        <v>2918</v>
      </c>
      <c r="D5" s="3404"/>
      <c r="E5" s="3408" t="s">
        <v>2919</v>
      </c>
      <c r="F5" s="3409"/>
      <c r="G5" s="3403" t="s">
        <v>2920</v>
      </c>
      <c r="H5" s="3404"/>
      <c r="I5" s="3403" t="s">
        <v>2921</v>
      </c>
      <c r="J5" s="3404"/>
      <c r="K5" s="512"/>
      <c r="L5" s="2115"/>
      <c r="M5" s="2116"/>
      <c r="N5" s="2116"/>
      <c r="O5" s="2116"/>
      <c r="P5" s="3391"/>
      <c r="Q5" s="3392"/>
      <c r="R5" s="3397"/>
      <c r="S5" s="3398"/>
      <c r="T5" s="3397"/>
      <c r="U5" s="3398"/>
      <c r="V5" s="3382"/>
      <c r="W5" s="3382"/>
      <c r="X5" s="1550"/>
      <c r="Y5" s="3397"/>
      <c r="Z5" s="3398"/>
      <c r="AA5" s="3385"/>
      <c r="AB5" s="3385"/>
      <c r="AC5" s="3385"/>
    </row>
    <row r="6" spans="1:29" ht="15" thickBot="1">
      <c r="A6" s="515"/>
      <c r="B6" s="516"/>
      <c r="C6" s="3422" t="s">
        <v>2922</v>
      </c>
      <c r="D6" s="3423"/>
      <c r="E6" s="3407" t="s">
        <v>2922</v>
      </c>
      <c r="F6" s="3402"/>
      <c r="G6" s="3422" t="s">
        <v>2922</v>
      </c>
      <c r="H6" s="3423"/>
      <c r="I6" s="3422" t="s">
        <v>2922</v>
      </c>
      <c r="J6" s="3423"/>
      <c r="K6" s="512" t="s">
        <v>528</v>
      </c>
      <c r="L6" s="2115"/>
      <c r="M6" s="2116"/>
      <c r="N6" s="2116"/>
      <c r="O6" s="2116"/>
      <c r="P6" s="3393"/>
      <c r="Q6" s="3394"/>
      <c r="R6" s="3397"/>
      <c r="S6" s="3398"/>
      <c r="T6" s="3399"/>
      <c r="U6" s="3400"/>
      <c r="V6" s="3382"/>
      <c r="W6" s="3382"/>
      <c r="X6" s="1550"/>
      <c r="Y6" s="3399"/>
      <c r="Z6" s="3400"/>
      <c r="AA6" s="3386"/>
      <c r="AB6" s="3386"/>
      <c r="AC6" s="3386"/>
    </row>
    <row r="7" spans="1:29" s="1214" customFormat="1" ht="15" thickBot="1">
      <c r="A7" s="2864"/>
      <c r="B7" s="2871" t="s">
        <v>529</v>
      </c>
      <c r="C7" s="517">
        <f>'数据-取费表'!B2</f>
        <v>43832</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5" t="s">
        <v>530</v>
      </c>
      <c r="Q7" s="3417"/>
      <c r="R7" s="1551" t="s">
        <v>8</v>
      </c>
      <c r="S7" s="1552">
        <f t="shared" ref="S7:S15" si="0">F7</f>
        <v>0</v>
      </c>
      <c r="T7" s="1551" t="s">
        <v>8</v>
      </c>
      <c r="U7" s="1552">
        <f t="shared" ref="U7:U15" si="1">H7</f>
        <v>0</v>
      </c>
      <c r="V7" s="1551" t="s">
        <v>8</v>
      </c>
      <c r="W7" s="1552">
        <f t="shared" ref="W7:W15" si="2">J7</f>
        <v>0</v>
      </c>
      <c r="X7" s="1553"/>
      <c r="Y7" s="3415" t="s">
        <v>530</v>
      </c>
      <c r="Z7" s="3416"/>
      <c r="AA7" s="1554" t="e">
        <f>D7/F7</f>
        <v>#DIV/0!</v>
      </c>
      <c r="AB7" s="1554" t="e">
        <f>D7/H7</f>
        <v>#DIV/0!</v>
      </c>
      <c r="AC7" s="1554" t="e">
        <f>D7/J7</f>
        <v>#DIV/0!</v>
      </c>
    </row>
    <row r="8" spans="1:29" s="1214" customFormat="1" ht="1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5" t="s">
        <v>533</v>
      </c>
      <c r="Q8" s="3416"/>
      <c r="R8" s="1551" t="s">
        <v>8</v>
      </c>
      <c r="S8" s="1552">
        <f t="shared" si="0"/>
        <v>0</v>
      </c>
      <c r="T8" s="1551" t="s">
        <v>8</v>
      </c>
      <c r="U8" s="1552">
        <f t="shared" si="1"/>
        <v>0</v>
      </c>
      <c r="V8" s="1551" t="s">
        <v>8</v>
      </c>
      <c r="W8" s="1552">
        <f t="shared" si="2"/>
        <v>0</v>
      </c>
      <c r="X8" s="1553"/>
      <c r="Y8" s="3415" t="s">
        <v>533</v>
      </c>
      <c r="Z8" s="3416"/>
      <c r="AA8" s="1554" t="e">
        <f t="shared" ref="AA8:AA40" si="3">D8/F8</f>
        <v>#DIV/0!</v>
      </c>
      <c r="AB8" s="1554" t="e">
        <f t="shared" ref="AB8:AB40" si="4">D8/H8</f>
        <v>#DIV/0!</v>
      </c>
      <c r="AC8" s="1554" t="e">
        <f t="shared" ref="AC8:AC40" si="5">D8/J8</f>
        <v>#DIV/0!</v>
      </c>
    </row>
    <row r="9" spans="1:29" s="1214" customFormat="1" ht="14.4">
      <c r="A9" s="2866"/>
      <c r="B9" s="2873" t="s">
        <v>2753</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81" t="s">
        <v>535</v>
      </c>
      <c r="Q9" s="1145" t="str">
        <f t="shared" ref="Q9:Q15" si="6">B9</f>
        <v>用途</v>
      </c>
      <c r="R9" s="1551" t="s">
        <v>8</v>
      </c>
      <c r="S9" s="1552">
        <f t="shared" si="0"/>
        <v>100</v>
      </c>
      <c r="T9" s="1551" t="s">
        <v>8</v>
      </c>
      <c r="U9" s="1552">
        <f t="shared" si="1"/>
        <v>100</v>
      </c>
      <c r="V9" s="1551" t="s">
        <v>8</v>
      </c>
      <c r="W9" s="1552">
        <f t="shared" si="2"/>
        <v>100</v>
      </c>
      <c r="X9" s="1553"/>
      <c r="Y9" s="3327"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81"/>
      <c r="Q10" s="1145" t="str">
        <f t="shared" si="6"/>
        <v>土地使用年限（年）</v>
      </c>
      <c r="R10" s="1551" t="s">
        <v>8</v>
      </c>
      <c r="S10" s="1552">
        <f t="shared" si="0"/>
        <v>100</v>
      </c>
      <c r="T10" s="1551" t="s">
        <v>8</v>
      </c>
      <c r="U10" s="1552">
        <f t="shared" si="1"/>
        <v>100</v>
      </c>
      <c r="V10" s="1551" t="s">
        <v>8</v>
      </c>
      <c r="W10" s="1552">
        <f t="shared" si="2"/>
        <v>100</v>
      </c>
      <c r="X10" s="1553"/>
      <c r="Y10" s="3327"/>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81"/>
      <c r="Q11" s="1145" t="str">
        <f t="shared" si="6"/>
        <v>容积率</v>
      </c>
      <c r="R11" s="1551" t="s">
        <v>8</v>
      </c>
      <c r="S11" s="1552" t="e">
        <f t="shared" si="0"/>
        <v>#N/A</v>
      </c>
      <c r="T11" s="1551" t="s">
        <v>8</v>
      </c>
      <c r="U11" s="1552" t="e">
        <f t="shared" si="1"/>
        <v>#N/A</v>
      </c>
      <c r="V11" s="1551" t="s">
        <v>8</v>
      </c>
      <c r="W11" s="1552" t="e">
        <f t="shared" si="2"/>
        <v>#N/A</v>
      </c>
      <c r="X11" s="1553"/>
      <c r="Y11" s="3327"/>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81"/>
      <c r="Q12" s="1145">
        <f t="shared" si="6"/>
        <v>111</v>
      </c>
      <c r="R12" s="1551" t="s">
        <v>8</v>
      </c>
      <c r="S12" s="1552">
        <f t="shared" si="0"/>
        <v>100</v>
      </c>
      <c r="T12" s="1551" t="s">
        <v>8</v>
      </c>
      <c r="U12" s="1552">
        <f t="shared" si="1"/>
        <v>100</v>
      </c>
      <c r="V12" s="1551" t="s">
        <v>8</v>
      </c>
      <c r="W12" s="1552">
        <f t="shared" si="2"/>
        <v>100</v>
      </c>
      <c r="X12" s="1553"/>
      <c r="Y12" s="3327"/>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81"/>
      <c r="Q13" s="1145">
        <f t="shared" si="6"/>
        <v>111</v>
      </c>
      <c r="R13" s="1551" t="s">
        <v>8</v>
      </c>
      <c r="S13" s="1552">
        <f t="shared" si="0"/>
        <v>100</v>
      </c>
      <c r="T13" s="1551" t="s">
        <v>8</v>
      </c>
      <c r="U13" s="1552">
        <f t="shared" si="1"/>
        <v>100</v>
      </c>
      <c r="V13" s="1551" t="s">
        <v>8</v>
      </c>
      <c r="W13" s="1552">
        <f t="shared" si="2"/>
        <v>100</v>
      </c>
      <c r="X13" s="1553"/>
      <c r="Y13" s="3327"/>
      <c r="Z13" s="1144">
        <f t="shared" si="7"/>
        <v>111</v>
      </c>
      <c r="AA13" s="1554">
        <f t="shared" si="3"/>
        <v>1</v>
      </c>
      <c r="AB13" s="1554">
        <f t="shared" si="4"/>
        <v>1</v>
      </c>
      <c r="AC13" s="1554">
        <f t="shared" si="5"/>
        <v>1</v>
      </c>
    </row>
    <row r="14" spans="1:29" ht="15.6"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81"/>
      <c r="Q14" s="1145">
        <f t="shared" si="6"/>
        <v>111</v>
      </c>
      <c r="R14" s="1551" t="s">
        <v>8</v>
      </c>
      <c r="S14" s="1552">
        <f t="shared" si="0"/>
        <v>100</v>
      </c>
      <c r="T14" s="1551" t="s">
        <v>8</v>
      </c>
      <c r="U14" s="1552">
        <f t="shared" si="1"/>
        <v>100</v>
      </c>
      <c r="V14" s="1551" t="s">
        <v>8</v>
      </c>
      <c r="W14" s="1552">
        <f t="shared" si="2"/>
        <v>100</v>
      </c>
      <c r="X14" s="1553"/>
      <c r="Y14" s="3327"/>
      <c r="Z14" s="1144">
        <f t="shared" si="7"/>
        <v>111</v>
      </c>
      <c r="AA14" s="1554">
        <f t="shared" si="3"/>
        <v>1</v>
      </c>
      <c r="AB14" s="1554">
        <f t="shared" si="4"/>
        <v>1</v>
      </c>
      <c r="AC14" s="1554">
        <f t="shared" si="5"/>
        <v>1</v>
      </c>
    </row>
    <row r="15" spans="1:29" ht="15">
      <c r="A15" s="2862" t="s">
        <v>2751</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18" t="s">
        <v>540</v>
      </c>
      <c r="Q15" s="1555" t="str">
        <f t="shared" si="6"/>
        <v>产业集聚程度</v>
      </c>
      <c r="R15" s="1556" t="s">
        <v>8</v>
      </c>
      <c r="S15" s="1557">
        <f t="shared" si="0"/>
        <v>100</v>
      </c>
      <c r="T15" s="1556" t="s">
        <v>8</v>
      </c>
      <c r="U15" s="1557">
        <f t="shared" si="1"/>
        <v>100</v>
      </c>
      <c r="V15" s="1556" t="s">
        <v>8</v>
      </c>
      <c r="W15" s="1557">
        <f t="shared" si="2"/>
        <v>100</v>
      </c>
      <c r="X15" s="1550"/>
      <c r="Y15" s="3418"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9"/>
      <c r="Q16" s="1555"/>
      <c r="R16" s="1556"/>
      <c r="S16" s="1557"/>
      <c r="T16" s="1556"/>
      <c r="U16" s="1557"/>
      <c r="V16" s="1556"/>
      <c r="W16" s="1557"/>
      <c r="X16" s="1550"/>
      <c r="Y16" s="3419"/>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19"/>
      <c r="Q17" s="1555" t="str">
        <f>B17</f>
        <v>交通便捷度</v>
      </c>
      <c r="R17" s="1556" t="s">
        <v>8</v>
      </c>
      <c r="S17" s="1557">
        <f>F17</f>
        <v>100</v>
      </c>
      <c r="T17" s="1556" t="s">
        <v>8</v>
      </c>
      <c r="U17" s="1557">
        <f>H17</f>
        <v>100</v>
      </c>
      <c r="V17" s="1556" t="s">
        <v>8</v>
      </c>
      <c r="W17" s="1557">
        <f>J17</f>
        <v>100</v>
      </c>
      <c r="X17" s="1550"/>
      <c r="Y17" s="3419"/>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9"/>
      <c r="Q18" s="1555"/>
      <c r="R18" s="1556"/>
      <c r="S18" s="1557"/>
      <c r="T18" s="1556"/>
      <c r="U18" s="1557"/>
      <c r="V18" s="1556"/>
      <c r="W18" s="1557"/>
      <c r="X18" s="1550"/>
      <c r="Y18" s="3419"/>
      <c r="Z18" s="1558"/>
      <c r="AA18" s="1559">
        <v>1</v>
      </c>
      <c r="AB18" s="1559">
        <v>1</v>
      </c>
      <c r="AC18" s="1559">
        <v>1</v>
      </c>
    </row>
    <row r="19" spans="1:29" ht="15">
      <c r="A19" s="530"/>
      <c r="B19" s="2564"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19"/>
      <c r="Q19" s="1555" t="str">
        <f>B19</f>
        <v>公共配套设施</v>
      </c>
      <c r="R19" s="1556" t="s">
        <v>8</v>
      </c>
      <c r="S19" s="1557">
        <f>F19</f>
        <v>100</v>
      </c>
      <c r="T19" s="1556" t="s">
        <v>8</v>
      </c>
      <c r="U19" s="1557">
        <f>H19</f>
        <v>100</v>
      </c>
      <c r="V19" s="1556" t="s">
        <v>8</v>
      </c>
      <c r="W19" s="1557">
        <f>J19</f>
        <v>100</v>
      </c>
      <c r="X19" s="1550"/>
      <c r="Y19" s="3419"/>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19"/>
      <c r="Q20" s="1555"/>
      <c r="R20" s="1556"/>
      <c r="S20" s="1557"/>
      <c r="T20" s="1556"/>
      <c r="U20" s="1557"/>
      <c r="V20" s="1556"/>
      <c r="W20" s="1557"/>
      <c r="X20" s="1550"/>
      <c r="Y20" s="3419"/>
      <c r="Z20" s="1558"/>
      <c r="AA20" s="1559">
        <v>1</v>
      </c>
      <c r="AB20" s="1559">
        <v>1</v>
      </c>
      <c r="AC20" s="1559">
        <v>1</v>
      </c>
    </row>
    <row r="21" spans="1:29" ht="15">
      <c r="A21" s="530"/>
      <c r="B21" s="2552"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19"/>
      <c r="Q21" s="2540" t="str">
        <f>B21</f>
        <v>基础设施水平</v>
      </c>
      <c r="R21" s="1556" t="s">
        <v>8</v>
      </c>
      <c r="S21" s="1557">
        <f>F21</f>
        <v>100</v>
      </c>
      <c r="T21" s="1556" t="s">
        <v>8</v>
      </c>
      <c r="U21" s="1557">
        <f>H21</f>
        <v>100</v>
      </c>
      <c r="V21" s="1556" t="s">
        <v>8</v>
      </c>
      <c r="W21" s="1557">
        <f>J21</f>
        <v>100</v>
      </c>
      <c r="X21" s="2542"/>
      <c r="Y21" s="3419"/>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19"/>
      <c r="Q22" s="2540"/>
      <c r="R22" s="1556"/>
      <c r="S22" s="1557"/>
      <c r="T22" s="1556"/>
      <c r="U22" s="1557"/>
      <c r="V22" s="1556"/>
      <c r="W22" s="1557"/>
      <c r="X22" s="2542"/>
      <c r="Y22" s="3419"/>
      <c r="Z22" s="2541"/>
      <c r="AA22" s="1559">
        <v>1</v>
      </c>
      <c r="AB22" s="1559">
        <v>1</v>
      </c>
      <c r="AC22" s="1559">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19"/>
      <c r="Q23" s="1555" t="str">
        <f>B23</f>
        <v>环境质量</v>
      </c>
      <c r="R23" s="1556" t="s">
        <v>8</v>
      </c>
      <c r="S23" s="1557">
        <f>F23</f>
        <v>100</v>
      </c>
      <c r="T23" s="1556" t="s">
        <v>8</v>
      </c>
      <c r="U23" s="1557">
        <f>H23</f>
        <v>100</v>
      </c>
      <c r="V23" s="1556" t="s">
        <v>8</v>
      </c>
      <c r="W23" s="1557">
        <f>J23</f>
        <v>100</v>
      </c>
      <c r="X23" s="1550"/>
      <c r="Y23" s="3419"/>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19"/>
      <c r="Q24" s="1555"/>
      <c r="R24" s="1556"/>
      <c r="S24" s="1557"/>
      <c r="T24" s="1556"/>
      <c r="U24" s="1557"/>
      <c r="V24" s="1556"/>
      <c r="W24" s="1557"/>
      <c r="X24" s="1550"/>
      <c r="Y24" s="3419"/>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19"/>
      <c r="Q25" s="1555">
        <f>B25</f>
        <v>111</v>
      </c>
      <c r="R25" s="1556" t="s">
        <v>8</v>
      </c>
      <c r="S25" s="1557">
        <f>F25</f>
        <v>100</v>
      </c>
      <c r="T25" s="1556" t="s">
        <v>8</v>
      </c>
      <c r="U25" s="1557">
        <f>H25</f>
        <v>100</v>
      </c>
      <c r="V25" s="1556" t="s">
        <v>8</v>
      </c>
      <c r="W25" s="1557">
        <f>J25</f>
        <v>100</v>
      </c>
      <c r="X25" s="1550"/>
      <c r="Y25" s="3419"/>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19"/>
      <c r="Q26" s="1555">
        <f t="shared" ref="Q26:Q40" si="11">B26</f>
        <v>111</v>
      </c>
      <c r="R26" s="1556" t="s">
        <v>8</v>
      </c>
      <c r="S26" s="1557">
        <f>F26</f>
        <v>100</v>
      </c>
      <c r="T26" s="1556" t="s">
        <v>8</v>
      </c>
      <c r="U26" s="1557">
        <f>H26</f>
        <v>100</v>
      </c>
      <c r="V26" s="1556" t="s">
        <v>8</v>
      </c>
      <c r="W26" s="1557">
        <f>J26</f>
        <v>100</v>
      </c>
      <c r="X26" s="1550"/>
      <c r="Y26" s="3419"/>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19"/>
      <c r="Q27" s="1145">
        <f t="shared" si="11"/>
        <v>111</v>
      </c>
      <c r="R27" s="1551" t="s">
        <v>8</v>
      </c>
      <c r="S27" s="1552">
        <f>F27</f>
        <v>100</v>
      </c>
      <c r="T27" s="1551" t="s">
        <v>8</v>
      </c>
      <c r="U27" s="1552">
        <f>H27</f>
        <v>100</v>
      </c>
      <c r="V27" s="1551" t="s">
        <v>8</v>
      </c>
      <c r="W27" s="1552">
        <f>J27</f>
        <v>100</v>
      </c>
      <c r="X27" s="1553"/>
      <c r="Y27" s="3419"/>
      <c r="Z27" s="1144">
        <f>Q27</f>
        <v>111</v>
      </c>
      <c r="AA27" s="1559">
        <f>D27/F27</f>
        <v>1</v>
      </c>
      <c r="AB27" s="1559">
        <f>D27/H27</f>
        <v>1</v>
      </c>
      <c r="AC27" s="1559">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19"/>
      <c r="Q28" s="1555">
        <f t="shared" si="11"/>
        <v>111</v>
      </c>
      <c r="R28" s="1556" t="s">
        <v>8</v>
      </c>
      <c r="S28" s="1557">
        <f t="shared" ref="S28:S40" si="12">F28</f>
        <v>100</v>
      </c>
      <c r="T28" s="1556" t="s">
        <v>8</v>
      </c>
      <c r="U28" s="1557">
        <f t="shared" ref="U28:U40" si="13">H28</f>
        <v>100</v>
      </c>
      <c r="V28" s="1556" t="s">
        <v>8</v>
      </c>
      <c r="W28" s="1557">
        <f t="shared" ref="W28:W40" si="14">J28</f>
        <v>100</v>
      </c>
      <c r="X28" s="1550"/>
      <c r="Y28" s="3419"/>
      <c r="Z28" s="1558">
        <f t="shared" ref="Z28:Z40" si="15">Q28</f>
        <v>111</v>
      </c>
      <c r="AA28" s="1559">
        <f t="shared" si="3"/>
        <v>1</v>
      </c>
      <c r="AB28" s="1559">
        <f t="shared" si="4"/>
        <v>1</v>
      </c>
      <c r="AC28" s="1559">
        <f t="shared" si="5"/>
        <v>1</v>
      </c>
    </row>
    <row r="29" spans="1:29" ht="15">
      <c r="A29" s="2859" t="s">
        <v>2752</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20" t="s">
        <v>550</v>
      </c>
      <c r="Q29" s="1555" t="str">
        <f t="shared" si="11"/>
        <v>建筑类型</v>
      </c>
      <c r="R29" s="1556" t="s">
        <v>8</v>
      </c>
      <c r="S29" s="1557">
        <f t="shared" si="12"/>
        <v>100</v>
      </c>
      <c r="T29" s="1556" t="s">
        <v>8</v>
      </c>
      <c r="U29" s="1557">
        <f t="shared" si="13"/>
        <v>100</v>
      </c>
      <c r="V29" s="1556" t="s">
        <v>8</v>
      </c>
      <c r="W29" s="1557">
        <f t="shared" si="14"/>
        <v>100</v>
      </c>
      <c r="X29" s="1550"/>
      <c r="Y29" s="3421" t="s">
        <v>550</v>
      </c>
      <c r="Z29" s="1558" t="str">
        <f t="shared" si="15"/>
        <v>建筑类型</v>
      </c>
      <c r="AA29" s="1559">
        <f t="shared" si="3"/>
        <v>1</v>
      </c>
      <c r="AB29" s="1559">
        <f t="shared" si="4"/>
        <v>1</v>
      </c>
      <c r="AC29" s="1559">
        <f t="shared" si="5"/>
        <v>1</v>
      </c>
    </row>
    <row r="30" spans="1:29" s="1333"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1"/>
      <c r="Q30" s="1587" t="str">
        <f t="shared" si="11"/>
        <v>项目建筑规模</v>
      </c>
      <c r="R30" s="1560" t="s">
        <v>8</v>
      </c>
      <c r="S30" s="1561" t="e">
        <f t="shared" si="12"/>
        <v>#N/A</v>
      </c>
      <c r="T30" s="1560" t="s">
        <v>8</v>
      </c>
      <c r="U30" s="1561" t="e">
        <f t="shared" si="13"/>
        <v>#N/A</v>
      </c>
      <c r="V30" s="1560" t="s">
        <v>8</v>
      </c>
      <c r="W30" s="1561" t="e">
        <f t="shared" si="14"/>
        <v>#N/A</v>
      </c>
      <c r="X30" s="1562"/>
      <c r="Y30" s="3421"/>
      <c r="Z30" s="1563" t="str">
        <f t="shared" si="15"/>
        <v>项目建筑规模</v>
      </c>
      <c r="AA30" s="1559" t="e">
        <f t="shared" si="3"/>
        <v>#N/A</v>
      </c>
      <c r="AB30" s="1559" t="e">
        <f t="shared" si="4"/>
        <v>#N/A</v>
      </c>
      <c r="AC30" s="1559"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1"/>
      <c r="Q31" s="1555" t="str">
        <f t="shared" si="11"/>
        <v>建筑结构</v>
      </c>
      <c r="R31" s="1556" t="s">
        <v>8</v>
      </c>
      <c r="S31" s="1557">
        <f t="shared" si="12"/>
        <v>100</v>
      </c>
      <c r="T31" s="1556" t="s">
        <v>8</v>
      </c>
      <c r="U31" s="1557">
        <f t="shared" si="13"/>
        <v>100</v>
      </c>
      <c r="V31" s="1556" t="s">
        <v>8</v>
      </c>
      <c r="W31" s="1557">
        <f t="shared" si="14"/>
        <v>100</v>
      </c>
      <c r="X31" s="1550"/>
      <c r="Y31" s="3421"/>
      <c r="Z31" s="1558" t="str">
        <f t="shared" si="15"/>
        <v>建筑结构</v>
      </c>
      <c r="AA31" s="1559">
        <f t="shared" si="3"/>
        <v>1</v>
      </c>
      <c r="AB31" s="1559">
        <f t="shared" si="4"/>
        <v>1</v>
      </c>
      <c r="AC31" s="1559">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1"/>
      <c r="Q32" s="1555" t="str">
        <f t="shared" si="11"/>
        <v>公共部分装修</v>
      </c>
      <c r="R32" s="1556" t="s">
        <v>8</v>
      </c>
      <c r="S32" s="1557">
        <f t="shared" si="12"/>
        <v>100</v>
      </c>
      <c r="T32" s="1556" t="s">
        <v>8</v>
      </c>
      <c r="U32" s="1557">
        <f t="shared" si="13"/>
        <v>100</v>
      </c>
      <c r="V32" s="1556" t="s">
        <v>8</v>
      </c>
      <c r="W32" s="1557">
        <f t="shared" si="14"/>
        <v>100</v>
      </c>
      <c r="X32" s="1550"/>
      <c r="Y32" s="3421"/>
      <c r="Z32" s="1558" t="str">
        <f t="shared" si="15"/>
        <v>公共部分装修</v>
      </c>
      <c r="AA32" s="1559">
        <f t="shared" si="3"/>
        <v>1</v>
      </c>
      <c r="AB32" s="1559">
        <f t="shared" si="4"/>
        <v>1</v>
      </c>
      <c r="AC32" s="1559">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21"/>
      <c r="Q33" s="1555" t="str">
        <f t="shared" si="11"/>
        <v>成新度</v>
      </c>
      <c r="R33" s="1556" t="s">
        <v>8</v>
      </c>
      <c r="S33" s="1557" t="e">
        <f t="shared" si="12"/>
        <v>#N/A</v>
      </c>
      <c r="T33" s="1556" t="s">
        <v>8</v>
      </c>
      <c r="U33" s="1557" t="e">
        <f t="shared" si="13"/>
        <v>#N/A</v>
      </c>
      <c r="V33" s="1556" t="s">
        <v>8</v>
      </c>
      <c r="W33" s="1557" t="e">
        <f t="shared" si="14"/>
        <v>#N/A</v>
      </c>
      <c r="X33" s="1550"/>
      <c r="Y33" s="3421"/>
      <c r="Z33" s="1558" t="str">
        <f t="shared" si="15"/>
        <v>成新度</v>
      </c>
      <c r="AA33" s="1559" t="e">
        <f t="shared" si="3"/>
        <v>#N/A</v>
      </c>
      <c r="AB33" s="1559" t="e">
        <f t="shared" si="4"/>
        <v>#N/A</v>
      </c>
      <c r="AC33" s="1559" t="e">
        <f t="shared" si="5"/>
        <v>#N/A</v>
      </c>
    </row>
    <row r="34" spans="1:29" s="1214"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1"/>
      <c r="Q34" s="1145" t="str">
        <f t="shared" si="11"/>
        <v>物业管理</v>
      </c>
      <c r="R34" s="1551" t="s">
        <v>8</v>
      </c>
      <c r="S34" s="1552">
        <f t="shared" si="12"/>
        <v>100</v>
      </c>
      <c r="T34" s="1551" t="s">
        <v>8</v>
      </c>
      <c r="U34" s="1552">
        <f t="shared" si="13"/>
        <v>100</v>
      </c>
      <c r="V34" s="1551" t="s">
        <v>8</v>
      </c>
      <c r="W34" s="1552">
        <f t="shared" si="14"/>
        <v>100</v>
      </c>
      <c r="X34" s="1553"/>
      <c r="Y34" s="3421"/>
      <c r="Z34" s="1144" t="str">
        <f t="shared" si="15"/>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1" t="s">
        <v>550</v>
      </c>
      <c r="Q35" s="1555" t="str">
        <f t="shared" si="11"/>
        <v>市政基础设施</v>
      </c>
      <c r="R35" s="1556" t="s">
        <v>8</v>
      </c>
      <c r="S35" s="1557">
        <f t="shared" si="12"/>
        <v>100</v>
      </c>
      <c r="T35" s="1556" t="s">
        <v>8</v>
      </c>
      <c r="U35" s="1557">
        <f t="shared" si="13"/>
        <v>100</v>
      </c>
      <c r="V35" s="1556" t="s">
        <v>8</v>
      </c>
      <c r="W35" s="1557">
        <f t="shared" si="14"/>
        <v>100</v>
      </c>
      <c r="X35" s="1550"/>
      <c r="Y35" s="3421" t="s">
        <v>550</v>
      </c>
      <c r="Z35" s="1558" t="str">
        <f t="shared" si="15"/>
        <v>市政基础设施</v>
      </c>
      <c r="AA35" s="1559">
        <f t="shared" si="3"/>
        <v>1</v>
      </c>
      <c r="AB35" s="1559">
        <f t="shared" si="4"/>
        <v>1</v>
      </c>
      <c r="AC35" s="1559">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1"/>
      <c r="Q36" s="1555" t="str">
        <f t="shared" si="11"/>
        <v>内部装修</v>
      </c>
      <c r="R36" s="1556" t="s">
        <v>8</v>
      </c>
      <c r="S36" s="1557">
        <f t="shared" si="12"/>
        <v>100</v>
      </c>
      <c r="T36" s="1556" t="s">
        <v>8</v>
      </c>
      <c r="U36" s="1557">
        <f t="shared" si="13"/>
        <v>100</v>
      </c>
      <c r="V36" s="1556" t="s">
        <v>8</v>
      </c>
      <c r="W36" s="1557">
        <f t="shared" si="14"/>
        <v>100</v>
      </c>
      <c r="X36" s="1550"/>
      <c r="Y36" s="3421"/>
      <c r="Z36" s="1558" t="str">
        <f t="shared" si="15"/>
        <v>内部装修</v>
      </c>
      <c r="AA36" s="1559">
        <f t="shared" si="3"/>
        <v>1</v>
      </c>
      <c r="AB36" s="1559">
        <f t="shared" si="4"/>
        <v>1</v>
      </c>
      <c r="AC36" s="1559">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1"/>
      <c r="Q37" s="1555" t="str">
        <f t="shared" si="11"/>
        <v>内部装修状况</v>
      </c>
      <c r="R37" s="1556" t="s">
        <v>8</v>
      </c>
      <c r="S37" s="1557">
        <f t="shared" si="12"/>
        <v>100</v>
      </c>
      <c r="T37" s="1556" t="s">
        <v>8</v>
      </c>
      <c r="U37" s="1557">
        <f t="shared" si="13"/>
        <v>100</v>
      </c>
      <c r="V37" s="1556" t="s">
        <v>8</v>
      </c>
      <c r="W37" s="1557">
        <f t="shared" si="14"/>
        <v>100</v>
      </c>
      <c r="X37" s="1550"/>
      <c r="Y37" s="3421"/>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21"/>
      <c r="Q38" s="1587">
        <f t="shared" si="11"/>
        <v>111</v>
      </c>
      <c r="R38" s="1560" t="s">
        <v>8</v>
      </c>
      <c r="S38" s="1561">
        <f t="shared" si="12"/>
        <v>100</v>
      </c>
      <c r="T38" s="1560" t="s">
        <v>8</v>
      </c>
      <c r="U38" s="1561">
        <f t="shared" si="13"/>
        <v>100</v>
      </c>
      <c r="V38" s="1560" t="s">
        <v>8</v>
      </c>
      <c r="W38" s="1561">
        <f t="shared" si="14"/>
        <v>100</v>
      </c>
      <c r="X38" s="1562"/>
      <c r="Y38" s="3421"/>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21"/>
      <c r="Q39" s="1555">
        <f t="shared" si="11"/>
        <v>111</v>
      </c>
      <c r="R39" s="1556" t="s">
        <v>8</v>
      </c>
      <c r="S39" s="1557">
        <f t="shared" si="12"/>
        <v>100</v>
      </c>
      <c r="T39" s="1556" t="s">
        <v>8</v>
      </c>
      <c r="U39" s="1557">
        <f t="shared" si="13"/>
        <v>100</v>
      </c>
      <c r="V39" s="1556" t="s">
        <v>8</v>
      </c>
      <c r="W39" s="1557">
        <f t="shared" si="14"/>
        <v>100</v>
      </c>
      <c r="X39" s="1550"/>
      <c r="Y39" s="3421"/>
      <c r="Z39" s="1558">
        <f t="shared" si="15"/>
        <v>111</v>
      </c>
      <c r="AA39" s="1559">
        <f t="shared" si="3"/>
        <v>1</v>
      </c>
      <c r="AB39" s="1559">
        <f t="shared" si="4"/>
        <v>1</v>
      </c>
      <c r="AC39" s="1559">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77"/>
      <c r="Q40" s="1555">
        <f t="shared" si="11"/>
        <v>111</v>
      </c>
      <c r="R40" s="1556" t="s">
        <v>8</v>
      </c>
      <c r="S40" s="1557">
        <f t="shared" si="12"/>
        <v>100</v>
      </c>
      <c r="T40" s="1556" t="s">
        <v>8</v>
      </c>
      <c r="U40" s="1557">
        <f t="shared" si="13"/>
        <v>100</v>
      </c>
      <c r="V40" s="1556" t="s">
        <v>8</v>
      </c>
      <c r="W40" s="1557">
        <f t="shared" si="14"/>
        <v>100</v>
      </c>
      <c r="X40" s="1550"/>
      <c r="Y40" s="3477"/>
      <c r="Z40" s="1558">
        <f t="shared" si="15"/>
        <v>111</v>
      </c>
      <c r="AA40" s="1559">
        <f t="shared" si="3"/>
        <v>1</v>
      </c>
      <c r="AB40" s="1559">
        <f t="shared" si="4"/>
        <v>1</v>
      </c>
      <c r="AC40" s="1559">
        <f t="shared" si="5"/>
        <v>1</v>
      </c>
    </row>
    <row r="41" spans="1:29" ht="14.4">
      <c r="A41" s="605" t="s">
        <v>735</v>
      </c>
      <c r="B41" s="885"/>
      <c r="C41" s="2588" t="s">
        <v>1</v>
      </c>
      <c r="D41" s="2589"/>
      <c r="E41" s="2590"/>
      <c r="F41" s="2591"/>
      <c r="G41" s="2592"/>
      <c r="H41" s="2593"/>
      <c r="I41" s="2590"/>
      <c r="J41" s="2593"/>
      <c r="K41" s="1593"/>
      <c r="L41" s="2126"/>
      <c r="M41" s="2127"/>
      <c r="N41" s="2116"/>
      <c r="O41" s="2127"/>
      <c r="P41" s="3381" t="str">
        <f>A41</f>
        <v>成交单价（元/平方米）</v>
      </c>
      <c r="Q41" s="3381"/>
      <c r="R41" s="3476">
        <f>E41</f>
        <v>0</v>
      </c>
      <c r="S41" s="3476"/>
      <c r="T41" s="3476">
        <f>G41</f>
        <v>0</v>
      </c>
      <c r="U41" s="3476"/>
      <c r="V41" s="3476">
        <f>I41</f>
        <v>0</v>
      </c>
      <c r="W41" s="3476"/>
      <c r="X41" s="1542"/>
      <c r="Y41" s="1564"/>
      <c r="Z41" s="1542"/>
      <c r="AA41" s="1542"/>
      <c r="AB41" s="1542"/>
      <c r="AC41" s="1542"/>
    </row>
    <row r="42" spans="1:29" ht="15" thickBot="1">
      <c r="A42" s="613" t="s">
        <v>2757</v>
      </c>
      <c r="B42" s="886"/>
      <c r="C42" s="2594" t="e">
        <f>R43</f>
        <v>#DIV/0!</v>
      </c>
      <c r="D42" s="2595"/>
      <c r="E42" s="2596" t="e">
        <f>R42</f>
        <v>#DIV/0!</v>
      </c>
      <c r="F42" s="2596"/>
      <c r="G42" s="2594" t="e">
        <f>T42</f>
        <v>#DIV/0!</v>
      </c>
      <c r="H42" s="2595"/>
      <c r="I42" s="2596" t="e">
        <f>V42</f>
        <v>#DIV/0!</v>
      </c>
      <c r="J42" s="2595"/>
      <c r="K42" s="1594"/>
      <c r="L42" s="2126"/>
      <c r="M42" s="2127"/>
      <c r="N42" s="2116"/>
      <c r="O42" s="2127"/>
      <c r="P42" s="3381" t="str">
        <f>A42</f>
        <v>比较价格（元/平方米）</v>
      </c>
      <c r="Q42" s="3381"/>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42"/>
      <c r="Y42" s="1542"/>
      <c r="Z42" s="1542"/>
      <c r="AA42" s="1542"/>
      <c r="AB42" s="1542"/>
      <c r="AC42" s="1542"/>
    </row>
    <row r="43" spans="1:29" ht="15" thickBot="1">
      <c r="A43" s="619" t="s">
        <v>2924</v>
      </c>
      <c r="B43" s="620"/>
      <c r="C43" s="2597" t="e">
        <f>R43</f>
        <v>#DIV/0!</v>
      </c>
      <c r="D43" s="2597"/>
      <c r="E43" s="2597"/>
      <c r="F43" s="2597"/>
      <c r="G43" s="2597"/>
      <c r="H43" s="2597"/>
      <c r="I43" s="2597"/>
      <c r="J43" s="2597"/>
      <c r="K43" s="1595"/>
      <c r="L43" s="2126"/>
      <c r="M43" s="2127"/>
      <c r="N43" s="2127"/>
      <c r="O43" s="2127"/>
      <c r="P43" s="3378" t="str">
        <f>A43</f>
        <v>估价对象XX用房的比较价格（楼面单价，元/平方米）</v>
      </c>
      <c r="Q43" s="3379"/>
      <c r="R43" s="3475" t="e">
        <f>IF(F1="售价",ROUND(AVERAGE(R42:V42),0),ROUND(AVERAGE(R42:V42),1))</f>
        <v>#DIV/0!</v>
      </c>
      <c r="S43" s="3475"/>
      <c r="T43" s="3475"/>
      <c r="U43" s="3475"/>
      <c r="V43" s="3475"/>
      <c r="W43" s="3475"/>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3" t="s">
        <v>529</v>
      </c>
      <c r="B52" s="644"/>
      <c r="C52" s="2754" t="str">
        <f>YEAR(C7)&amp;"-"&amp;MONTH(C7)</f>
        <v>2020-1</v>
      </c>
      <c r="D52" s="2756">
        <f>EDATE(C52,-1)</f>
        <v>43800</v>
      </c>
      <c r="E52" s="2756">
        <f t="shared" ref="E52:O52" si="16">EDATE(D52,-1)</f>
        <v>43770</v>
      </c>
      <c r="F52" s="2756">
        <f t="shared" si="16"/>
        <v>43739</v>
      </c>
      <c r="G52" s="2756">
        <f t="shared" si="16"/>
        <v>43709</v>
      </c>
      <c r="H52" s="2756">
        <f t="shared" si="16"/>
        <v>43678</v>
      </c>
      <c r="I52" s="2756">
        <f t="shared" si="16"/>
        <v>43647</v>
      </c>
      <c r="J52" s="2756">
        <f t="shared" si="16"/>
        <v>43617</v>
      </c>
      <c r="K52" s="2756">
        <f t="shared" si="16"/>
        <v>43586</v>
      </c>
      <c r="L52" s="2756">
        <f t="shared" si="16"/>
        <v>43556</v>
      </c>
      <c r="M52" s="2756">
        <f t="shared" si="16"/>
        <v>43525</v>
      </c>
      <c r="N52" s="2756">
        <f t="shared" si="16"/>
        <v>43497</v>
      </c>
      <c r="O52" s="2756">
        <f t="shared" si="16"/>
        <v>43466</v>
      </c>
      <c r="P52" s="2142"/>
      <c r="Q52" s="2143"/>
      <c r="R52" s="2143"/>
      <c r="S52" s="2143"/>
      <c r="T52" s="2143"/>
      <c r="U52" s="2143"/>
      <c r="V52" s="2143"/>
      <c r="W52" s="2143"/>
      <c r="X52" s="2143"/>
      <c r="Y52" s="2143"/>
      <c r="Z52" s="2143"/>
      <c r="AA52" s="2143"/>
      <c r="AB52" s="2143"/>
      <c r="AC52" s="2143"/>
    </row>
    <row r="53" spans="1:29" s="1214" customFormat="1">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4.4">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4.4"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ht="14.4">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9.4" thickTop="1">
      <c r="A59" s="667"/>
      <c r="B59" s="671" t="s">
        <v>537</v>
      </c>
      <c r="C59" s="672" t="s">
        <v>736</v>
      </c>
      <c r="D59" s="672" t="s">
        <v>737</v>
      </c>
      <c r="E59" s="672" t="s">
        <v>738</v>
      </c>
      <c r="F59" s="672" t="s">
        <v>739</v>
      </c>
      <c r="G59" s="672" t="s">
        <v>740</v>
      </c>
      <c r="H59" s="672" t="s">
        <v>741</v>
      </c>
      <c r="I59" s="672" t="s">
        <v>742</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4.4"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4.4"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4.4"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4.4"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4.4"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ht="14.4">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2558" t="s">
        <v>2555</v>
      </c>
      <c r="C76" s="2559" t="s">
        <v>2556</v>
      </c>
      <c r="D76" s="2559" t="s">
        <v>2557</v>
      </c>
      <c r="E76" s="2559" t="s">
        <v>2558</v>
      </c>
      <c r="F76" s="2559" t="s">
        <v>2559</v>
      </c>
      <c r="G76" s="2559" t="s">
        <v>2560</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783</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4.4"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4.4"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4.4"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4.4"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4.4"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ht="14.4">
      <c r="A88" s="662" t="s">
        <v>551</v>
      </c>
      <c r="B88" s="663" t="s">
        <v>746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750</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752</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754</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9.4" thickTop="1">
      <c r="A106" s="733"/>
      <c r="B106" s="915" t="s">
        <v>790</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4.4"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4.4"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7" sqref="I37"/>
    </sheetView>
  </sheetViews>
  <sheetFormatPr defaultColWidth="9" defaultRowHeight="13.8"/>
  <cols>
    <col min="1" max="1" width="10.44140625" style="1331" customWidth="1"/>
    <col min="2" max="2" width="15.77734375" style="1331" customWidth="1"/>
    <col min="3" max="3" width="16.21875" style="1331" customWidth="1"/>
    <col min="4" max="4" width="12.21875" style="1331" customWidth="1"/>
    <col min="5" max="5" width="15.44140625" style="1331" customWidth="1"/>
    <col min="6" max="6" width="12.21875" style="1331" customWidth="1"/>
    <col min="7" max="7" width="15.6640625" style="1331" customWidth="1"/>
    <col min="8" max="8" width="12.21875" style="1331" customWidth="1"/>
    <col min="9" max="9" width="16.10937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t="s">
        <v>922</v>
      </c>
      <c r="C1" s="502" t="s">
        <v>791</v>
      </c>
      <c r="D1" s="847" t="s">
        <v>35</v>
      </c>
      <c r="E1" s="504"/>
      <c r="F1" s="2759" t="s">
        <v>3085</v>
      </c>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f>IF(B37="元/平方米",ROUND(B3*D3/10000,0),ROUND(F3*C39/10000,0))</f>
        <v>24204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f>IF(B37="元/平方米",C39,ROUND(B2*10000/D3,0))</f>
        <v>8153</v>
      </c>
      <c r="C3" s="850" t="s">
        <v>795</v>
      </c>
      <c r="D3" s="849">
        <f>SUMIF('数据-汇总表'!$C19:$C33,D1,'数据-汇总表'!$E19:$E33)</f>
        <v>29687.75</v>
      </c>
      <c r="E3" s="1830" t="s">
        <v>2073</v>
      </c>
      <c r="F3" s="849">
        <f>SUMIF('数据-取费表'!A5:A15,D1,'数据-取费表'!AH5:AH15)</f>
        <v>947</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796</v>
      </c>
      <c r="B4" s="511"/>
      <c r="C4" s="3387" t="s">
        <v>797</v>
      </c>
      <c r="D4" s="3388"/>
      <c r="E4" s="3387" t="s">
        <v>798</v>
      </c>
      <c r="F4" s="3388"/>
      <c r="G4" s="3387" t="s">
        <v>799</v>
      </c>
      <c r="H4" s="3388"/>
      <c r="I4" s="3387" t="s">
        <v>800</v>
      </c>
      <c r="J4" s="3388"/>
      <c r="K4" s="512" t="s">
        <v>801</v>
      </c>
      <c r="L4" s="2115"/>
      <c r="M4" s="2116"/>
      <c r="N4" s="2116"/>
      <c r="O4" s="2116"/>
      <c r="P4" s="3389" t="s">
        <v>802</v>
      </c>
      <c r="Q4" s="3390"/>
      <c r="R4" s="3395" t="s">
        <v>798</v>
      </c>
      <c r="S4" s="3396"/>
      <c r="T4" s="3395" t="s">
        <v>799</v>
      </c>
      <c r="U4" s="3396"/>
      <c r="V4" s="3382" t="s">
        <v>800</v>
      </c>
      <c r="W4" s="3382"/>
      <c r="X4" s="1550"/>
      <c r="Y4" s="3395" t="s">
        <v>802</v>
      </c>
      <c r="Z4" s="3396"/>
      <c r="AA4" s="3384" t="s">
        <v>798</v>
      </c>
      <c r="AB4" s="3385" t="s">
        <v>799</v>
      </c>
      <c r="AC4" s="3384" t="s">
        <v>800</v>
      </c>
    </row>
    <row r="5" spans="1:29" ht="14.4" thickBot="1">
      <c r="A5" s="513"/>
      <c r="B5" s="514"/>
      <c r="C5" s="3403" t="s">
        <v>2918</v>
      </c>
      <c r="D5" s="3404"/>
      <c r="E5" s="3478" t="s">
        <v>3104</v>
      </c>
      <c r="F5" s="3404"/>
      <c r="G5" s="3478" t="s">
        <v>3103</v>
      </c>
      <c r="H5" s="3404"/>
      <c r="I5" s="3478" t="s">
        <v>3100</v>
      </c>
      <c r="J5" s="3404"/>
      <c r="K5" s="512"/>
      <c r="L5" s="2115"/>
      <c r="M5" s="2116"/>
      <c r="N5" s="2116"/>
      <c r="O5" s="2116"/>
      <c r="P5" s="3391"/>
      <c r="Q5" s="3392"/>
      <c r="R5" s="3397"/>
      <c r="S5" s="3398"/>
      <c r="T5" s="3397"/>
      <c r="U5" s="3398"/>
      <c r="V5" s="3382"/>
      <c r="W5" s="3382"/>
      <c r="X5" s="1550"/>
      <c r="Y5" s="3397"/>
      <c r="Z5" s="3398"/>
      <c r="AA5" s="3385"/>
      <c r="AB5" s="3385"/>
      <c r="AC5" s="3385"/>
    </row>
    <row r="6" spans="1:29" ht="15" hidden="1" thickBot="1">
      <c r="A6" s="515"/>
      <c r="B6" s="516"/>
      <c r="C6" s="3422"/>
      <c r="D6" s="3423"/>
      <c r="E6" s="3405"/>
      <c r="F6" s="3406"/>
      <c r="G6" s="3422"/>
      <c r="H6" s="3423"/>
      <c r="I6" s="3422"/>
      <c r="J6" s="3423"/>
      <c r="K6" s="512" t="s">
        <v>528</v>
      </c>
      <c r="L6" s="2115"/>
      <c r="M6" s="2116"/>
      <c r="N6" s="2116"/>
      <c r="O6" s="2116"/>
      <c r="P6" s="3393"/>
      <c r="Q6" s="3394"/>
      <c r="R6" s="3397"/>
      <c r="S6" s="3398"/>
      <c r="T6" s="3399"/>
      <c r="U6" s="3400"/>
      <c r="V6" s="3382"/>
      <c r="W6" s="3382"/>
      <c r="X6" s="1550"/>
      <c r="Y6" s="3399"/>
      <c r="Z6" s="3400"/>
      <c r="AA6" s="3386"/>
      <c r="AB6" s="3386"/>
      <c r="AC6" s="3386"/>
    </row>
    <row r="7" spans="1:29" s="1214" customFormat="1" ht="15" thickBot="1">
      <c r="A7" s="2864"/>
      <c r="B7" s="2871" t="s">
        <v>529</v>
      </c>
      <c r="C7" s="517">
        <f>'数据-取费表'!B2</f>
        <v>43832</v>
      </c>
      <c r="D7" s="518">
        <v>100</v>
      </c>
      <c r="E7" s="519">
        <f>C7</f>
        <v>43832</v>
      </c>
      <c r="F7" s="520">
        <f>SUMIF(48:48,YEAR(E7)&amp;"-"&amp;MONTH(E7),49:49)</f>
        <v>100</v>
      </c>
      <c r="G7" s="521">
        <f>C7</f>
        <v>43832</v>
      </c>
      <c r="H7" s="518">
        <f>SUMIF(48:48,YEAR(G7)&amp;"-"&amp;MONTH(G7),49:49)</f>
        <v>100</v>
      </c>
      <c r="I7" s="521">
        <f>C7</f>
        <v>43832</v>
      </c>
      <c r="J7" s="518">
        <f>SUMIF(48:48,YEAR(I7)&amp;"-"&amp;MONTH(I7),49:49)</f>
        <v>100</v>
      </c>
      <c r="K7" s="522"/>
      <c r="L7" s="2117"/>
      <c r="M7" s="2118"/>
      <c r="N7" s="2118"/>
      <c r="O7" s="2118"/>
      <c r="P7" s="3415" t="s">
        <v>530</v>
      </c>
      <c r="Q7" s="3417"/>
      <c r="R7" s="1551" t="s">
        <v>8</v>
      </c>
      <c r="S7" s="1552">
        <f t="shared" ref="S7:S14" si="0">F7</f>
        <v>100</v>
      </c>
      <c r="T7" s="1551" t="s">
        <v>8</v>
      </c>
      <c r="U7" s="1552">
        <f t="shared" ref="U7:U14" si="1">H7</f>
        <v>100</v>
      </c>
      <c r="V7" s="1551" t="s">
        <v>8</v>
      </c>
      <c r="W7" s="1552">
        <f t="shared" ref="W7:W14" si="2">J7</f>
        <v>100</v>
      </c>
      <c r="X7" s="1553"/>
      <c r="Y7" s="3415" t="s">
        <v>530</v>
      </c>
      <c r="Z7" s="3416"/>
      <c r="AA7" s="1554">
        <f>D7/F7</f>
        <v>1</v>
      </c>
      <c r="AB7" s="1554">
        <f>D7/H7</f>
        <v>1</v>
      </c>
      <c r="AC7" s="1554">
        <f>D7/J7</f>
        <v>1</v>
      </c>
    </row>
    <row r="8" spans="1:29" s="1214" customFormat="1" ht="15" thickBot="1">
      <c r="A8" s="2865"/>
      <c r="B8" s="2872" t="s">
        <v>531</v>
      </c>
      <c r="C8" s="523" t="s">
        <v>576</v>
      </c>
      <c r="D8" s="518">
        <v>100</v>
      </c>
      <c r="E8" s="523" t="s">
        <v>3005</v>
      </c>
      <c r="F8" s="520">
        <f>SUMIF(51:51,E8,52:52)-SUMIF(51:51,C8,52:52)+100</f>
        <v>100</v>
      </c>
      <c r="G8" s="523" t="s">
        <v>3005</v>
      </c>
      <c r="H8" s="518">
        <f>SUMIF(51:51,G8,52:52)-SUMIF(51:51,C8,52:52)+100</f>
        <v>100</v>
      </c>
      <c r="I8" s="523" t="s">
        <v>3005</v>
      </c>
      <c r="J8" s="518">
        <f>SUMIF(51:51,I8,52:52)-SUMIF(51:51,C8,52:52)+100</f>
        <v>100</v>
      </c>
      <c r="K8" s="522"/>
      <c r="L8" s="2117"/>
      <c r="M8" s="2118"/>
      <c r="N8" s="2118"/>
      <c r="O8" s="2118"/>
      <c r="P8" s="3415" t="s">
        <v>533</v>
      </c>
      <c r="Q8" s="3416"/>
      <c r="R8" s="1551" t="s">
        <v>8</v>
      </c>
      <c r="S8" s="1552">
        <f t="shared" si="0"/>
        <v>100</v>
      </c>
      <c r="T8" s="1551" t="s">
        <v>8</v>
      </c>
      <c r="U8" s="1552">
        <f t="shared" si="1"/>
        <v>100</v>
      </c>
      <c r="V8" s="1551" t="s">
        <v>8</v>
      </c>
      <c r="W8" s="1552">
        <f t="shared" si="2"/>
        <v>100</v>
      </c>
      <c r="X8" s="1553"/>
      <c r="Y8" s="3415" t="s">
        <v>533</v>
      </c>
      <c r="Z8" s="3416"/>
      <c r="AA8" s="1554">
        <f t="shared" ref="AA8:AA36" si="3">D8/F8</f>
        <v>1</v>
      </c>
      <c r="AB8" s="1554">
        <f t="shared" ref="AB8:AB36" si="4">D8/H8</f>
        <v>1</v>
      </c>
      <c r="AC8" s="1554">
        <f t="shared" ref="AC8:AC36" si="5">D8/J8</f>
        <v>1</v>
      </c>
    </row>
    <row r="9" spans="1:29" s="1214" customFormat="1" ht="14.4">
      <c r="A9" s="2866"/>
      <c r="B9" s="2873" t="s">
        <v>2753</v>
      </c>
      <c r="C9" s="3192" t="s">
        <v>3095</v>
      </c>
      <c r="D9" s="252">
        <v>100</v>
      </c>
      <c r="E9" s="858" t="s">
        <v>2989</v>
      </c>
      <c r="F9" s="252">
        <f>SUMIF(53:53,E9,54:54)-SUMIF(53:53,C9,54:54)+100</f>
        <v>100</v>
      </c>
      <c r="G9" s="856" t="s">
        <v>2989</v>
      </c>
      <c r="H9" s="252">
        <f>SUMIF(53:53,G9,54:54)-SUMIF(53:53,C9,54:54)+100</f>
        <v>100</v>
      </c>
      <c r="I9" s="856" t="s">
        <v>2989</v>
      </c>
      <c r="J9" s="252">
        <f>SUMIF(53:53,I9,54:54)-SUMIF(53:53,C9,54:54)+100</f>
        <v>100</v>
      </c>
      <c r="K9" s="522"/>
      <c r="L9" s="2117"/>
      <c r="M9" s="2118"/>
      <c r="N9" s="2118"/>
      <c r="O9" s="2119"/>
      <c r="P9" s="3381" t="s">
        <v>535</v>
      </c>
      <c r="Q9" s="1145" t="str">
        <f t="shared" ref="Q9:Q14" si="6">B9</f>
        <v>用途</v>
      </c>
      <c r="R9" s="1551" t="s">
        <v>8</v>
      </c>
      <c r="S9" s="1552">
        <f t="shared" si="0"/>
        <v>100</v>
      </c>
      <c r="T9" s="1551" t="s">
        <v>8</v>
      </c>
      <c r="U9" s="1552">
        <f t="shared" si="1"/>
        <v>100</v>
      </c>
      <c r="V9" s="1551" t="s">
        <v>8</v>
      </c>
      <c r="W9" s="1552">
        <f t="shared" si="2"/>
        <v>100</v>
      </c>
      <c r="X9" s="1553"/>
      <c r="Y9" s="3327" t="s">
        <v>536</v>
      </c>
      <c r="Z9" s="1144" t="str">
        <f t="shared" ref="Z9:Z14" si="7">Q9</f>
        <v>用途</v>
      </c>
      <c r="AA9" s="1554">
        <f t="shared" si="3"/>
        <v>1</v>
      </c>
      <c r="AB9" s="1554">
        <f t="shared" si="4"/>
        <v>1</v>
      </c>
      <c r="AC9" s="1554">
        <f t="shared" si="5"/>
        <v>1</v>
      </c>
    </row>
    <row r="10" spans="1:29" s="1332" customFormat="1" ht="29.4" thickBot="1">
      <c r="A10" s="2867"/>
      <c r="B10" s="2872" t="s">
        <v>2754</v>
      </c>
      <c r="C10" s="859" t="s">
        <v>3099</v>
      </c>
      <c r="D10" s="253">
        <v>100</v>
      </c>
      <c r="E10" s="859" t="s">
        <v>3094</v>
      </c>
      <c r="F10" s="253">
        <f>SUMIF(55:55,E10,56:56)-SUMIF(55:55,C10,56:56)+100</f>
        <v>101</v>
      </c>
      <c r="G10" s="859" t="s">
        <v>3099</v>
      </c>
      <c r="H10" s="253">
        <f>SUMIF(55:55,G10,56:56)-SUMIF(55:55,C10,56:56)+100</f>
        <v>100</v>
      </c>
      <c r="I10" s="859" t="s">
        <v>3094</v>
      </c>
      <c r="J10" s="253">
        <f>SUMIF(55:55,I10,56:56)-SUMIF(55:55,C10,56:56)+100</f>
        <v>101</v>
      </c>
      <c r="K10" s="582">
        <v>1</v>
      </c>
      <c r="L10" s="2120"/>
      <c r="M10" s="2160"/>
      <c r="N10" s="2160"/>
      <c r="O10" s="2121"/>
      <c r="P10" s="3381"/>
      <c r="Q10" s="1145" t="str">
        <f t="shared" si="6"/>
        <v>土地使用年限（年）</v>
      </c>
      <c r="R10" s="1551" t="s">
        <v>8</v>
      </c>
      <c r="S10" s="1552">
        <f t="shared" si="0"/>
        <v>101</v>
      </c>
      <c r="T10" s="1551" t="s">
        <v>8</v>
      </c>
      <c r="U10" s="1552">
        <f t="shared" si="1"/>
        <v>100</v>
      </c>
      <c r="V10" s="1551" t="s">
        <v>8</v>
      </c>
      <c r="W10" s="1552">
        <f t="shared" si="2"/>
        <v>101</v>
      </c>
      <c r="X10" s="1553"/>
      <c r="Y10" s="3327"/>
      <c r="Z10" s="1144" t="str">
        <f t="shared" si="7"/>
        <v>土地使用年限（年）</v>
      </c>
      <c r="AA10" s="1554">
        <f t="shared" si="3"/>
        <v>0.99009900990099009</v>
      </c>
      <c r="AB10" s="1554">
        <f t="shared" si="4"/>
        <v>1</v>
      </c>
      <c r="AC10" s="1554">
        <f t="shared" si="5"/>
        <v>0.99009900990099009</v>
      </c>
    </row>
    <row r="11" spans="1:29" ht="15" hidden="1">
      <c r="A11" s="2869"/>
      <c r="B11" s="2875"/>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81"/>
      <c r="Q11" s="1145">
        <f t="shared" si="6"/>
        <v>0</v>
      </c>
      <c r="R11" s="1551" t="s">
        <v>8</v>
      </c>
      <c r="S11" s="1552">
        <f t="shared" si="0"/>
        <v>100</v>
      </c>
      <c r="T11" s="1551" t="s">
        <v>8</v>
      </c>
      <c r="U11" s="1552">
        <f t="shared" si="1"/>
        <v>100</v>
      </c>
      <c r="V11" s="1551" t="s">
        <v>8</v>
      </c>
      <c r="W11" s="1552">
        <f t="shared" si="2"/>
        <v>100</v>
      </c>
      <c r="X11" s="1553"/>
      <c r="Y11" s="3327"/>
      <c r="Z11" s="1144">
        <f t="shared" si="7"/>
        <v>0</v>
      </c>
      <c r="AA11" s="1554">
        <f t="shared" si="3"/>
        <v>1</v>
      </c>
      <c r="AB11" s="1554">
        <f t="shared" si="4"/>
        <v>1</v>
      </c>
      <c r="AC11" s="1554">
        <f t="shared" si="5"/>
        <v>1</v>
      </c>
    </row>
    <row r="12" spans="1:29" s="1214" customFormat="1" ht="15" hidden="1">
      <c r="A12" s="2869"/>
      <c r="B12" s="2875"/>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81"/>
      <c r="Q12" s="1145">
        <f t="shared" si="6"/>
        <v>0</v>
      </c>
      <c r="R12" s="1551" t="s">
        <v>8</v>
      </c>
      <c r="S12" s="1552">
        <f t="shared" si="0"/>
        <v>100</v>
      </c>
      <c r="T12" s="1551" t="s">
        <v>8</v>
      </c>
      <c r="U12" s="1552">
        <f t="shared" si="1"/>
        <v>100</v>
      </c>
      <c r="V12" s="1551" t="s">
        <v>8</v>
      </c>
      <c r="W12" s="1552">
        <f t="shared" si="2"/>
        <v>100</v>
      </c>
      <c r="X12" s="1553"/>
      <c r="Y12" s="3327"/>
      <c r="Z12" s="1144">
        <f t="shared" si="7"/>
        <v>0</v>
      </c>
      <c r="AA12" s="1554">
        <f>D12/F12</f>
        <v>1</v>
      </c>
      <c r="AB12" s="1554">
        <f>D12/H12</f>
        <v>1</v>
      </c>
      <c r="AC12" s="1554">
        <f>D12/J12</f>
        <v>1</v>
      </c>
    </row>
    <row r="13" spans="1:29" ht="15.6" hidden="1" thickBot="1">
      <c r="A13" s="2870"/>
      <c r="B13" s="2876"/>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81"/>
      <c r="Q13" s="1145">
        <f t="shared" si="6"/>
        <v>0</v>
      </c>
      <c r="R13" s="1551" t="s">
        <v>8</v>
      </c>
      <c r="S13" s="1552">
        <f t="shared" si="0"/>
        <v>100</v>
      </c>
      <c r="T13" s="1551" t="s">
        <v>8</v>
      </c>
      <c r="U13" s="1552">
        <f t="shared" si="1"/>
        <v>100</v>
      </c>
      <c r="V13" s="1551" t="s">
        <v>8</v>
      </c>
      <c r="W13" s="1552">
        <f t="shared" si="2"/>
        <v>100</v>
      </c>
      <c r="X13" s="1553"/>
      <c r="Y13" s="3327"/>
      <c r="Z13" s="1144">
        <f t="shared" si="7"/>
        <v>0</v>
      </c>
      <c r="AA13" s="1554">
        <f t="shared" si="3"/>
        <v>1</v>
      </c>
      <c r="AB13" s="1554">
        <f t="shared" si="4"/>
        <v>1</v>
      </c>
      <c r="AC13" s="1554">
        <f t="shared" si="5"/>
        <v>1</v>
      </c>
    </row>
    <row r="14" spans="1:29" ht="15">
      <c r="A14" s="2862" t="s">
        <v>2751</v>
      </c>
      <c r="B14" s="545" t="s">
        <v>543</v>
      </c>
      <c r="C14" s="919">
        <f>IF(B1="工业",估价对象房地状况!G4,估价对象房地状况!C6)</f>
        <v>0</v>
      </c>
      <c r="D14" s="547">
        <v>100</v>
      </c>
      <c r="E14" s="548"/>
      <c r="F14" s="549">
        <f>SUMIF(63:63,E15,64:64)-SUMIF(63:63,C15,64:64)+100</f>
        <v>100</v>
      </c>
      <c r="G14" s="548"/>
      <c r="H14" s="547">
        <f>SUMIF(63:63,G15,64:64)-SUMIF(63:63,C15,64:64)+100</f>
        <v>100</v>
      </c>
      <c r="I14" s="548"/>
      <c r="J14" s="547">
        <f>SUMIF(63:63,I15,64:64)-SUMIF(63:63,C15,64:64)+100</f>
        <v>100</v>
      </c>
      <c r="K14" s="896">
        <v>3</v>
      </c>
      <c r="L14" s="2124"/>
      <c r="M14" s="2116"/>
      <c r="N14" s="2116"/>
      <c r="O14" s="2123"/>
      <c r="P14" s="3418" t="s">
        <v>540</v>
      </c>
      <c r="Q14" s="1555" t="str">
        <f t="shared" si="6"/>
        <v>交通便捷度</v>
      </c>
      <c r="R14" s="1556" t="s">
        <v>8</v>
      </c>
      <c r="S14" s="1557">
        <f t="shared" si="0"/>
        <v>100</v>
      </c>
      <c r="T14" s="1556" t="s">
        <v>8</v>
      </c>
      <c r="U14" s="1557">
        <f t="shared" si="1"/>
        <v>100</v>
      </c>
      <c r="V14" s="1556" t="s">
        <v>8</v>
      </c>
      <c r="W14" s="1557">
        <f t="shared" si="2"/>
        <v>100</v>
      </c>
      <c r="X14" s="1550"/>
      <c r="Y14" s="3418" t="s">
        <v>540</v>
      </c>
      <c r="Z14" s="1558" t="str">
        <f t="shared" si="7"/>
        <v>交通便捷度</v>
      </c>
      <c r="AA14" s="1559">
        <f t="shared" si="3"/>
        <v>1</v>
      </c>
      <c r="AB14" s="1559">
        <f t="shared" si="4"/>
        <v>1</v>
      </c>
      <c r="AC14" s="1559">
        <f t="shared" si="5"/>
        <v>1</v>
      </c>
    </row>
    <row r="15" spans="1:29" ht="15">
      <c r="A15" s="513"/>
      <c r="B15" s="922"/>
      <c r="C15" s="574" t="s">
        <v>3008</v>
      </c>
      <c r="D15" s="553"/>
      <c r="E15" s="574" t="s">
        <v>3008</v>
      </c>
      <c r="F15" s="555"/>
      <c r="G15" s="574" t="s">
        <v>3008</v>
      </c>
      <c r="H15" s="557"/>
      <c r="I15" s="574" t="s">
        <v>3008</v>
      </c>
      <c r="J15" s="553"/>
      <c r="K15" s="897"/>
      <c r="L15" s="2124"/>
      <c r="M15" s="2116"/>
      <c r="N15" s="2116"/>
      <c r="O15" s="2123"/>
      <c r="P15" s="3419"/>
      <c r="Q15" s="1555"/>
      <c r="R15" s="1556"/>
      <c r="S15" s="1557"/>
      <c r="T15" s="1556"/>
      <c r="U15" s="1557"/>
      <c r="V15" s="1556"/>
      <c r="W15" s="1557"/>
      <c r="X15" s="1550"/>
      <c r="Y15" s="3419"/>
      <c r="Z15" s="1558"/>
      <c r="AA15" s="1559">
        <v>1</v>
      </c>
      <c r="AB15" s="1559">
        <v>1</v>
      </c>
      <c r="AC15" s="1559">
        <v>1</v>
      </c>
    </row>
    <row r="16" spans="1:29" ht="15">
      <c r="A16" s="513"/>
      <c r="B16" s="2564" t="s">
        <v>2543</v>
      </c>
      <c r="C16" s="870">
        <f>IF(B1="工业",估价对象房地状况!G5,估价对象房地状况!C7)</f>
        <v>0</v>
      </c>
      <c r="D16" s="563">
        <v>100</v>
      </c>
      <c r="E16" s="570"/>
      <c r="F16" s="569">
        <f>SUMIF(65:65,E17,66:66)-SUMIF(65:65,C17,66:66)+100</f>
        <v>97</v>
      </c>
      <c r="G16" s="568"/>
      <c r="H16" s="563">
        <f>SUMIF(65:65,G17,66:66)-SUMIF(65:65,C17,66:66)+100</f>
        <v>100</v>
      </c>
      <c r="I16" s="570"/>
      <c r="J16" s="563">
        <f>SUMIF(65:65,I17,66:66)-SUMIF(65:65,C17,66:66)+100</f>
        <v>100</v>
      </c>
      <c r="K16" s="896">
        <v>3</v>
      </c>
      <c r="L16" s="2124"/>
      <c r="M16" s="2116"/>
      <c r="N16" s="2116"/>
      <c r="O16" s="2123"/>
      <c r="P16" s="3419"/>
      <c r="Q16" s="1555" t="str">
        <f>B16</f>
        <v>公共配套设施</v>
      </c>
      <c r="R16" s="1556" t="s">
        <v>8</v>
      </c>
      <c r="S16" s="1557">
        <f>F16</f>
        <v>97</v>
      </c>
      <c r="T16" s="1556" t="s">
        <v>8</v>
      </c>
      <c r="U16" s="1557">
        <f>H16</f>
        <v>100</v>
      </c>
      <c r="V16" s="1556" t="s">
        <v>8</v>
      </c>
      <c r="W16" s="1557">
        <f>J16</f>
        <v>100</v>
      </c>
      <c r="X16" s="1550"/>
      <c r="Y16" s="3419"/>
      <c r="Z16" s="1558" t="str">
        <f>Q16</f>
        <v>公共配套设施</v>
      </c>
      <c r="AA16" s="1559">
        <f t="shared" si="3"/>
        <v>1.0309278350515463</v>
      </c>
      <c r="AB16" s="1559">
        <f t="shared" si="4"/>
        <v>1</v>
      </c>
      <c r="AC16" s="1559">
        <f t="shared" si="5"/>
        <v>1</v>
      </c>
    </row>
    <row r="17" spans="1:29" ht="15">
      <c r="A17" s="513"/>
      <c r="B17" s="564"/>
      <c r="C17" s="871" t="s">
        <v>3009</v>
      </c>
      <c r="D17" s="553"/>
      <c r="E17" s="574" t="s">
        <v>3008</v>
      </c>
      <c r="F17" s="555"/>
      <c r="G17" s="574" t="s">
        <v>3009</v>
      </c>
      <c r="H17" s="553"/>
      <c r="I17" s="574" t="s">
        <v>3009</v>
      </c>
      <c r="J17" s="553"/>
      <c r="K17" s="897"/>
      <c r="L17" s="2124"/>
      <c r="M17" s="2116"/>
      <c r="N17" s="2116"/>
      <c r="O17" s="2123"/>
      <c r="P17" s="3419"/>
      <c r="Q17" s="1555"/>
      <c r="R17" s="1556"/>
      <c r="S17" s="1557"/>
      <c r="T17" s="1556"/>
      <c r="U17" s="1557"/>
      <c r="V17" s="1556"/>
      <c r="W17" s="1557"/>
      <c r="X17" s="1550"/>
      <c r="Y17" s="3419"/>
      <c r="Z17" s="1558"/>
      <c r="AA17" s="1559">
        <v>1</v>
      </c>
      <c r="AB17" s="1559">
        <v>1</v>
      </c>
      <c r="AC17" s="1559">
        <v>1</v>
      </c>
    </row>
    <row r="18" spans="1:29" ht="15">
      <c r="A18" s="513"/>
      <c r="B18" s="2552" t="s">
        <v>2555</v>
      </c>
      <c r="C18" s="870">
        <f>IF(B1="工业",估价对象房地状况!G6,估价对象房地状况!C8)</f>
        <v>0</v>
      </c>
      <c r="D18" s="557">
        <v>100</v>
      </c>
      <c r="E18" s="570"/>
      <c r="F18" s="569">
        <f>SUMIF(67:67,E19,68:68)-SUMIF(67:67,C19,68:68)+100</f>
        <v>100</v>
      </c>
      <c r="G18" s="560"/>
      <c r="H18" s="563">
        <f>SUMIF(67:67,G19,68:68)-SUMIF(67:67,C19,68:68)+100</f>
        <v>100</v>
      </c>
      <c r="I18" s="570"/>
      <c r="J18" s="563">
        <f>SUMIF(67:67,I19,68:68)-SUMIF(67:67,C19,68:68)+100</f>
        <v>100</v>
      </c>
      <c r="K18" s="896">
        <v>2</v>
      </c>
      <c r="L18" s="2124"/>
      <c r="M18" s="2116"/>
      <c r="N18" s="2116"/>
      <c r="O18" s="2123"/>
      <c r="P18" s="3419"/>
      <c r="Q18" s="2540" t="str">
        <f>B18</f>
        <v>基础设施水平</v>
      </c>
      <c r="R18" s="1556" t="s">
        <v>8</v>
      </c>
      <c r="S18" s="1557">
        <f>F18</f>
        <v>100</v>
      </c>
      <c r="T18" s="1556" t="s">
        <v>8</v>
      </c>
      <c r="U18" s="1557">
        <f>H18</f>
        <v>100</v>
      </c>
      <c r="V18" s="1556" t="s">
        <v>8</v>
      </c>
      <c r="W18" s="1557">
        <f>J18</f>
        <v>100</v>
      </c>
      <c r="X18" s="2542"/>
      <c r="Y18" s="3419"/>
      <c r="Z18" s="2541" t="str">
        <f>Q18</f>
        <v>基础设施水平</v>
      </c>
      <c r="AA18" s="1559">
        <f t="shared" ref="AA18" si="8">D18/F18</f>
        <v>1</v>
      </c>
      <c r="AB18" s="1559">
        <f t="shared" ref="AB18" si="9">D18/H18</f>
        <v>1</v>
      </c>
      <c r="AC18" s="1559">
        <f t="shared" ref="AC18" si="10">D18/J18</f>
        <v>1</v>
      </c>
    </row>
    <row r="19" spans="1:29" ht="15">
      <c r="A19" s="513"/>
      <c r="B19" s="576"/>
      <c r="C19" s="871" t="s">
        <v>3010</v>
      </c>
      <c r="D19" s="557"/>
      <c r="E19" s="574" t="s">
        <v>3010</v>
      </c>
      <c r="F19" s="555"/>
      <c r="G19" s="574" t="s">
        <v>3010</v>
      </c>
      <c r="H19" s="553"/>
      <c r="I19" s="574" t="s">
        <v>3010</v>
      </c>
      <c r="J19" s="553"/>
      <c r="K19" s="2563"/>
      <c r="L19" s="2124"/>
      <c r="M19" s="2116"/>
      <c r="N19" s="2116"/>
      <c r="O19" s="2123"/>
      <c r="P19" s="3419"/>
      <c r="Q19" s="2540"/>
      <c r="R19" s="1556"/>
      <c r="S19" s="1557"/>
      <c r="T19" s="1556"/>
      <c r="U19" s="1557"/>
      <c r="V19" s="1556"/>
      <c r="W19" s="1557"/>
      <c r="X19" s="2542"/>
      <c r="Y19" s="3419"/>
      <c r="Z19" s="2541"/>
      <c r="AA19" s="1559">
        <v>1</v>
      </c>
      <c r="AB19" s="1559">
        <v>1</v>
      </c>
      <c r="AC19" s="1559">
        <v>1</v>
      </c>
    </row>
    <row r="20" spans="1:29" ht="15">
      <c r="A20" s="513"/>
      <c r="B20" s="558" t="s">
        <v>803</v>
      </c>
      <c r="C20" s="870">
        <f>IF(B1="工业",估价对象房地状况!G7,估价对象房地状况!C9)</f>
        <v>0</v>
      </c>
      <c r="D20" s="563">
        <v>100</v>
      </c>
      <c r="E20" s="560"/>
      <c r="F20" s="561">
        <f>SUMIF(69:69,E21,70:70)-SUMIF(69:69,C21,70:70)+100</f>
        <v>100</v>
      </c>
      <c r="G20" s="560"/>
      <c r="H20" s="557">
        <f>SUMIF(69:69,G21,70:70)-SUMIF(69:69,C21,70:70)+100</f>
        <v>101</v>
      </c>
      <c r="I20" s="560"/>
      <c r="J20" s="557">
        <f>SUMIF(69:69,I21,70:70)-SUMIF(69:69,C21,70:70)+100</f>
        <v>100</v>
      </c>
      <c r="K20" s="896">
        <v>1</v>
      </c>
      <c r="L20" s="2124"/>
      <c r="M20" s="2116"/>
      <c r="N20" s="2116"/>
      <c r="O20" s="2123"/>
      <c r="P20" s="3419"/>
      <c r="Q20" s="1555" t="str">
        <f>B20</f>
        <v>自然及人文环境</v>
      </c>
      <c r="R20" s="1556" t="s">
        <v>8</v>
      </c>
      <c r="S20" s="1557">
        <f>F20</f>
        <v>100</v>
      </c>
      <c r="T20" s="1556" t="s">
        <v>8</v>
      </c>
      <c r="U20" s="1557">
        <f>H20</f>
        <v>101</v>
      </c>
      <c r="V20" s="1556" t="s">
        <v>8</v>
      </c>
      <c r="W20" s="1557">
        <f>J20</f>
        <v>100</v>
      </c>
      <c r="X20" s="1550"/>
      <c r="Y20" s="3419"/>
      <c r="Z20" s="1558" t="str">
        <f>Q20</f>
        <v>自然及人文环境</v>
      </c>
      <c r="AA20" s="1559">
        <f t="shared" si="3"/>
        <v>1</v>
      </c>
      <c r="AB20" s="1559">
        <f t="shared" si="4"/>
        <v>0.99009900990099009</v>
      </c>
      <c r="AC20" s="1559">
        <f t="shared" si="5"/>
        <v>1</v>
      </c>
    </row>
    <row r="21" spans="1:29" ht="15.6" thickBot="1">
      <c r="A21" s="513"/>
      <c r="B21" s="564"/>
      <c r="C21" s="574" t="s">
        <v>3008</v>
      </c>
      <c r="D21" s="553"/>
      <c r="E21" s="574" t="s">
        <v>3008</v>
      </c>
      <c r="F21" s="555"/>
      <c r="G21" s="574" t="s">
        <v>3009</v>
      </c>
      <c r="H21" s="553"/>
      <c r="I21" s="574" t="s">
        <v>3008</v>
      </c>
      <c r="J21" s="553"/>
      <c r="K21" s="897"/>
      <c r="L21" s="2124"/>
      <c r="M21" s="2116"/>
      <c r="N21" s="2116"/>
      <c r="O21" s="2123"/>
      <c r="P21" s="3419"/>
      <c r="Q21" s="1555"/>
      <c r="R21" s="1556"/>
      <c r="S21" s="1557"/>
      <c r="T21" s="1556"/>
      <c r="U21" s="1557"/>
      <c r="V21" s="1556"/>
      <c r="W21" s="1557"/>
      <c r="X21" s="1550"/>
      <c r="Y21" s="3419"/>
      <c r="Z21" s="1558"/>
      <c r="AA21" s="1559">
        <v>1</v>
      </c>
      <c r="AB21" s="1559">
        <v>1</v>
      </c>
      <c r="AC21" s="1559">
        <v>1</v>
      </c>
    </row>
    <row r="22" spans="1:29" ht="15" hidden="1">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19"/>
      <c r="Q22" s="1555" t="str">
        <f>B22</f>
        <v>楼层</v>
      </c>
      <c r="R22" s="1556" t="s">
        <v>8</v>
      </c>
      <c r="S22" s="1557">
        <f>F22</f>
        <v>100</v>
      </c>
      <c r="T22" s="1556" t="s">
        <v>8</v>
      </c>
      <c r="U22" s="1557">
        <f>H22</f>
        <v>100</v>
      </c>
      <c r="V22" s="1556" t="s">
        <v>8</v>
      </c>
      <c r="W22" s="1557">
        <f>J22</f>
        <v>100</v>
      </c>
      <c r="X22" s="1550"/>
      <c r="Y22" s="3419"/>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19"/>
      <c r="Q23" s="1555">
        <f>B23</f>
        <v>111</v>
      </c>
      <c r="R23" s="1556" t="s">
        <v>8</v>
      </c>
      <c r="S23" s="1557">
        <f>F23</f>
        <v>100</v>
      </c>
      <c r="T23" s="1556" t="s">
        <v>8</v>
      </c>
      <c r="U23" s="1557">
        <f>H23</f>
        <v>100</v>
      </c>
      <c r="V23" s="1556" t="s">
        <v>8</v>
      </c>
      <c r="W23" s="1557">
        <f>J23</f>
        <v>100</v>
      </c>
      <c r="X23" s="1550"/>
      <c r="Y23" s="3419"/>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19"/>
      <c r="Q24" s="1555">
        <f t="shared" ref="Q24:Q36" si="11">B24</f>
        <v>111</v>
      </c>
      <c r="R24" s="1556" t="s">
        <v>8</v>
      </c>
      <c r="S24" s="1557">
        <f>F24</f>
        <v>100</v>
      </c>
      <c r="T24" s="1556" t="s">
        <v>8</v>
      </c>
      <c r="U24" s="1557">
        <f>H24</f>
        <v>100</v>
      </c>
      <c r="V24" s="1556" t="s">
        <v>8</v>
      </c>
      <c r="W24" s="1557">
        <f>J24</f>
        <v>100</v>
      </c>
      <c r="X24" s="1550"/>
      <c r="Y24" s="3419"/>
      <c r="Z24" s="1558">
        <f>Q24</f>
        <v>111</v>
      </c>
      <c r="AA24" s="1559">
        <f t="shared" si="3"/>
        <v>1</v>
      </c>
      <c r="AB24" s="1559">
        <f t="shared" si="4"/>
        <v>1</v>
      </c>
      <c r="AC24" s="1559">
        <f t="shared" si="5"/>
        <v>1</v>
      </c>
    </row>
    <row r="25" spans="1:29" s="1214" customFormat="1" ht="15.6"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19"/>
      <c r="Q25" s="1145">
        <f t="shared" si="11"/>
        <v>111</v>
      </c>
      <c r="R25" s="1551" t="s">
        <v>8</v>
      </c>
      <c r="S25" s="1552">
        <f>F25</f>
        <v>100</v>
      </c>
      <c r="T25" s="1551" t="s">
        <v>8</v>
      </c>
      <c r="U25" s="1552">
        <f>H25</f>
        <v>100</v>
      </c>
      <c r="V25" s="1551" t="s">
        <v>8</v>
      </c>
      <c r="W25" s="1552">
        <f>J25</f>
        <v>100</v>
      </c>
      <c r="X25" s="1553"/>
      <c r="Y25" s="3419"/>
      <c r="Z25" s="1144">
        <f>Q25</f>
        <v>111</v>
      </c>
      <c r="AA25" s="1559">
        <f>D25/F25</f>
        <v>1</v>
      </c>
      <c r="AB25" s="1559">
        <f>D25/H25</f>
        <v>1</v>
      </c>
      <c r="AC25" s="1559">
        <f>D25/J25</f>
        <v>1</v>
      </c>
    </row>
    <row r="26" spans="1:29" ht="15">
      <c r="A26" s="2859" t="s">
        <v>2752</v>
      </c>
      <c r="B26" s="170" t="s">
        <v>805</v>
      </c>
      <c r="C26" s="926" t="str">
        <f>B1</f>
        <v>住宅</v>
      </c>
      <c r="D26" s="553">
        <v>100</v>
      </c>
      <c r="E26" s="574" t="s">
        <v>922</v>
      </c>
      <c r="F26" s="555">
        <f>SUMIF(79:79,E26,80:80)-SUMIF(79:79,C26,80:80)+100</f>
        <v>100</v>
      </c>
      <c r="G26" s="574" t="s">
        <v>922</v>
      </c>
      <c r="H26" s="553">
        <f>SUMIF(79:79,G26,80:80)-SUMIF(79:79,C26,80:80)+100</f>
        <v>100</v>
      </c>
      <c r="I26" s="574" t="s">
        <v>922</v>
      </c>
      <c r="J26" s="553">
        <f>SUMIF(79:79,I26,80:80)-SUMIF(79:79,C26,80:80)+100</f>
        <v>100</v>
      </c>
      <c r="K26" s="582">
        <v>3</v>
      </c>
      <c r="L26" s="2124"/>
      <c r="M26" s="2116"/>
      <c r="N26" s="2116"/>
      <c r="O26" s="2123"/>
      <c r="P26" s="3420"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1" t="s">
        <v>550</v>
      </c>
      <c r="Z26" s="1558" t="str">
        <f t="shared" ref="Z26:Z36" si="15">Q26</f>
        <v>配套类型</v>
      </c>
      <c r="AA26" s="1559">
        <f t="shared" si="3"/>
        <v>1</v>
      </c>
      <c r="AB26" s="1559">
        <f t="shared" si="4"/>
        <v>1</v>
      </c>
      <c r="AC26" s="1559">
        <f t="shared" si="5"/>
        <v>1</v>
      </c>
    </row>
    <row r="27" spans="1:29" s="1333" customFormat="1" ht="15" hidden="1">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21"/>
      <c r="Q27" s="1587" t="str">
        <f t="shared" si="11"/>
        <v>项目停车位配比</v>
      </c>
      <c r="R27" s="1560" t="s">
        <v>8</v>
      </c>
      <c r="S27" s="1561">
        <f t="shared" si="12"/>
        <v>100</v>
      </c>
      <c r="T27" s="1560" t="s">
        <v>8</v>
      </c>
      <c r="U27" s="1561">
        <f t="shared" si="13"/>
        <v>100</v>
      </c>
      <c r="V27" s="1560" t="s">
        <v>8</v>
      </c>
      <c r="W27" s="1561">
        <f t="shared" si="14"/>
        <v>100</v>
      </c>
      <c r="X27" s="1562"/>
      <c r="Y27" s="3421"/>
      <c r="Z27" s="1563" t="str">
        <f t="shared" si="15"/>
        <v>项目停车位配比</v>
      </c>
      <c r="AA27" s="1559">
        <f t="shared" si="3"/>
        <v>1</v>
      </c>
      <c r="AB27" s="1559">
        <f t="shared" si="4"/>
        <v>1</v>
      </c>
      <c r="AC27" s="1559">
        <f t="shared" si="5"/>
        <v>1</v>
      </c>
    </row>
    <row r="28" spans="1:29" ht="15">
      <c r="A28" s="929"/>
      <c r="B28" s="580" t="s">
        <v>807</v>
      </c>
      <c r="C28" s="3194" t="s">
        <v>3096</v>
      </c>
      <c r="D28" s="538">
        <v>100</v>
      </c>
      <c r="E28" s="3194" t="s">
        <v>3096</v>
      </c>
      <c r="F28" s="573">
        <f>SUMIF(83:83,E28,84:84)-SUMIF(83:83,C28,84:84)+100</f>
        <v>100</v>
      </c>
      <c r="G28" s="572" t="s">
        <v>3101</v>
      </c>
      <c r="H28" s="538">
        <f>SUMIF(83:83,G28,84:84)-SUMIF(83:83,C28,84:84)+100</f>
        <v>100</v>
      </c>
      <c r="I28" s="3194" t="s">
        <v>3096</v>
      </c>
      <c r="J28" s="538">
        <f>SUMIF(83:83,I28,84:84)-SUMIF(83:83,C28,84:84)+100</f>
        <v>100</v>
      </c>
      <c r="K28" s="582">
        <v>1</v>
      </c>
      <c r="L28" s="2124"/>
      <c r="M28" s="2116"/>
      <c r="N28" s="2116"/>
      <c r="O28" s="2123"/>
      <c r="P28" s="3421"/>
      <c r="Q28" s="1555" t="str">
        <f t="shared" si="11"/>
        <v>公共部分装修</v>
      </c>
      <c r="R28" s="1556" t="s">
        <v>8</v>
      </c>
      <c r="S28" s="1557">
        <f t="shared" si="12"/>
        <v>100</v>
      </c>
      <c r="T28" s="1556" t="s">
        <v>8</v>
      </c>
      <c r="U28" s="1557">
        <f t="shared" si="13"/>
        <v>100</v>
      </c>
      <c r="V28" s="1556" t="s">
        <v>8</v>
      </c>
      <c r="W28" s="1557">
        <f t="shared" si="14"/>
        <v>100</v>
      </c>
      <c r="X28" s="1550"/>
      <c r="Y28" s="3421"/>
      <c r="Z28" s="1558" t="str">
        <f t="shared" si="15"/>
        <v>公共部分装修</v>
      </c>
      <c r="AA28" s="1559">
        <f t="shared" si="3"/>
        <v>1</v>
      </c>
      <c r="AB28" s="1559">
        <f t="shared" si="4"/>
        <v>1</v>
      </c>
      <c r="AC28" s="1559">
        <f t="shared" si="5"/>
        <v>1</v>
      </c>
    </row>
    <row r="29" spans="1:29" ht="15">
      <c r="A29" s="929"/>
      <c r="B29" s="580" t="s">
        <v>808</v>
      </c>
      <c r="C29" s="881">
        <v>1</v>
      </c>
      <c r="D29" s="538">
        <v>100</v>
      </c>
      <c r="E29" s="881">
        <f>ROUND(1-(2019-2012)/60,2)</f>
        <v>0.88</v>
      </c>
      <c r="F29" s="573">
        <f>LOOKUP(E29,86:86,87:87)-LOOKUP(C29,86:86,87:87)+100</f>
        <v>99</v>
      </c>
      <c r="G29" s="881">
        <f>ROUND(1-(2019-2014)/60,2)</f>
        <v>0.92</v>
      </c>
      <c r="H29" s="573">
        <f>LOOKUP(G29,86:86,87:87)-LOOKUP(C29,86:86,87:87)+100</f>
        <v>100</v>
      </c>
      <c r="I29" s="881">
        <f>ROUND(1-(2019-2014)/60,2)</f>
        <v>0.92</v>
      </c>
      <c r="J29" s="538">
        <f>LOOKUP(I29,86:86,87:87)-LOOKUP(C29,86:86,87:87)+100</f>
        <v>100</v>
      </c>
      <c r="K29" s="582">
        <v>1</v>
      </c>
      <c r="L29" s="2124"/>
      <c r="M29" s="2116"/>
      <c r="N29" s="2116"/>
      <c r="O29" s="2123"/>
      <c r="P29" s="3421"/>
      <c r="Q29" s="1555" t="str">
        <f t="shared" si="11"/>
        <v>成新率</v>
      </c>
      <c r="R29" s="1556" t="s">
        <v>8</v>
      </c>
      <c r="S29" s="1557">
        <f t="shared" si="12"/>
        <v>99</v>
      </c>
      <c r="T29" s="1556" t="s">
        <v>8</v>
      </c>
      <c r="U29" s="1557">
        <f t="shared" si="13"/>
        <v>100</v>
      </c>
      <c r="V29" s="1556" t="s">
        <v>8</v>
      </c>
      <c r="W29" s="1557">
        <f t="shared" si="14"/>
        <v>100</v>
      </c>
      <c r="X29" s="1550"/>
      <c r="Y29" s="3421"/>
      <c r="Z29" s="1558" t="str">
        <f t="shared" si="15"/>
        <v>成新率</v>
      </c>
      <c r="AA29" s="1559">
        <f t="shared" si="3"/>
        <v>1.0101010101010102</v>
      </c>
      <c r="AB29" s="1559">
        <f t="shared" si="4"/>
        <v>1</v>
      </c>
      <c r="AC29" s="1559">
        <f t="shared" si="5"/>
        <v>1</v>
      </c>
    </row>
    <row r="30" spans="1:29" ht="15">
      <c r="A30" s="929"/>
      <c r="B30" s="580" t="s">
        <v>809</v>
      </c>
      <c r="C30" s="3195" t="s">
        <v>3097</v>
      </c>
      <c r="D30" s="538">
        <v>100</v>
      </c>
      <c r="E30" s="3195" t="s">
        <v>3097</v>
      </c>
      <c r="F30" s="573">
        <f>SUMIF(88:88,E30,89:89)-SUMIF(88:88,C30,89:89)+100</f>
        <v>100</v>
      </c>
      <c r="G30" s="930" t="s">
        <v>3089</v>
      </c>
      <c r="H30" s="538">
        <f>SUMIF(88:88,E30,89:89)-SUMIF(88:88,C30,89:89)+100</f>
        <v>100</v>
      </c>
      <c r="I30" s="3195" t="s">
        <v>3097</v>
      </c>
      <c r="J30" s="538">
        <f>SUMIF(88:88,E30,89:89)-SUMIF(88:88,C30,89:89)+100</f>
        <v>100</v>
      </c>
      <c r="K30" s="582">
        <v>1</v>
      </c>
      <c r="L30" s="2124"/>
      <c r="M30" s="2116"/>
      <c r="N30" s="2116"/>
      <c r="O30" s="2123"/>
      <c r="P30" s="3421"/>
      <c r="Q30" s="1555" t="str">
        <f t="shared" si="11"/>
        <v>物业等级</v>
      </c>
      <c r="R30" s="1556" t="s">
        <v>8</v>
      </c>
      <c r="S30" s="1557">
        <f t="shared" si="12"/>
        <v>100</v>
      </c>
      <c r="T30" s="1556" t="s">
        <v>8</v>
      </c>
      <c r="U30" s="1557">
        <f t="shared" si="13"/>
        <v>100</v>
      </c>
      <c r="V30" s="1556" t="s">
        <v>8</v>
      </c>
      <c r="W30" s="1557">
        <f t="shared" si="14"/>
        <v>100</v>
      </c>
      <c r="X30" s="1550"/>
      <c r="Y30" s="3421"/>
      <c r="Z30" s="1558" t="str">
        <f t="shared" si="15"/>
        <v>物业等级</v>
      </c>
      <c r="AA30" s="1559">
        <f t="shared" si="3"/>
        <v>1</v>
      </c>
      <c r="AB30" s="1559">
        <f t="shared" si="4"/>
        <v>1</v>
      </c>
      <c r="AC30" s="1559">
        <f t="shared" si="5"/>
        <v>1</v>
      </c>
    </row>
    <row r="31" spans="1:29" s="1214" customFormat="1" ht="15">
      <c r="A31" s="931"/>
      <c r="B31" s="580" t="s">
        <v>810</v>
      </c>
      <c r="C31" s="878">
        <v>31</v>
      </c>
      <c r="D31" s="253">
        <v>100</v>
      </c>
      <c r="E31" s="878">
        <v>31</v>
      </c>
      <c r="F31" s="573">
        <f>LOOKUP(E31,91:91,92:92)-LOOKUP(C31,91:91,92:92)+100</f>
        <v>100</v>
      </c>
      <c r="G31" s="878">
        <v>29</v>
      </c>
      <c r="H31" s="538">
        <f>LOOKUP(G31,91:91,92:92)-LOOKUP(C31,91:91,92:92)+100</f>
        <v>99</v>
      </c>
      <c r="I31" s="878">
        <v>32</v>
      </c>
      <c r="J31" s="538">
        <f>LOOKUP(I31,91:91,92:92)-LOOKUP(C31,91:91,92:92)+100</f>
        <v>100</v>
      </c>
      <c r="K31" s="582">
        <v>1</v>
      </c>
      <c r="L31" s="2117"/>
      <c r="M31" s="2118"/>
      <c r="N31" s="2118"/>
      <c r="O31" s="2119"/>
      <c r="P31" s="3421"/>
      <c r="Q31" s="1145" t="str">
        <f t="shared" si="11"/>
        <v>停车位面积</v>
      </c>
      <c r="R31" s="1551" t="s">
        <v>8</v>
      </c>
      <c r="S31" s="1552">
        <f t="shared" si="12"/>
        <v>100</v>
      </c>
      <c r="T31" s="1551" t="s">
        <v>8</v>
      </c>
      <c r="U31" s="1552">
        <f t="shared" si="13"/>
        <v>99</v>
      </c>
      <c r="V31" s="1551" t="s">
        <v>8</v>
      </c>
      <c r="W31" s="1552">
        <f t="shared" si="14"/>
        <v>100</v>
      </c>
      <c r="X31" s="1553"/>
      <c r="Y31" s="3421"/>
      <c r="Z31" s="1144" t="str">
        <f t="shared" si="15"/>
        <v>停车位面积</v>
      </c>
      <c r="AA31" s="1554">
        <f t="shared" si="3"/>
        <v>1</v>
      </c>
      <c r="AB31" s="1554">
        <f t="shared" si="4"/>
        <v>1.0101010101010102</v>
      </c>
      <c r="AC31" s="1554">
        <f t="shared" si="5"/>
        <v>1</v>
      </c>
    </row>
    <row r="32" spans="1:29" ht="15.6" thickBot="1">
      <c r="A32" s="929"/>
      <c r="B32" s="580" t="s">
        <v>811</v>
      </c>
      <c r="C32" s="3194" t="s">
        <v>3098</v>
      </c>
      <c r="D32" s="538">
        <v>100</v>
      </c>
      <c r="E32" s="3194" t="s">
        <v>3098</v>
      </c>
      <c r="F32" s="573">
        <f>SUMIF(93:93,E32,94:94)-SUMIF(93:93,C32,94:94)+100</f>
        <v>100</v>
      </c>
      <c r="G32" s="572" t="s">
        <v>3102</v>
      </c>
      <c r="H32" s="538">
        <f>SUMIF(93:93,G32,94:94)-SUMIF(93:93,C32,94:94)+100</f>
        <v>100</v>
      </c>
      <c r="I32" s="3194" t="s">
        <v>3098</v>
      </c>
      <c r="J32" s="538">
        <f>SUMIF(93:93,I32,94:94)-SUMIF(93:93,C32,94:94)+100</f>
        <v>100</v>
      </c>
      <c r="K32" s="582">
        <v>1</v>
      </c>
      <c r="L32" s="2124"/>
      <c r="M32" s="2116"/>
      <c r="N32" s="2116"/>
      <c r="O32" s="2123"/>
      <c r="P32" s="3421" t="s">
        <v>550</v>
      </c>
      <c r="Q32" s="1555" t="str">
        <f t="shared" si="11"/>
        <v>车位类型</v>
      </c>
      <c r="R32" s="1556" t="s">
        <v>8</v>
      </c>
      <c r="S32" s="1557">
        <f t="shared" si="12"/>
        <v>100</v>
      </c>
      <c r="T32" s="1556" t="s">
        <v>8</v>
      </c>
      <c r="U32" s="1557">
        <f t="shared" si="13"/>
        <v>100</v>
      </c>
      <c r="V32" s="1556" t="s">
        <v>8</v>
      </c>
      <c r="W32" s="1557">
        <f t="shared" si="14"/>
        <v>100</v>
      </c>
      <c r="X32" s="1550"/>
      <c r="Y32" s="3421" t="s">
        <v>550</v>
      </c>
      <c r="Z32" s="1558" t="str">
        <f t="shared" si="15"/>
        <v>车位类型</v>
      </c>
      <c r="AA32" s="1559">
        <f t="shared" si="3"/>
        <v>1</v>
      </c>
      <c r="AB32" s="1559">
        <f t="shared" si="4"/>
        <v>1</v>
      </c>
      <c r="AC32" s="1559">
        <f t="shared" si="5"/>
        <v>1</v>
      </c>
    </row>
    <row r="33" spans="1:29" ht="15" hidden="1">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1"/>
      <c r="Q33" s="1555" t="str">
        <f t="shared" si="11"/>
        <v>是否直接入户</v>
      </c>
      <c r="R33" s="1556" t="s">
        <v>8</v>
      </c>
      <c r="S33" s="1557">
        <f t="shared" si="12"/>
        <v>100</v>
      </c>
      <c r="T33" s="1556" t="s">
        <v>8</v>
      </c>
      <c r="U33" s="1557">
        <f t="shared" si="13"/>
        <v>100</v>
      </c>
      <c r="V33" s="1556" t="s">
        <v>8</v>
      </c>
      <c r="W33" s="1557">
        <f t="shared" si="14"/>
        <v>100</v>
      </c>
      <c r="X33" s="1550"/>
      <c r="Y33" s="3421"/>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1"/>
      <c r="Q34" s="1555">
        <f t="shared" si="11"/>
        <v>111</v>
      </c>
      <c r="R34" s="1556" t="s">
        <v>8</v>
      </c>
      <c r="S34" s="1557">
        <f t="shared" si="12"/>
        <v>100</v>
      </c>
      <c r="T34" s="1556" t="s">
        <v>8</v>
      </c>
      <c r="U34" s="1557">
        <f t="shared" si="13"/>
        <v>100</v>
      </c>
      <c r="V34" s="1556" t="s">
        <v>8</v>
      </c>
      <c r="W34" s="1557">
        <f t="shared" si="14"/>
        <v>100</v>
      </c>
      <c r="X34" s="1550"/>
      <c r="Y34" s="3421"/>
      <c r="Z34" s="1558">
        <f t="shared" si="15"/>
        <v>111</v>
      </c>
      <c r="AA34" s="1559">
        <f t="shared" si="3"/>
        <v>1</v>
      </c>
      <c r="AB34" s="1559">
        <f t="shared" si="4"/>
        <v>1</v>
      </c>
      <c r="AC34" s="1559">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1"/>
      <c r="Q35" s="1587">
        <f t="shared" si="11"/>
        <v>111</v>
      </c>
      <c r="R35" s="1560" t="s">
        <v>8</v>
      </c>
      <c r="S35" s="1561">
        <f t="shared" si="12"/>
        <v>100</v>
      </c>
      <c r="T35" s="1560" t="s">
        <v>8</v>
      </c>
      <c r="U35" s="1561">
        <f t="shared" si="13"/>
        <v>100</v>
      </c>
      <c r="V35" s="1560" t="s">
        <v>8</v>
      </c>
      <c r="W35" s="1561">
        <f t="shared" si="14"/>
        <v>100</v>
      </c>
      <c r="X35" s="1562"/>
      <c r="Y35" s="3421"/>
      <c r="Z35" s="1563">
        <f t="shared" si="15"/>
        <v>111</v>
      </c>
      <c r="AA35" s="1559">
        <f t="shared" si="3"/>
        <v>1</v>
      </c>
      <c r="AB35" s="1559">
        <f t="shared" si="4"/>
        <v>1</v>
      </c>
      <c r="AC35" s="1559">
        <f t="shared" si="5"/>
        <v>1</v>
      </c>
    </row>
    <row r="36" spans="1:29" ht="15.6"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1"/>
      <c r="Q36" s="1555">
        <f t="shared" si="11"/>
        <v>111</v>
      </c>
      <c r="R36" s="1556" t="s">
        <v>8</v>
      </c>
      <c r="S36" s="1557">
        <f t="shared" si="12"/>
        <v>100</v>
      </c>
      <c r="T36" s="1556" t="s">
        <v>8</v>
      </c>
      <c r="U36" s="1557">
        <f t="shared" si="13"/>
        <v>100</v>
      </c>
      <c r="V36" s="1556" t="s">
        <v>8</v>
      </c>
      <c r="W36" s="1557">
        <f t="shared" si="14"/>
        <v>100</v>
      </c>
      <c r="X36" s="1550"/>
      <c r="Y36" s="3421"/>
      <c r="Z36" s="1558">
        <f t="shared" si="15"/>
        <v>111</v>
      </c>
      <c r="AA36" s="1559">
        <f t="shared" si="3"/>
        <v>1</v>
      </c>
      <c r="AB36" s="1559">
        <f t="shared" si="4"/>
        <v>1</v>
      </c>
      <c r="AC36" s="1559">
        <f t="shared" si="5"/>
        <v>1</v>
      </c>
    </row>
    <row r="37" spans="1:29" ht="14.4">
      <c r="A37" s="1828" t="s">
        <v>2074</v>
      </c>
      <c r="B37" s="1829" t="s">
        <v>2075</v>
      </c>
      <c r="C37" s="2588" t="s">
        <v>1</v>
      </c>
      <c r="D37" s="2589"/>
      <c r="E37" s="2590">
        <v>8264</v>
      </c>
      <c r="F37" s="2591"/>
      <c r="G37" s="2592">
        <v>8429</v>
      </c>
      <c r="H37" s="2593"/>
      <c r="I37" s="2590">
        <v>7585</v>
      </c>
      <c r="J37" s="2593"/>
      <c r="K37" s="1593"/>
      <c r="L37" s="2126"/>
      <c r="M37" s="2127"/>
      <c r="N37" s="2116"/>
      <c r="O37" s="2127"/>
      <c r="P37" s="3381" t="str">
        <f>A37</f>
        <v>成交单价</v>
      </c>
      <c r="Q37" s="3381"/>
      <c r="R37" s="3476">
        <f>E37</f>
        <v>8264</v>
      </c>
      <c r="S37" s="3476"/>
      <c r="T37" s="3476">
        <f>G37</f>
        <v>8429</v>
      </c>
      <c r="U37" s="3476"/>
      <c r="V37" s="3476">
        <f>I37</f>
        <v>7585</v>
      </c>
      <c r="W37" s="3476"/>
      <c r="X37" s="1542"/>
      <c r="Y37" s="1564"/>
      <c r="Z37" s="1542"/>
      <c r="AA37" s="1542"/>
      <c r="AB37" s="1542"/>
      <c r="AC37" s="1542"/>
    </row>
    <row r="38" spans="1:29" ht="15" thickBot="1">
      <c r="A38" s="613" t="s">
        <v>2757</v>
      </c>
      <c r="B38" s="886"/>
      <c r="C38" s="2594">
        <f>R39</f>
        <v>8153</v>
      </c>
      <c r="D38" s="2595"/>
      <c r="E38" s="2596">
        <f>R38</f>
        <v>8520</v>
      </c>
      <c r="F38" s="2596"/>
      <c r="G38" s="2594">
        <f>T38</f>
        <v>8430</v>
      </c>
      <c r="H38" s="2595"/>
      <c r="I38" s="2596">
        <f>V38</f>
        <v>7510</v>
      </c>
      <c r="J38" s="2595"/>
      <c r="K38" s="1594"/>
      <c r="L38" s="2126"/>
      <c r="M38" s="2127"/>
      <c r="N38" s="2127"/>
      <c r="O38" s="2127"/>
      <c r="P38" s="3381" t="str">
        <f>A38</f>
        <v>比较价格（元/平方米）</v>
      </c>
      <c r="Q38" s="3381"/>
      <c r="R38" s="3476">
        <f>IF(F1="售价",ROUND(PRODUCT(R37,AA7:AA36),0),ROUND(PRODUCT(R37,AA7:AA36),1))</f>
        <v>8520</v>
      </c>
      <c r="S38" s="3476"/>
      <c r="T38" s="3476">
        <f>IF(F1="售价",ROUND(PRODUCT(T37,AB7:AB36),0),ROUND(PRODUCT(T37,AB7:AB36),1))</f>
        <v>8430</v>
      </c>
      <c r="U38" s="3476"/>
      <c r="V38" s="3476">
        <f>IF(F1="售价",ROUND(PRODUCT(V37,AC7:AC36),0),ROUND(PRODUCT(V37,AC7:AC36),1))</f>
        <v>7510</v>
      </c>
      <c r="W38" s="3476"/>
      <c r="X38" s="1542"/>
      <c r="Y38" s="1542"/>
      <c r="Z38" s="1542"/>
      <c r="AA38" s="1542"/>
      <c r="AB38" s="1542"/>
      <c r="AC38" s="1542"/>
    </row>
    <row r="39" spans="1:29" ht="15" thickBot="1">
      <c r="A39" s="619" t="s">
        <v>2924</v>
      </c>
      <c r="B39" s="620"/>
      <c r="C39" s="2597">
        <f>R39</f>
        <v>8153</v>
      </c>
      <c r="D39" s="2597"/>
      <c r="E39" s="2597"/>
      <c r="F39" s="2597"/>
      <c r="G39" s="2597"/>
      <c r="H39" s="2597"/>
      <c r="I39" s="2597"/>
      <c r="J39" s="2597"/>
      <c r="K39" s="1595"/>
      <c r="L39" s="2126"/>
      <c r="M39" s="2127"/>
      <c r="N39" s="2127"/>
      <c r="O39" s="2127"/>
      <c r="P39" s="3378" t="str">
        <f>A39</f>
        <v>估价对象XX用房的比较价格（楼面单价，元/平方米）</v>
      </c>
      <c r="Q39" s="3379"/>
      <c r="R39" s="3475">
        <f>IF(F1="售价",ROUND(AVERAGE(R38:V38),0),ROUND(AVERAGE(R38:V38),1))</f>
        <v>8153</v>
      </c>
      <c r="S39" s="3475"/>
      <c r="T39" s="3475"/>
      <c r="U39" s="3475"/>
      <c r="V39" s="3475"/>
      <c r="W39" s="3475"/>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f>IF(E37&lt;E38,E38/E37-1,E37/E38-1)</f>
        <v>3.0977734753146136E-2</v>
      </c>
      <c r="F42" s="625" t="str">
        <f>IF(OR(E42&gt;=0.3,E42&lt;=-0.3),"超过30%","")</f>
        <v/>
      </c>
      <c r="G42" s="624">
        <f>IF(G37&lt;G38,G38/G37-1,G37/G38-1)</f>
        <v>1.1863803535416828E-4</v>
      </c>
      <c r="H42" s="625" t="str">
        <f>IF(OR(G42&gt;=0.3,G42&lt;=-0.3),"超过30%","")</f>
        <v/>
      </c>
      <c r="I42" s="624">
        <f>IF(I37&lt;I38,I38/I37-1,I37/I38-1)</f>
        <v>9.9866844207723293E-3</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f>IF(E38&lt;G38,G38/E38-1,E38/G38-1)</f>
        <v>1.067615658362997E-2</v>
      </c>
      <c r="F43" s="625" t="str">
        <f>IF(OR(E43&gt;=0.2,E43&lt;=-0.2),"超过20%","")</f>
        <v/>
      </c>
      <c r="G43" s="624">
        <f>IF(G38&lt;I38,I38/G38-1,G38/I38-1)</f>
        <v>0.12250332889480697</v>
      </c>
      <c r="H43" s="625" t="str">
        <f>IF(OR(G43&gt;=0.2,G43&lt;=-0.2),"超过20%","")</f>
        <v/>
      </c>
      <c r="I43" s="624">
        <f>IF(I38&lt;E38,E38/I38-1,I38/E38-1)</f>
        <v>0.13448735019973368</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f>IF(E37&lt;G37,G37/E37-1,E37/G37-1)</f>
        <v>1.9966118102613839E-2</v>
      </c>
      <c r="F44" s="625" t="str">
        <f>IF(OR(E44&gt;=0.3,E44&lt;=-0.3),"超过30%","")</f>
        <v/>
      </c>
      <c r="G44" s="624">
        <f>IF(G37&lt;I37,I37/G37-1,G37/I37-1)</f>
        <v>0.1112722478576138</v>
      </c>
      <c r="H44" s="625" t="str">
        <f>IF(OR(G44&gt;=0.3,G44&lt;=-0.3),"超过30%","")</f>
        <v/>
      </c>
      <c r="I44" s="624">
        <f>IF(I37&lt;E37,E37/I37-1,I37/E37-1)</f>
        <v>8.9518787079762685E-2</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3" t="s">
        <v>529</v>
      </c>
      <c r="B48" s="644"/>
      <c r="C48" s="2754" t="str">
        <f>YEAR(C7)&amp;"-"&amp;MONTH(C7)</f>
        <v>2020-1</v>
      </c>
      <c r="D48" s="2756">
        <f>EDATE(C48,-1)</f>
        <v>43800</v>
      </c>
      <c r="E48" s="2756">
        <f t="shared" ref="E48:O48" si="16">EDATE(D48,-1)</f>
        <v>43770</v>
      </c>
      <c r="F48" s="2756">
        <f t="shared" si="16"/>
        <v>43739</v>
      </c>
      <c r="G48" s="2756">
        <f t="shared" si="16"/>
        <v>43709</v>
      </c>
      <c r="H48" s="2756">
        <f t="shared" si="16"/>
        <v>43678</v>
      </c>
      <c r="I48" s="2756">
        <f t="shared" si="16"/>
        <v>43647</v>
      </c>
      <c r="J48" s="2756">
        <f t="shared" si="16"/>
        <v>43617</v>
      </c>
      <c r="K48" s="2756">
        <f t="shared" si="16"/>
        <v>43586</v>
      </c>
      <c r="L48" s="2756">
        <f t="shared" si="16"/>
        <v>43556</v>
      </c>
      <c r="M48" s="2756">
        <f t="shared" si="16"/>
        <v>43525</v>
      </c>
      <c r="N48" s="2756">
        <f t="shared" si="16"/>
        <v>43497</v>
      </c>
      <c r="O48" s="2756">
        <f t="shared" si="16"/>
        <v>43466</v>
      </c>
      <c r="P48" s="2142"/>
      <c r="Q48" s="2143"/>
      <c r="R48" s="2143"/>
      <c r="S48" s="2143"/>
      <c r="T48" s="2143"/>
      <c r="U48" s="2143"/>
      <c r="V48" s="2143"/>
      <c r="W48" s="2143"/>
      <c r="X48" s="2143"/>
      <c r="Y48" s="2143"/>
      <c r="Z48" s="2143"/>
      <c r="AA48" s="2143"/>
      <c r="AB48" s="2143"/>
      <c r="AC48" s="2143"/>
    </row>
    <row r="49" spans="1:29" s="1214" customFormat="1">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4.4">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4.4"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ht="14.4">
      <c r="A53" s="662" t="s">
        <v>577</v>
      </c>
      <c r="B53" s="663" t="s">
        <v>534</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4.4"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9.4" thickTop="1">
      <c r="A55" s="667"/>
      <c r="B55" s="671" t="s">
        <v>537</v>
      </c>
      <c r="C55" s="672" t="s">
        <v>736</v>
      </c>
      <c r="D55" s="672" t="s">
        <v>737</v>
      </c>
      <c r="E55" s="672" t="s">
        <v>738</v>
      </c>
      <c r="F55" s="672" t="s">
        <v>739</v>
      </c>
      <c r="G55" s="672" t="s">
        <v>740</v>
      </c>
      <c r="H55" s="672" t="s">
        <v>741</v>
      </c>
      <c r="I55" s="672" t="s">
        <v>742</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4.4"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4.4" thickTop="1">
      <c r="A57" s="667"/>
      <c r="B57" s="933">
        <f>B11</f>
        <v>0</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4.4" thickTop="1">
      <c r="A59" s="685"/>
      <c r="B59" s="671">
        <f>B12</f>
        <v>0</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4.4"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4.4" thickTop="1">
      <c r="A61" s="685"/>
      <c r="B61" s="671">
        <f>B13</f>
        <v>0</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4.4"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4.4" thickBot="1">
      <c r="A64" s="667"/>
      <c r="B64" s="676"/>
      <c r="C64" s="677">
        <v>100</v>
      </c>
      <c r="D64" s="677">
        <f>C64-$K14</f>
        <v>97</v>
      </c>
      <c r="E64" s="677">
        <f>D64-$K14</f>
        <v>94</v>
      </c>
      <c r="F64" s="677">
        <f>E64-$K14</f>
        <v>91</v>
      </c>
      <c r="G64" s="677">
        <f>F64-$K14</f>
        <v>88</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C66-$K16</f>
        <v>97</v>
      </c>
      <c r="E66" s="677">
        <f>D66-$K16</f>
        <v>94</v>
      </c>
      <c r="F66" s="677">
        <f>E66-$K16</f>
        <v>91</v>
      </c>
      <c r="G66" s="677">
        <f>F66-$K16</f>
        <v>88</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4.4" thickBot="1">
      <c r="A68" s="667"/>
      <c r="B68" s="679"/>
      <c r="C68" s="677">
        <v>100</v>
      </c>
      <c r="D68" s="677">
        <f>C68-$K18</f>
        <v>98</v>
      </c>
      <c r="E68" s="677">
        <f>D68-$K18</f>
        <v>96</v>
      </c>
      <c r="F68" s="677">
        <f>E68-$K18</f>
        <v>94</v>
      </c>
      <c r="G68" s="677">
        <f>F68-$K18</f>
        <v>92</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 thickTop="1">
      <c r="A69" s="667"/>
      <c r="B69" s="671" t="s">
        <v>743</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C70-$K20</f>
        <v>99</v>
      </c>
      <c r="E70" s="677">
        <f>D70-$K20</f>
        <v>98</v>
      </c>
      <c r="F70" s="677">
        <f>E70-$K20</f>
        <v>97</v>
      </c>
      <c r="G70" s="677">
        <f>F70-$K20</f>
        <v>96</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 thickTop="1">
      <c r="A71" s="667"/>
      <c r="B71" s="671" t="s">
        <v>744</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4.4"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4.4"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4.4"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4.4"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9.4" thickTop="1">
      <c r="A79" s="662" t="s">
        <v>551</v>
      </c>
      <c r="B79" s="663" t="s">
        <v>813</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v>100</v>
      </c>
      <c r="D80" s="677">
        <f t="shared" ref="D80:M80" si="17">C80-$K26</f>
        <v>97</v>
      </c>
      <c r="E80" s="677">
        <f t="shared" si="17"/>
        <v>94</v>
      </c>
      <c r="F80" s="677">
        <f t="shared" si="17"/>
        <v>91</v>
      </c>
      <c r="G80" s="677">
        <f t="shared" si="17"/>
        <v>88</v>
      </c>
      <c r="H80" s="677">
        <f t="shared" si="17"/>
        <v>85</v>
      </c>
      <c r="I80" s="677">
        <f t="shared" si="17"/>
        <v>82</v>
      </c>
      <c r="J80" s="677">
        <f t="shared" si="17"/>
        <v>79</v>
      </c>
      <c r="K80" s="677">
        <f t="shared" si="17"/>
        <v>76</v>
      </c>
      <c r="L80" s="677">
        <f t="shared" si="17"/>
        <v>73</v>
      </c>
      <c r="M80" s="678">
        <f t="shared" si="17"/>
        <v>70</v>
      </c>
      <c r="N80" s="2148"/>
      <c r="O80" s="2148"/>
      <c r="P80" s="2147"/>
      <c r="Q80" s="2140"/>
      <c r="R80" s="2127"/>
      <c r="S80" s="2127"/>
      <c r="T80" s="2127"/>
      <c r="U80" s="2127"/>
      <c r="V80" s="2127"/>
      <c r="W80" s="2127"/>
      <c r="X80" s="2127"/>
      <c r="Y80" s="2127"/>
      <c r="Z80" s="2127"/>
      <c r="AA80" s="2127"/>
      <c r="AB80" s="2127"/>
      <c r="AC80" s="2127"/>
    </row>
    <row r="81" spans="1:29" ht="15" thickTop="1">
      <c r="A81" s="667"/>
      <c r="B81" s="671" t="s">
        <v>814</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750</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4.4"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817</v>
      </c>
      <c r="C90" s="706" t="str">
        <f>C91&amp;"(含)"&amp;"-"&amp;D91</f>
        <v>25(含)-30</v>
      </c>
      <c r="D90" s="706" t="str">
        <f t="shared" ref="D90:L90" si="21">D91&amp;"(含)"&amp;"-"&amp;E91</f>
        <v>30(含)-35</v>
      </c>
      <c r="E90" s="706" t="str">
        <f t="shared" si="21"/>
        <v>35(含)-40</v>
      </c>
      <c r="F90" s="706" t="str">
        <f t="shared" si="21"/>
        <v>40(含)-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v>25</v>
      </c>
      <c r="D91" s="728">
        <v>30</v>
      </c>
      <c r="E91" s="728">
        <v>35</v>
      </c>
      <c r="F91" s="728">
        <v>40</v>
      </c>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v>100</v>
      </c>
      <c r="D92" s="669">
        <v>101</v>
      </c>
      <c r="E92" s="669">
        <v>102</v>
      </c>
      <c r="F92" s="669">
        <v>103</v>
      </c>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819</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4.4"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4.4"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4.4"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4.4"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c r="C1" s="502" t="s">
        <v>791</v>
      </c>
      <c r="D1" s="847"/>
      <c r="E1" s="504"/>
      <c r="F1" s="2759"/>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t="e">
        <f>C37</f>
        <v>#DIV/0!</v>
      </c>
      <c r="C3" s="850" t="s">
        <v>795</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796</v>
      </c>
      <c r="B4" s="511"/>
      <c r="C4" s="3387" t="s">
        <v>797</v>
      </c>
      <c r="D4" s="3388"/>
      <c r="E4" s="3424" t="s">
        <v>798</v>
      </c>
      <c r="F4" s="3425"/>
      <c r="G4" s="3387" t="s">
        <v>799</v>
      </c>
      <c r="H4" s="3388"/>
      <c r="I4" s="3387" t="s">
        <v>800</v>
      </c>
      <c r="J4" s="3388"/>
      <c r="K4" s="512" t="s">
        <v>801</v>
      </c>
      <c r="L4" s="2115"/>
      <c r="M4" s="2116"/>
      <c r="N4" s="2116"/>
      <c r="O4" s="2116"/>
      <c r="P4" s="3389" t="s">
        <v>802</v>
      </c>
      <c r="Q4" s="3390"/>
      <c r="R4" s="3395" t="s">
        <v>798</v>
      </c>
      <c r="S4" s="3396"/>
      <c r="T4" s="3395" t="s">
        <v>799</v>
      </c>
      <c r="U4" s="3396"/>
      <c r="V4" s="3382" t="s">
        <v>800</v>
      </c>
      <c r="W4" s="3382"/>
      <c r="X4" s="1550"/>
      <c r="Y4" s="3395" t="s">
        <v>802</v>
      </c>
      <c r="Z4" s="3396"/>
      <c r="AA4" s="3384" t="s">
        <v>798</v>
      </c>
      <c r="AB4" s="3385" t="s">
        <v>799</v>
      </c>
      <c r="AC4" s="3384" t="s">
        <v>800</v>
      </c>
    </row>
    <row r="5" spans="1:29">
      <c r="A5" s="513"/>
      <c r="B5" s="514"/>
      <c r="C5" s="3403" t="s">
        <v>2918</v>
      </c>
      <c r="D5" s="3404"/>
      <c r="E5" s="3408" t="s">
        <v>2919</v>
      </c>
      <c r="F5" s="3409"/>
      <c r="G5" s="3403" t="s">
        <v>2920</v>
      </c>
      <c r="H5" s="3404"/>
      <c r="I5" s="3403" t="s">
        <v>2921</v>
      </c>
      <c r="J5" s="3404"/>
      <c r="K5" s="512"/>
      <c r="L5" s="2115"/>
      <c r="M5" s="2116"/>
      <c r="N5" s="2116"/>
      <c r="O5" s="2116"/>
      <c r="P5" s="3391"/>
      <c r="Q5" s="3392"/>
      <c r="R5" s="3397"/>
      <c r="S5" s="3398"/>
      <c r="T5" s="3397"/>
      <c r="U5" s="3398"/>
      <c r="V5" s="3382"/>
      <c r="W5" s="3382"/>
      <c r="X5" s="1550"/>
      <c r="Y5" s="3397"/>
      <c r="Z5" s="3398"/>
      <c r="AA5" s="3385"/>
      <c r="AB5" s="3385"/>
      <c r="AC5" s="3385"/>
    </row>
    <row r="6" spans="1:29" ht="15" thickBot="1">
      <c r="A6" s="515"/>
      <c r="B6" s="516"/>
      <c r="C6" s="3422" t="s">
        <v>2922</v>
      </c>
      <c r="D6" s="3423"/>
      <c r="E6" s="3407" t="s">
        <v>2922</v>
      </c>
      <c r="F6" s="3402"/>
      <c r="G6" s="3422" t="s">
        <v>2922</v>
      </c>
      <c r="H6" s="3423"/>
      <c r="I6" s="3422" t="s">
        <v>2922</v>
      </c>
      <c r="J6" s="3423"/>
      <c r="K6" s="512" t="s">
        <v>528</v>
      </c>
      <c r="L6" s="2115"/>
      <c r="M6" s="2116"/>
      <c r="N6" s="2116"/>
      <c r="O6" s="2116"/>
      <c r="P6" s="3393"/>
      <c r="Q6" s="3394"/>
      <c r="R6" s="3397"/>
      <c r="S6" s="3398"/>
      <c r="T6" s="3399"/>
      <c r="U6" s="3400"/>
      <c r="V6" s="3382"/>
      <c r="W6" s="3382"/>
      <c r="X6" s="1550"/>
      <c r="Y6" s="3399"/>
      <c r="Z6" s="3400"/>
      <c r="AA6" s="3386"/>
      <c r="AB6" s="3386"/>
      <c r="AC6" s="3386"/>
    </row>
    <row r="7" spans="1:29" s="1214" customFormat="1" ht="15" thickBot="1">
      <c r="A7" s="2864"/>
      <c r="B7" s="2871" t="s">
        <v>529</v>
      </c>
      <c r="C7" s="517">
        <f>'数据-取费表'!B2</f>
        <v>43832</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5" t="s">
        <v>530</v>
      </c>
      <c r="Q7" s="3417"/>
      <c r="R7" s="1551" t="s">
        <v>8</v>
      </c>
      <c r="S7" s="1552">
        <f t="shared" ref="S7:S14" si="0">F7</f>
        <v>0</v>
      </c>
      <c r="T7" s="1551" t="s">
        <v>8</v>
      </c>
      <c r="U7" s="1552">
        <f t="shared" ref="U7:U14" si="1">H7</f>
        <v>0</v>
      </c>
      <c r="V7" s="1551" t="s">
        <v>8</v>
      </c>
      <c r="W7" s="1552">
        <f t="shared" ref="W7:W14" si="2">J7</f>
        <v>0</v>
      </c>
      <c r="X7" s="1553"/>
      <c r="Y7" s="3415" t="s">
        <v>530</v>
      </c>
      <c r="Z7" s="3416"/>
      <c r="AA7" s="1554" t="e">
        <f>D7/F7</f>
        <v>#DIV/0!</v>
      </c>
      <c r="AB7" s="1554" t="e">
        <f>D7/H7</f>
        <v>#DIV/0!</v>
      </c>
      <c r="AC7" s="1554" t="e">
        <f>D7/J7</f>
        <v>#DIV/0!</v>
      </c>
    </row>
    <row r="8" spans="1:29" s="1214" customFormat="1" ht="1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5" t="s">
        <v>533</v>
      </c>
      <c r="Q8" s="3416"/>
      <c r="R8" s="1551" t="s">
        <v>8</v>
      </c>
      <c r="S8" s="1552">
        <f t="shared" si="0"/>
        <v>0</v>
      </c>
      <c r="T8" s="1551" t="s">
        <v>8</v>
      </c>
      <c r="U8" s="1552">
        <f t="shared" si="1"/>
        <v>0</v>
      </c>
      <c r="V8" s="1551" t="s">
        <v>8</v>
      </c>
      <c r="W8" s="1552">
        <f t="shared" si="2"/>
        <v>0</v>
      </c>
      <c r="X8" s="1553"/>
      <c r="Y8" s="3415" t="s">
        <v>533</v>
      </c>
      <c r="Z8" s="3416"/>
      <c r="AA8" s="1554" t="e">
        <f t="shared" ref="AA8:AA34" si="3">D8/F8</f>
        <v>#DIV/0!</v>
      </c>
      <c r="AB8" s="1554" t="e">
        <f t="shared" ref="AB8:AB34" si="4">D8/H8</f>
        <v>#DIV/0!</v>
      </c>
      <c r="AC8" s="1554" t="e">
        <f t="shared" ref="AC8:AC34" si="5">D8/J8</f>
        <v>#DIV/0!</v>
      </c>
    </row>
    <row r="9" spans="1:29" s="1214" customFormat="1" ht="14.4">
      <c r="A9" s="2866"/>
      <c r="B9" s="2873" t="s">
        <v>2753</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81" t="s">
        <v>535</v>
      </c>
      <c r="Q9" s="1145" t="str">
        <f t="shared" ref="Q9:Q14" si="6">B9</f>
        <v>用途</v>
      </c>
      <c r="R9" s="1551" t="s">
        <v>8</v>
      </c>
      <c r="S9" s="1552">
        <f t="shared" si="0"/>
        <v>100</v>
      </c>
      <c r="T9" s="1551" t="s">
        <v>8</v>
      </c>
      <c r="U9" s="1552">
        <f t="shared" si="1"/>
        <v>100</v>
      </c>
      <c r="V9" s="1551" t="s">
        <v>8</v>
      </c>
      <c r="W9" s="1552">
        <f t="shared" si="2"/>
        <v>100</v>
      </c>
      <c r="X9" s="1553"/>
      <c r="Y9" s="3327" t="s">
        <v>536</v>
      </c>
      <c r="Z9" s="1144" t="str">
        <f t="shared" ref="Z9:Z14" si="7">Q9</f>
        <v>用途</v>
      </c>
      <c r="AA9" s="1554">
        <f t="shared" si="3"/>
        <v>1</v>
      </c>
      <c r="AB9" s="1554">
        <f t="shared" si="4"/>
        <v>1</v>
      </c>
      <c r="AC9" s="1554">
        <f t="shared" si="5"/>
        <v>1</v>
      </c>
    </row>
    <row r="10" spans="1:29" s="1332" customFormat="1" ht="28.8">
      <c r="A10" s="2867"/>
      <c r="B10" s="2872" t="s">
        <v>2754</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81"/>
      <c r="Q10" s="1145" t="str">
        <f t="shared" si="6"/>
        <v>土地使用年限（年）</v>
      </c>
      <c r="R10" s="1551" t="s">
        <v>8</v>
      </c>
      <c r="S10" s="1552">
        <f t="shared" si="0"/>
        <v>100</v>
      </c>
      <c r="T10" s="1551" t="s">
        <v>8</v>
      </c>
      <c r="U10" s="1552">
        <f t="shared" si="1"/>
        <v>100</v>
      </c>
      <c r="V10" s="1551" t="s">
        <v>8</v>
      </c>
      <c r="W10" s="1552">
        <f t="shared" si="2"/>
        <v>100</v>
      </c>
      <c r="X10" s="1553"/>
      <c r="Y10" s="3327"/>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81"/>
      <c r="Q11" s="1145">
        <f t="shared" si="6"/>
        <v>111</v>
      </c>
      <c r="R11" s="1551" t="s">
        <v>8</v>
      </c>
      <c r="S11" s="1552">
        <f t="shared" si="0"/>
        <v>100</v>
      </c>
      <c r="T11" s="1551" t="s">
        <v>8</v>
      </c>
      <c r="U11" s="1552">
        <f t="shared" si="1"/>
        <v>100</v>
      </c>
      <c r="V11" s="1551" t="s">
        <v>8</v>
      </c>
      <c r="W11" s="1552">
        <f t="shared" si="2"/>
        <v>100</v>
      </c>
      <c r="X11" s="1553"/>
      <c r="Y11" s="3327"/>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81"/>
      <c r="Q12" s="1145">
        <f t="shared" si="6"/>
        <v>111</v>
      </c>
      <c r="R12" s="1551" t="s">
        <v>8</v>
      </c>
      <c r="S12" s="1552">
        <f t="shared" si="0"/>
        <v>100</v>
      </c>
      <c r="T12" s="1551" t="s">
        <v>8</v>
      </c>
      <c r="U12" s="1552">
        <f t="shared" si="1"/>
        <v>100</v>
      </c>
      <c r="V12" s="1551" t="s">
        <v>8</v>
      </c>
      <c r="W12" s="1552">
        <f t="shared" si="2"/>
        <v>100</v>
      </c>
      <c r="X12" s="1553"/>
      <c r="Y12" s="3327"/>
      <c r="Z12" s="1144">
        <f t="shared" si="7"/>
        <v>111</v>
      </c>
      <c r="AA12" s="1554">
        <f>D12/F12</f>
        <v>1</v>
      </c>
      <c r="AB12" s="1554">
        <f>D12/H12</f>
        <v>1</v>
      </c>
      <c r="AC12" s="1554">
        <f>D12/J12</f>
        <v>1</v>
      </c>
    </row>
    <row r="13" spans="1:29" ht="15.6"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81"/>
      <c r="Q13" s="1145">
        <f t="shared" si="6"/>
        <v>111</v>
      </c>
      <c r="R13" s="1551" t="s">
        <v>8</v>
      </c>
      <c r="S13" s="1552">
        <f t="shared" si="0"/>
        <v>100</v>
      </c>
      <c r="T13" s="1551" t="s">
        <v>8</v>
      </c>
      <c r="U13" s="1552">
        <f t="shared" si="1"/>
        <v>100</v>
      </c>
      <c r="V13" s="1551" t="s">
        <v>8</v>
      </c>
      <c r="W13" s="1552">
        <f t="shared" si="2"/>
        <v>100</v>
      </c>
      <c r="X13" s="1553"/>
      <c r="Y13" s="3327"/>
      <c r="Z13" s="1144">
        <f t="shared" si="7"/>
        <v>111</v>
      </c>
      <c r="AA13" s="1554">
        <f t="shared" si="3"/>
        <v>1</v>
      </c>
      <c r="AB13" s="1554">
        <f t="shared" si="4"/>
        <v>1</v>
      </c>
      <c r="AC13" s="1554">
        <f t="shared" si="5"/>
        <v>1</v>
      </c>
    </row>
    <row r="14" spans="1:29" ht="15">
      <c r="A14" s="2862" t="s">
        <v>2751</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18" t="s">
        <v>540</v>
      </c>
      <c r="Q14" s="1555" t="str">
        <f t="shared" si="6"/>
        <v>交通便捷度</v>
      </c>
      <c r="R14" s="1556" t="s">
        <v>8</v>
      </c>
      <c r="S14" s="1557">
        <f t="shared" si="0"/>
        <v>100</v>
      </c>
      <c r="T14" s="1556" t="s">
        <v>8</v>
      </c>
      <c r="U14" s="1557">
        <f t="shared" si="1"/>
        <v>100</v>
      </c>
      <c r="V14" s="1556" t="s">
        <v>8</v>
      </c>
      <c r="W14" s="1557">
        <f t="shared" si="2"/>
        <v>100</v>
      </c>
      <c r="X14" s="1550"/>
      <c r="Y14" s="3418"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19"/>
      <c r="Q15" s="1555"/>
      <c r="R15" s="1556"/>
      <c r="S15" s="1557"/>
      <c r="T15" s="1556"/>
      <c r="U15" s="1557"/>
      <c r="V15" s="1556"/>
      <c r="W15" s="1557"/>
      <c r="X15" s="1550"/>
      <c r="Y15" s="3419"/>
      <c r="Z15" s="1558"/>
      <c r="AA15" s="1559">
        <v>1</v>
      </c>
      <c r="AB15" s="1559">
        <v>1</v>
      </c>
      <c r="AC15" s="1559">
        <v>1</v>
      </c>
    </row>
    <row r="16" spans="1:29" ht="15">
      <c r="A16" s="530"/>
      <c r="B16" s="2564" t="s">
        <v>2543</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19"/>
      <c r="Q16" s="1555" t="str">
        <f>B16</f>
        <v>公共配套设施</v>
      </c>
      <c r="R16" s="1556" t="s">
        <v>8</v>
      </c>
      <c r="S16" s="1557">
        <f>F16</f>
        <v>100</v>
      </c>
      <c r="T16" s="1556" t="s">
        <v>8</v>
      </c>
      <c r="U16" s="1557">
        <f>H16</f>
        <v>100</v>
      </c>
      <c r="V16" s="1556" t="s">
        <v>8</v>
      </c>
      <c r="W16" s="1557">
        <f>J16</f>
        <v>100</v>
      </c>
      <c r="X16" s="1550"/>
      <c r="Y16" s="3419"/>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19"/>
      <c r="Q17" s="1555"/>
      <c r="R17" s="1556"/>
      <c r="S17" s="1557"/>
      <c r="T17" s="1556"/>
      <c r="U17" s="1557"/>
      <c r="V17" s="1556"/>
      <c r="W17" s="1557"/>
      <c r="X17" s="1550"/>
      <c r="Y17" s="3419"/>
      <c r="Z17" s="1558"/>
      <c r="AA17" s="1559">
        <v>1</v>
      </c>
      <c r="AB17" s="1559">
        <v>1</v>
      </c>
      <c r="AC17" s="1559">
        <v>1</v>
      </c>
    </row>
    <row r="18" spans="1:29" ht="15">
      <c r="A18" s="530"/>
      <c r="B18" s="2552" t="s">
        <v>2555</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19"/>
      <c r="Q18" s="2540" t="str">
        <f>B18</f>
        <v>基础设施水平</v>
      </c>
      <c r="R18" s="1556" t="s">
        <v>8</v>
      </c>
      <c r="S18" s="1557">
        <f>F18</f>
        <v>100</v>
      </c>
      <c r="T18" s="1556" t="s">
        <v>8</v>
      </c>
      <c r="U18" s="1557">
        <f>H18</f>
        <v>100</v>
      </c>
      <c r="V18" s="1556" t="s">
        <v>8</v>
      </c>
      <c r="W18" s="1557">
        <f>J18</f>
        <v>100</v>
      </c>
      <c r="X18" s="2542"/>
      <c r="Y18" s="3419"/>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19"/>
      <c r="Q19" s="2540"/>
      <c r="R19" s="1556"/>
      <c r="S19" s="1557"/>
      <c r="T19" s="1556"/>
      <c r="U19" s="1557"/>
      <c r="V19" s="1556"/>
      <c r="W19" s="1557"/>
      <c r="X19" s="2542"/>
      <c r="Y19" s="3419"/>
      <c r="Z19" s="2541"/>
      <c r="AA19" s="1559">
        <v>1</v>
      </c>
      <c r="AB19" s="1559">
        <v>1</v>
      </c>
      <c r="AC19" s="1559">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19"/>
      <c r="Q20" s="1555" t="str">
        <f>B20</f>
        <v>自然及人文环境</v>
      </c>
      <c r="R20" s="1556" t="s">
        <v>8</v>
      </c>
      <c r="S20" s="1557">
        <f>F20</f>
        <v>100</v>
      </c>
      <c r="T20" s="1556" t="s">
        <v>8</v>
      </c>
      <c r="U20" s="1557">
        <f>H20</f>
        <v>100</v>
      </c>
      <c r="V20" s="1556" t="s">
        <v>8</v>
      </c>
      <c r="W20" s="1557">
        <f>J20</f>
        <v>100</v>
      </c>
      <c r="X20" s="1550"/>
      <c r="Y20" s="3419"/>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19"/>
      <c r="Q21" s="1555"/>
      <c r="R21" s="1556"/>
      <c r="S21" s="1557"/>
      <c r="T21" s="1556"/>
      <c r="U21" s="1557"/>
      <c r="V21" s="1556"/>
      <c r="W21" s="1557"/>
      <c r="X21" s="1550"/>
      <c r="Y21" s="3419"/>
      <c r="Z21" s="1558"/>
      <c r="AA21" s="1559">
        <v>1</v>
      </c>
      <c r="AB21" s="1559">
        <v>1</v>
      </c>
      <c r="AC21" s="1559">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19"/>
      <c r="Q22" s="1555" t="str">
        <f>B22</f>
        <v>楼层</v>
      </c>
      <c r="R22" s="1556" t="s">
        <v>8</v>
      </c>
      <c r="S22" s="1557">
        <f>F22</f>
        <v>100</v>
      </c>
      <c r="T22" s="1556" t="s">
        <v>8</v>
      </c>
      <c r="U22" s="1557">
        <f>H22</f>
        <v>100</v>
      </c>
      <c r="V22" s="1556" t="s">
        <v>8</v>
      </c>
      <c r="W22" s="1557">
        <f>J22</f>
        <v>100</v>
      </c>
      <c r="X22" s="1550"/>
      <c r="Y22" s="3419"/>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19"/>
      <c r="Q23" s="1555">
        <f>B23</f>
        <v>111</v>
      </c>
      <c r="R23" s="1556" t="s">
        <v>8</v>
      </c>
      <c r="S23" s="1557">
        <f>F23</f>
        <v>100</v>
      </c>
      <c r="T23" s="1556" t="s">
        <v>8</v>
      </c>
      <c r="U23" s="1557">
        <f>H23</f>
        <v>100</v>
      </c>
      <c r="V23" s="1556" t="s">
        <v>8</v>
      </c>
      <c r="W23" s="1557">
        <f>J23</f>
        <v>100</v>
      </c>
      <c r="X23" s="1550"/>
      <c r="Y23" s="3419"/>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19"/>
      <c r="Q24" s="1555">
        <f t="shared" ref="Q24:Q34" si="11">B24</f>
        <v>111</v>
      </c>
      <c r="R24" s="1556" t="s">
        <v>8</v>
      </c>
      <c r="S24" s="1557">
        <f>F24</f>
        <v>100</v>
      </c>
      <c r="T24" s="1556" t="s">
        <v>8</v>
      </c>
      <c r="U24" s="1557">
        <f>H24</f>
        <v>100</v>
      </c>
      <c r="V24" s="1556" t="s">
        <v>8</v>
      </c>
      <c r="W24" s="1557">
        <f>J24</f>
        <v>100</v>
      </c>
      <c r="X24" s="1550"/>
      <c r="Y24" s="3419"/>
      <c r="Z24" s="1558">
        <f>Q24</f>
        <v>111</v>
      </c>
      <c r="AA24" s="1559">
        <f t="shared" si="3"/>
        <v>1</v>
      </c>
      <c r="AB24" s="1559">
        <f t="shared" si="4"/>
        <v>1</v>
      </c>
      <c r="AC24" s="1559">
        <f t="shared" si="5"/>
        <v>1</v>
      </c>
    </row>
    <row r="25" spans="1:29" s="1214"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19"/>
      <c r="Q25" s="1145">
        <f t="shared" si="11"/>
        <v>111</v>
      </c>
      <c r="R25" s="1551" t="s">
        <v>8</v>
      </c>
      <c r="S25" s="1552">
        <f>F25</f>
        <v>100</v>
      </c>
      <c r="T25" s="1551" t="s">
        <v>8</v>
      </c>
      <c r="U25" s="1552">
        <f>H25</f>
        <v>100</v>
      </c>
      <c r="V25" s="1551" t="s">
        <v>8</v>
      </c>
      <c r="W25" s="1552">
        <f>J25</f>
        <v>100</v>
      </c>
      <c r="X25" s="1553"/>
      <c r="Y25" s="3419"/>
      <c r="Z25" s="1144">
        <f>Q25</f>
        <v>111</v>
      </c>
      <c r="AA25" s="1559">
        <f>D25/F25</f>
        <v>1</v>
      </c>
      <c r="AB25" s="1559">
        <f>D25/H25</f>
        <v>1</v>
      </c>
      <c r="AC25" s="1559">
        <f>D25/J25</f>
        <v>1</v>
      </c>
    </row>
    <row r="26" spans="1:29" ht="15">
      <c r="A26" s="2859" t="s">
        <v>2752</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20" t="s">
        <v>820</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1" t="s">
        <v>820</v>
      </c>
      <c r="Z26" s="1558" t="str">
        <f t="shared" ref="Z26:Z34" si="15">Q26</f>
        <v>公共部分装修</v>
      </c>
      <c r="AA26" s="1559">
        <f t="shared" si="3"/>
        <v>1</v>
      </c>
      <c r="AB26" s="1559">
        <f t="shared" si="4"/>
        <v>1</v>
      </c>
      <c r="AC26" s="1559">
        <f t="shared" si="5"/>
        <v>1</v>
      </c>
    </row>
    <row r="27" spans="1:29" s="1333"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21"/>
      <c r="Q27" s="1587" t="str">
        <f t="shared" si="11"/>
        <v>成新率</v>
      </c>
      <c r="R27" s="1560" t="s">
        <v>8</v>
      </c>
      <c r="S27" s="1561" t="e">
        <f t="shared" si="12"/>
        <v>#N/A</v>
      </c>
      <c r="T27" s="1560" t="s">
        <v>8</v>
      </c>
      <c r="U27" s="1561" t="e">
        <f t="shared" si="13"/>
        <v>#N/A</v>
      </c>
      <c r="V27" s="1560" t="s">
        <v>8</v>
      </c>
      <c r="W27" s="1561" t="e">
        <f t="shared" si="14"/>
        <v>#N/A</v>
      </c>
      <c r="X27" s="1562"/>
      <c r="Y27" s="3421"/>
      <c r="Z27" s="1563" t="str">
        <f t="shared" si="15"/>
        <v>成新率</v>
      </c>
      <c r="AA27" s="1559" t="e">
        <f t="shared" si="3"/>
        <v>#N/A</v>
      </c>
      <c r="AB27" s="1559" t="e">
        <f t="shared" si="4"/>
        <v>#N/A</v>
      </c>
      <c r="AC27" s="1559"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1"/>
      <c r="Q28" s="1555" t="str">
        <f t="shared" si="11"/>
        <v>物业等级</v>
      </c>
      <c r="R28" s="1556" t="s">
        <v>8</v>
      </c>
      <c r="S28" s="1557">
        <f t="shared" si="12"/>
        <v>100</v>
      </c>
      <c r="T28" s="1556" t="s">
        <v>8</v>
      </c>
      <c r="U28" s="1557">
        <f t="shared" si="13"/>
        <v>100</v>
      </c>
      <c r="V28" s="1556" t="s">
        <v>8</v>
      </c>
      <c r="W28" s="1557">
        <f t="shared" si="14"/>
        <v>100</v>
      </c>
      <c r="X28" s="1550"/>
      <c r="Y28" s="3421"/>
      <c r="Z28" s="1558" t="str">
        <f t="shared" si="15"/>
        <v>物业等级</v>
      </c>
      <c r="AA28" s="1559">
        <f t="shared" si="3"/>
        <v>1</v>
      </c>
      <c r="AB28" s="1559">
        <f t="shared" si="4"/>
        <v>1</v>
      </c>
      <c r="AC28" s="1559">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21"/>
      <c r="Q29" s="1555" t="str">
        <f t="shared" si="11"/>
        <v>有无电梯</v>
      </c>
      <c r="R29" s="1556" t="s">
        <v>8</v>
      </c>
      <c r="S29" s="1557">
        <f t="shared" si="12"/>
        <v>100</v>
      </c>
      <c r="T29" s="1556" t="s">
        <v>8</v>
      </c>
      <c r="U29" s="1557">
        <f t="shared" si="13"/>
        <v>100</v>
      </c>
      <c r="V29" s="1556" t="s">
        <v>8</v>
      </c>
      <c r="W29" s="1557">
        <f t="shared" si="14"/>
        <v>100</v>
      </c>
      <c r="X29" s="1550"/>
      <c r="Y29" s="3421"/>
      <c r="Z29" s="1558" t="str">
        <f t="shared" si="15"/>
        <v>有无电梯</v>
      </c>
      <c r="AA29" s="1559">
        <f t="shared" si="3"/>
        <v>1</v>
      </c>
      <c r="AB29" s="1559">
        <f t="shared" si="4"/>
        <v>1</v>
      </c>
      <c r="AC29" s="1559">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21"/>
      <c r="Q30" s="1555" t="str">
        <f t="shared" si="11"/>
        <v>建筑面积</v>
      </c>
      <c r="R30" s="1556" t="s">
        <v>8</v>
      </c>
      <c r="S30" s="1557" t="e">
        <f t="shared" si="12"/>
        <v>#N/A</v>
      </c>
      <c r="T30" s="1556" t="s">
        <v>8</v>
      </c>
      <c r="U30" s="1557" t="e">
        <f t="shared" si="13"/>
        <v>#N/A</v>
      </c>
      <c r="V30" s="1556" t="s">
        <v>8</v>
      </c>
      <c r="W30" s="1557" t="e">
        <f t="shared" si="14"/>
        <v>#N/A</v>
      </c>
      <c r="X30" s="1550"/>
      <c r="Y30" s="3421"/>
      <c r="Z30" s="1558" t="str">
        <f t="shared" si="15"/>
        <v>建筑面积</v>
      </c>
      <c r="AA30" s="1559" t="e">
        <f t="shared" si="3"/>
        <v>#N/A</v>
      </c>
      <c r="AB30" s="1559" t="e">
        <f t="shared" si="4"/>
        <v>#N/A</v>
      </c>
      <c r="AC30" s="1559" t="e">
        <f t="shared" si="5"/>
        <v>#N/A</v>
      </c>
    </row>
    <row r="31" spans="1:29" s="1214"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21"/>
      <c r="Q31" s="1145" t="str">
        <f t="shared" si="11"/>
        <v>是否封闭</v>
      </c>
      <c r="R31" s="1551" t="s">
        <v>8</v>
      </c>
      <c r="S31" s="1552">
        <f t="shared" si="12"/>
        <v>100</v>
      </c>
      <c r="T31" s="1551" t="s">
        <v>8</v>
      </c>
      <c r="U31" s="1552">
        <f t="shared" si="13"/>
        <v>100</v>
      </c>
      <c r="V31" s="1551" t="s">
        <v>8</v>
      </c>
      <c r="W31" s="1552">
        <f t="shared" si="14"/>
        <v>100</v>
      </c>
      <c r="X31" s="1553"/>
      <c r="Y31" s="3421"/>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21" t="s">
        <v>550</v>
      </c>
      <c r="Q32" s="1555">
        <f t="shared" si="11"/>
        <v>111</v>
      </c>
      <c r="R32" s="1556" t="s">
        <v>8</v>
      </c>
      <c r="S32" s="1557">
        <f t="shared" si="12"/>
        <v>100</v>
      </c>
      <c r="T32" s="1556" t="s">
        <v>8</v>
      </c>
      <c r="U32" s="1557">
        <f t="shared" si="13"/>
        <v>100</v>
      </c>
      <c r="V32" s="1556" t="s">
        <v>8</v>
      </c>
      <c r="W32" s="1557">
        <f t="shared" si="14"/>
        <v>100</v>
      </c>
      <c r="X32" s="1550"/>
      <c r="Y32" s="3421"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21"/>
      <c r="Q33" s="1555">
        <f t="shared" si="11"/>
        <v>111</v>
      </c>
      <c r="R33" s="1556" t="s">
        <v>8</v>
      </c>
      <c r="S33" s="1557">
        <f t="shared" si="12"/>
        <v>100</v>
      </c>
      <c r="T33" s="1556" t="s">
        <v>8</v>
      </c>
      <c r="U33" s="1557">
        <f t="shared" si="13"/>
        <v>100</v>
      </c>
      <c r="V33" s="1556" t="s">
        <v>8</v>
      </c>
      <c r="W33" s="1557">
        <f t="shared" si="14"/>
        <v>100</v>
      </c>
      <c r="X33" s="1550"/>
      <c r="Y33" s="3421"/>
      <c r="Z33" s="1558">
        <f t="shared" si="15"/>
        <v>111</v>
      </c>
      <c r="AA33" s="1559">
        <f t="shared" si="3"/>
        <v>1</v>
      </c>
      <c r="AB33" s="1559">
        <f t="shared" si="4"/>
        <v>1</v>
      </c>
      <c r="AC33" s="1559">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21"/>
      <c r="Q34" s="1555">
        <f t="shared" si="11"/>
        <v>111</v>
      </c>
      <c r="R34" s="1556" t="s">
        <v>8</v>
      </c>
      <c r="S34" s="1557">
        <f t="shared" si="12"/>
        <v>100</v>
      </c>
      <c r="T34" s="1556" t="s">
        <v>8</v>
      </c>
      <c r="U34" s="1557">
        <f t="shared" si="13"/>
        <v>100</v>
      </c>
      <c r="V34" s="1556" t="s">
        <v>8</v>
      </c>
      <c r="W34" s="1557">
        <f t="shared" si="14"/>
        <v>100</v>
      </c>
      <c r="X34" s="1550"/>
      <c r="Y34" s="3421"/>
      <c r="Z34" s="1558">
        <f t="shared" si="15"/>
        <v>111</v>
      </c>
      <c r="AA34" s="1559">
        <f t="shared" si="3"/>
        <v>1</v>
      </c>
      <c r="AB34" s="1559">
        <f t="shared" si="4"/>
        <v>1</v>
      </c>
      <c r="AC34" s="1559">
        <f t="shared" si="5"/>
        <v>1</v>
      </c>
    </row>
    <row r="35" spans="1:29" ht="14.4">
      <c r="A35" s="605" t="s">
        <v>735</v>
      </c>
      <c r="B35" s="885"/>
      <c r="C35" s="2588" t="s">
        <v>1</v>
      </c>
      <c r="D35" s="2589"/>
      <c r="E35" s="2590"/>
      <c r="F35" s="2591"/>
      <c r="G35" s="2592"/>
      <c r="H35" s="2593"/>
      <c r="I35" s="2590"/>
      <c r="J35" s="2593"/>
      <c r="K35" s="1593"/>
      <c r="L35" s="2126"/>
      <c r="M35" s="2127"/>
      <c r="N35" s="2116"/>
      <c r="O35" s="2127"/>
      <c r="P35" s="3381" t="str">
        <f>A35</f>
        <v>成交单价（元/平方米）</v>
      </c>
      <c r="Q35" s="3381"/>
      <c r="R35" s="3476">
        <f>E35</f>
        <v>0</v>
      </c>
      <c r="S35" s="3476"/>
      <c r="T35" s="3476">
        <f>G35</f>
        <v>0</v>
      </c>
      <c r="U35" s="3476"/>
      <c r="V35" s="3476">
        <f>I35</f>
        <v>0</v>
      </c>
      <c r="W35" s="3476"/>
      <c r="X35" s="1542"/>
      <c r="Y35" s="1564"/>
      <c r="Z35" s="1542"/>
      <c r="AA35" s="1542"/>
      <c r="AB35" s="1542"/>
      <c r="AC35" s="1542"/>
    </row>
    <row r="36" spans="1:29" ht="15" thickBot="1">
      <c r="A36" s="613" t="s">
        <v>2757</v>
      </c>
      <c r="B36" s="886"/>
      <c r="C36" s="2594" t="e">
        <f>R37</f>
        <v>#DIV/0!</v>
      </c>
      <c r="D36" s="2595"/>
      <c r="E36" s="2596" t="e">
        <f>R36</f>
        <v>#DIV/0!</v>
      </c>
      <c r="F36" s="2596"/>
      <c r="G36" s="2594" t="e">
        <f>T36</f>
        <v>#DIV/0!</v>
      </c>
      <c r="H36" s="2595"/>
      <c r="I36" s="2596" t="e">
        <f>V36</f>
        <v>#DIV/0!</v>
      </c>
      <c r="J36" s="2595"/>
      <c r="K36" s="1594"/>
      <c r="L36" s="2126"/>
      <c r="M36" s="2127"/>
      <c r="N36" s="2116"/>
      <c r="O36" s="2127"/>
      <c r="P36" s="3381" t="str">
        <f>A36</f>
        <v>比较价格（元/平方米）</v>
      </c>
      <c r="Q36" s="3381"/>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42"/>
      <c r="Y36" s="1542"/>
      <c r="Z36" s="1542"/>
      <c r="AA36" s="1542"/>
      <c r="AB36" s="1542"/>
      <c r="AC36" s="1542"/>
    </row>
    <row r="37" spans="1:29" ht="15" thickBot="1">
      <c r="A37" s="619" t="s">
        <v>2924</v>
      </c>
      <c r="B37" s="620"/>
      <c r="C37" s="2597" t="e">
        <f>R37</f>
        <v>#DIV/0!</v>
      </c>
      <c r="D37" s="2597"/>
      <c r="E37" s="2597"/>
      <c r="F37" s="2597"/>
      <c r="G37" s="2597"/>
      <c r="H37" s="2597"/>
      <c r="I37" s="2597"/>
      <c r="J37" s="2597"/>
      <c r="K37" s="1595"/>
      <c r="L37" s="2126"/>
      <c r="M37" s="2127"/>
      <c r="N37" s="2127"/>
      <c r="O37" s="2127"/>
      <c r="P37" s="3378" t="str">
        <f>A37</f>
        <v>估价对象XX用房的比较价格（楼面单价，元/平方米）</v>
      </c>
      <c r="Q37" s="3379"/>
      <c r="R37" s="3475" t="e">
        <f>IF(F1="售价",ROUND(AVERAGE(R36:V36),0),ROUND(AVERAGE(R36:V36),1))</f>
        <v>#DIV/0!</v>
      </c>
      <c r="S37" s="3475"/>
      <c r="T37" s="3475"/>
      <c r="U37" s="3475"/>
      <c r="V37" s="3475"/>
      <c r="W37" s="3475"/>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3" t="s">
        <v>529</v>
      </c>
      <c r="B46" s="644"/>
      <c r="C46" s="2754" t="str">
        <f>YEAR(C7)&amp;"-"&amp;MONTH(C7)</f>
        <v>2020-1</v>
      </c>
      <c r="D46" s="2756">
        <f>EDATE(C46,-1)</f>
        <v>43800</v>
      </c>
      <c r="E46" s="2756">
        <f t="shared" ref="E46:O46" si="16">EDATE(D46,-1)</f>
        <v>43770</v>
      </c>
      <c r="F46" s="2756">
        <f t="shared" si="16"/>
        <v>43739</v>
      </c>
      <c r="G46" s="2756">
        <f t="shared" si="16"/>
        <v>43709</v>
      </c>
      <c r="H46" s="2756">
        <f t="shared" si="16"/>
        <v>43678</v>
      </c>
      <c r="I46" s="2756">
        <f t="shared" si="16"/>
        <v>43647</v>
      </c>
      <c r="J46" s="2756">
        <f t="shared" si="16"/>
        <v>43617</v>
      </c>
      <c r="K46" s="2756">
        <f t="shared" si="16"/>
        <v>43586</v>
      </c>
      <c r="L46" s="2756">
        <f t="shared" si="16"/>
        <v>43556</v>
      </c>
      <c r="M46" s="2756">
        <f t="shared" si="16"/>
        <v>43525</v>
      </c>
      <c r="N46" s="2756">
        <f t="shared" si="16"/>
        <v>43497</v>
      </c>
      <c r="O46" s="2756">
        <f t="shared" si="16"/>
        <v>43466</v>
      </c>
      <c r="P46" s="2142"/>
      <c r="Q46" s="2143"/>
      <c r="R46" s="2143"/>
      <c r="S46" s="2143"/>
      <c r="T46" s="2143"/>
      <c r="U46" s="2143"/>
      <c r="V46" s="2143"/>
      <c r="W46" s="2143"/>
      <c r="X46" s="2143"/>
      <c r="Y46" s="2143"/>
      <c r="Z46" s="2143"/>
      <c r="AA46" s="2143"/>
      <c r="AB46" s="2143"/>
      <c r="AC46" s="2143"/>
    </row>
    <row r="47" spans="1:29" s="1214" customFormat="1">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4.4">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4.4"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ht="14.4">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4.4"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9.4" thickTop="1">
      <c r="A53" s="667"/>
      <c r="B53" s="671" t="s">
        <v>537</v>
      </c>
      <c r="C53" s="672" t="s">
        <v>736</v>
      </c>
      <c r="D53" s="672" t="s">
        <v>737</v>
      </c>
      <c r="E53" s="672" t="s">
        <v>738</v>
      </c>
      <c r="F53" s="672" t="s">
        <v>739</v>
      </c>
      <c r="G53" s="672" t="s">
        <v>740</v>
      </c>
      <c r="H53" s="672" t="s">
        <v>741</v>
      </c>
      <c r="I53" s="672" t="s">
        <v>742</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4.4"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4.4"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4.4"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4.4"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4.4"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4.4"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 thickTop="1">
      <c r="A67" s="667"/>
      <c r="B67" s="671" t="s">
        <v>743</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 thickTop="1">
      <c r="A69" s="667"/>
      <c r="B69" s="671" t="s">
        <v>744</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4.4"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4.4"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4.4"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4.4"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750</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816</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824</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826</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4.4"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4.4"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4.4"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4.4"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4.4"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2300</v>
      </c>
      <c r="C1" s="3510" t="s">
        <v>2301</v>
      </c>
      <c r="D1" s="3511"/>
      <c r="E1" s="3511"/>
      <c r="F1" s="3511"/>
      <c r="G1" s="3511"/>
      <c r="H1" s="3511"/>
      <c r="I1" s="3511"/>
      <c r="J1" s="3511"/>
      <c r="K1" s="3511"/>
      <c r="L1" s="3511"/>
      <c r="M1" s="3511"/>
      <c r="N1" s="3511"/>
      <c r="O1" s="3511"/>
      <c r="P1" s="3511"/>
      <c r="Q1" s="3511"/>
      <c r="R1" s="3511"/>
      <c r="S1" s="3512"/>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2917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2916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2915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2928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6">
      <c r="A20" s="958" t="s">
        <v>827</v>
      </c>
      <c r="B20" s="773">
        <f>S22</f>
        <v>0</v>
      </c>
      <c r="C20" s="1972"/>
      <c r="D20" s="1972"/>
      <c r="E20" s="1972"/>
      <c r="F20" s="1972"/>
      <c r="G20" s="1972"/>
      <c r="H20" s="1972"/>
      <c r="I20" s="1972"/>
      <c r="J20" s="1972"/>
      <c r="K20" s="1972"/>
      <c r="L20" s="1972"/>
      <c r="M20" s="1972"/>
      <c r="N20" s="1972"/>
      <c r="O20" s="1972"/>
      <c r="P20" s="1972"/>
      <c r="Q20" s="1972"/>
      <c r="R20" s="2207"/>
      <c r="S20" s="2010"/>
    </row>
    <row r="21" spans="1:45" ht="15.6">
      <c r="A21" s="958" t="s">
        <v>828</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0</v>
      </c>
      <c r="C22" s="3507" t="s">
        <v>20</v>
      </c>
      <c r="D22" s="3508"/>
      <c r="E22" s="3508"/>
      <c r="F22" s="3508"/>
      <c r="G22" s="3508"/>
      <c r="H22" s="3508"/>
      <c r="I22" s="3508"/>
      <c r="J22" s="3508"/>
      <c r="K22" s="3508"/>
      <c r="L22" s="3508"/>
      <c r="M22" s="3508"/>
      <c r="N22" s="3508"/>
      <c r="O22" s="3508"/>
      <c r="P22" s="3508"/>
      <c r="Q22" s="3509"/>
      <c r="R22" s="488" t="e">
        <f>ROUND(S22*10000/B22,0)</f>
        <v>#DIV/0!</v>
      </c>
      <c r="S22" s="53">
        <f>SUM(S24:S10000)</f>
        <v>0</v>
      </c>
    </row>
    <row r="23" spans="1:45" s="1596"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597"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2785</v>
      </c>
      <c r="C1" s="2956">
        <f>项目基本情况!D3</f>
        <v>43832</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0" sqref="P40"/>
    </sheetView>
  </sheetViews>
  <sheetFormatPr defaultRowHeight="14.4"/>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6" t="s">
        <v>2035</v>
      </c>
      <c r="B1" s="3216"/>
      <c r="C1" s="3216"/>
      <c r="D1" s="3216"/>
      <c r="E1" s="3216"/>
      <c r="F1" s="3216"/>
      <c r="G1" s="3216"/>
      <c r="H1" s="3216"/>
      <c r="I1" s="3216"/>
      <c r="J1" s="3216"/>
      <c r="K1" s="3216"/>
      <c r="L1" s="3216"/>
      <c r="M1" s="3216"/>
      <c r="N1" s="3216"/>
      <c r="O1" s="3216"/>
      <c r="P1" s="3216"/>
      <c r="Q1" s="3216"/>
      <c r="R1" s="3216"/>
    </row>
    <row r="2" spans="1:18">
      <c r="A2" s="1789" t="s">
        <v>2037</v>
      </c>
      <c r="B2" s="1789"/>
      <c r="C2" s="1789"/>
      <c r="D2" s="1789"/>
      <c r="E2" s="1789"/>
      <c r="F2" s="1789"/>
      <c r="G2" s="1789"/>
      <c r="H2" s="1789"/>
      <c r="I2" s="1790"/>
      <c r="J2" s="1790"/>
      <c r="K2" s="1791" t="str">
        <f>"估价期日："&amp;TEXT(项目基本情况!D3,"yyyy年m月d日;;")</f>
        <v>估价期日：2020年1月2日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7" t="s">
        <v>2026</v>
      </c>
      <c r="B3" s="3217" t="s">
        <v>2728</v>
      </c>
      <c r="C3" s="3218" t="s">
        <v>2027</v>
      </c>
      <c r="D3" s="3217" t="s">
        <v>2732</v>
      </c>
      <c r="E3" s="3212" t="s">
        <v>2028</v>
      </c>
      <c r="F3" s="3212"/>
      <c r="G3" s="3212"/>
      <c r="H3" s="3212" t="s">
        <v>2029</v>
      </c>
      <c r="I3" s="3212"/>
      <c r="J3" s="3212"/>
      <c r="K3" s="3218" t="s">
        <v>2030</v>
      </c>
      <c r="L3" s="3218" t="s">
        <v>2031</v>
      </c>
      <c r="M3" s="3217" t="s">
        <v>2729</v>
      </c>
      <c r="N3" s="3219" t="str">
        <f>"（分摊）"&amp;项目基本情况!B16&amp;"国有建设用地使用权面积/㎡"</f>
        <v>（分摊）出让国有建设用地使用权面积/㎡</v>
      </c>
      <c r="O3" s="3217" t="s">
        <v>2060</v>
      </c>
      <c r="P3" s="3218" t="s">
        <v>2040</v>
      </c>
      <c r="Q3" s="3218" t="s">
        <v>2061</v>
      </c>
      <c r="R3" s="3218" t="s">
        <v>2032</v>
      </c>
    </row>
    <row r="4" spans="1:18" ht="36.75" customHeight="1">
      <c r="A4" s="3217"/>
      <c r="B4" s="3217"/>
      <c r="C4" s="3218"/>
      <c r="D4" s="3217"/>
      <c r="E4" s="2610" t="s">
        <v>2039</v>
      </c>
      <c r="F4" s="2610" t="s">
        <v>2741</v>
      </c>
      <c r="G4" s="2610" t="s">
        <v>2033</v>
      </c>
      <c r="H4" s="2610" t="s">
        <v>2034</v>
      </c>
      <c r="I4" s="2610" t="s">
        <v>2742</v>
      </c>
      <c r="J4" s="2610" t="s">
        <v>2033</v>
      </c>
      <c r="K4" s="3218"/>
      <c r="L4" s="3218"/>
      <c r="M4" s="3217"/>
      <c r="N4" s="3219"/>
      <c r="O4" s="3217"/>
      <c r="P4" s="3218"/>
      <c r="Q4" s="3218"/>
      <c r="R4" s="3218"/>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34964.49</v>
      </c>
      <c r="O5" s="1792">
        <f>项目基本情况!C21</f>
        <v>109310.18</v>
      </c>
      <c r="P5" s="1792">
        <f ca="1">结果表!E42</f>
        <v>73205</v>
      </c>
      <c r="Q5" s="1792">
        <f ca="1">结果表!D42</f>
        <v>23416</v>
      </c>
      <c r="R5" s="1793">
        <f ca="1">结果表!C42</f>
        <v>255958</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4" t="str">
        <f>结果表!O39</f>
        <v>——</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4">
        <f ca="1">结果表!O40</f>
        <v>253933</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21" t="s">
        <v>2062</v>
      </c>
      <c r="B1" s="3221"/>
      <c r="C1" s="3221"/>
      <c r="D1" s="3221"/>
    </row>
    <row r="2" spans="1:4" ht="47.25" customHeight="1">
      <c r="A2" s="3222" t="str">
        <f>"1.权利限制："&amp;项目基本情况!L24&amp;"未设定租赁等其他他项权利。"</f>
        <v>1.权利限制：根据估价对象《不动产权证书》复印件、，截至估价期日，估价对象已设定抵押。未设定租赁等其他他项权利。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2063</v>
      </c>
      <c r="B5" s="3220"/>
      <c r="C5" s="3220"/>
      <c r="D5" s="3220"/>
    </row>
    <row r="6" spans="1:4">
      <c r="A6" s="3221" t="s">
        <v>2041</v>
      </c>
      <c r="B6" s="3221"/>
      <c r="C6" s="3221"/>
      <c r="D6" s="3221"/>
    </row>
    <row r="7" spans="1:4" ht="33" customHeight="1">
      <c r="A7" s="3221" t="s">
        <v>2572</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2065</v>
      </c>
      <c r="B12" s="3220"/>
      <c r="C12" s="3220"/>
      <c r="D12" s="3220"/>
    </row>
    <row r="13" spans="1:4">
      <c r="A13" s="3224" t="s">
        <v>2743</v>
      </c>
      <c r="B13" s="3224"/>
      <c r="C13" s="3224"/>
      <c r="D13" s="3224"/>
    </row>
    <row r="14" spans="1:4">
      <c r="A14" s="3223" t="str">
        <f>IF(项目基本情况!B8="抵押","综上，"&amp;结果表!K47,"——")</f>
        <v>综上，本次评估估价师知悉的法定优先受偿款为人民币2025万元整。</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2699</v>
      </c>
      <c r="B17" s="3221"/>
      <c r="C17" s="3221"/>
      <c r="D17" s="3221"/>
    </row>
    <row r="18" spans="1:4">
      <c r="A18" s="3221" t="s">
        <v>2691</v>
      </c>
      <c r="B18" s="3221"/>
      <c r="C18" s="3221"/>
      <c r="D18" s="3221"/>
    </row>
    <row r="19" spans="1:4">
      <c r="A19" s="2820" t="s">
        <v>2692</v>
      </c>
      <c r="B19" s="2820" t="s">
        <v>2693</v>
      </c>
      <c r="C19" s="2820" t="s">
        <v>2694</v>
      </c>
      <c r="D19" s="2820" t="s">
        <v>2695</v>
      </c>
    </row>
    <row r="20" spans="1:4">
      <c r="A20" s="2820" t="str">
        <f>项目基本情况!B4</f>
        <v>王鹏</v>
      </c>
      <c r="B20" s="2820">
        <f ca="1">项目基本情况!C4</f>
        <v>2002110030</v>
      </c>
      <c r="C20" s="2822"/>
      <c r="D20" s="1782" t="s">
        <v>2700</v>
      </c>
    </row>
    <row r="21" spans="1:4">
      <c r="A21" s="2820" t="str">
        <f>项目基本情况!D4</f>
        <v>郑燚</v>
      </c>
      <c r="B21" s="2820">
        <f ca="1">项目基本情况!E4</f>
        <v>2014110011</v>
      </c>
      <c r="C21" s="2822"/>
      <c r="D21" s="1782" t="s">
        <v>2701</v>
      </c>
    </row>
    <row r="23" spans="1:4">
      <c r="A23" s="3221" t="s">
        <v>2696</v>
      </c>
      <c r="B23" s="3221"/>
      <c r="C23" s="3221"/>
      <c r="D23" s="3221"/>
    </row>
    <row r="24" spans="1:4">
      <c r="A24" s="2820" t="s">
        <v>2692</v>
      </c>
      <c r="B24" s="2820" t="s">
        <v>2697</v>
      </c>
      <c r="C24" s="2820" t="s">
        <v>2694</v>
      </c>
      <c r="D24" s="2820" t="s">
        <v>2695</v>
      </c>
    </row>
    <row r="25" spans="1:4">
      <c r="A25" s="2823" t="s">
        <v>2698</v>
      </c>
      <c r="B25" s="2820" t="s">
        <v>951</v>
      </c>
      <c r="C25" s="2822"/>
      <c r="D25" s="1782" t="s">
        <v>2701</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4">
      <c r="A15" s="3232" t="s">
        <v>53</v>
      </c>
      <c r="B15" s="3233" t="s">
        <v>845</v>
      </c>
      <c r="C15" s="3229"/>
    </row>
    <row r="16" spans="1:7" ht="14.4">
      <c r="A16" s="3232"/>
      <c r="B16" s="3230" t="s">
        <v>54</v>
      </c>
      <c r="C16" s="1166" t="s">
        <v>53</v>
      </c>
    </row>
    <row r="17" spans="1:3" ht="14.4">
      <c r="A17" s="3232"/>
      <c r="B17" s="3230"/>
      <c r="C17" s="1166" t="s">
        <v>55</v>
      </c>
    </row>
    <row r="18" spans="1:3" ht="14.4">
      <c r="A18" s="3232"/>
      <c r="B18" s="3230"/>
      <c r="C18" s="1166" t="s">
        <v>56</v>
      </c>
    </row>
    <row r="19" spans="1:3" ht="14.4">
      <c r="A19" s="3232"/>
      <c r="B19" s="3228" t="s">
        <v>57</v>
      </c>
      <c r="C19" s="3229"/>
    </row>
    <row r="20" spans="1:3" ht="14.4">
      <c r="A20" s="1167" t="s">
        <v>58</v>
      </c>
      <c r="B20" s="1168"/>
      <c r="C20" s="1169"/>
    </row>
    <row r="21" spans="1:3" ht="14.4">
      <c r="A21" s="3231" t="s">
        <v>59</v>
      </c>
      <c r="B21" s="3228" t="s">
        <v>60</v>
      </c>
      <c r="C21" s="3229"/>
    </row>
    <row r="22" spans="1:3" ht="14.4">
      <c r="A22" s="3231"/>
      <c r="B22" s="3228" t="s">
        <v>61</v>
      </c>
      <c r="C22" s="3229"/>
    </row>
    <row r="23" spans="1:3" ht="14.4">
      <c r="A23" s="3231"/>
      <c r="B23" s="3228" t="s">
        <v>62</v>
      </c>
      <c r="C23" s="3229"/>
    </row>
    <row r="24" spans="1:3" ht="14.4">
      <c r="A24" s="3231"/>
      <c r="B24" s="3234" t="s">
        <v>63</v>
      </c>
      <c r="C24" s="1170" t="s">
        <v>836</v>
      </c>
    </row>
    <row r="25" spans="1:3" ht="14.4">
      <c r="A25" s="3231"/>
      <c r="B25" s="3235"/>
      <c r="C25" s="1170" t="s">
        <v>837</v>
      </c>
    </row>
    <row r="26" spans="1:3" ht="14.4">
      <c r="A26" s="3231"/>
      <c r="B26" s="3235"/>
      <c r="C26" s="1170" t="s">
        <v>838</v>
      </c>
    </row>
    <row r="27" spans="1:3" ht="14.4">
      <c r="A27" s="3231"/>
      <c r="B27" s="3235"/>
      <c r="C27" s="1170" t="s">
        <v>839</v>
      </c>
    </row>
    <row r="28" spans="1:3" ht="14.4">
      <c r="A28" s="3231"/>
      <c r="B28" s="3235"/>
      <c r="C28" s="1170" t="s">
        <v>840</v>
      </c>
    </row>
    <row r="29" spans="1:3" ht="14.4">
      <c r="A29" s="3231"/>
      <c r="B29" s="3235"/>
      <c r="C29" s="1170" t="s">
        <v>841</v>
      </c>
    </row>
    <row r="30" spans="1:3" ht="14.4">
      <c r="A30" s="3231"/>
      <c r="B30" s="3235"/>
      <c r="C30" s="1170" t="s">
        <v>842</v>
      </c>
    </row>
    <row r="31" spans="1:3" ht="14.4">
      <c r="A31" s="3231"/>
      <c r="B31" s="3235"/>
      <c r="C31" s="1170" t="s">
        <v>843</v>
      </c>
    </row>
    <row r="32" spans="1:3" ht="14.4">
      <c r="A32" s="3231"/>
      <c r="B32" s="3235"/>
      <c r="C32" s="1170" t="s">
        <v>1645</v>
      </c>
    </row>
    <row r="33" spans="1:3" ht="14.4">
      <c r="A33" s="3231"/>
      <c r="B33" s="3225" t="s">
        <v>1651</v>
      </c>
      <c r="C33" s="1170" t="s">
        <v>1646</v>
      </c>
    </row>
    <row r="34" spans="1:3" ht="14.4">
      <c r="A34" s="3231"/>
      <c r="B34" s="3226"/>
      <c r="C34" s="1175" t="s">
        <v>1647</v>
      </c>
    </row>
    <row r="35" spans="1:3" ht="14.4">
      <c r="A35" s="3231"/>
      <c r="B35" s="3226"/>
      <c r="C35" s="1176" t="s">
        <v>1648</v>
      </c>
    </row>
    <row r="36" spans="1:3" ht="14.4">
      <c r="A36" s="3231"/>
      <c r="B36" s="3226"/>
      <c r="C36" s="1176" t="s">
        <v>1649</v>
      </c>
    </row>
    <row r="37" spans="1:3" ht="14.4">
      <c r="A37" s="3231"/>
      <c r="B37" s="3227"/>
      <c r="C37" s="1177" t="s">
        <v>1650</v>
      </c>
    </row>
    <row r="38" spans="1:3">
      <c r="A38" s="1171" t="s">
        <v>844</v>
      </c>
    </row>
    <row r="41" spans="1:3">
      <c r="A41" s="1171" t="s">
        <v>68</v>
      </c>
    </row>
    <row r="42" spans="1:3" ht="14.4">
      <c r="A42" s="1172" t="s">
        <v>852</v>
      </c>
    </row>
    <row r="43" spans="1:3" ht="14.4">
      <c r="A43" s="1173" t="s">
        <v>69</v>
      </c>
    </row>
    <row r="44" spans="1:3" ht="14.4">
      <c r="A44" s="1172" t="s">
        <v>851</v>
      </c>
    </row>
    <row r="45" spans="1:3" ht="14.4">
      <c r="A45" s="1174" t="s">
        <v>853</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1906</v>
      </c>
      <c r="B2" s="3123">
        <f ca="1">TODAY()</f>
        <v>43894</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t="str">
        <f ca="1">IF(C4&lt;B2,"已过期",1119970066)</f>
        <v>已过期</v>
      </c>
      <c r="C4" s="3129">
        <v>43849</v>
      </c>
      <c r="D4" s="3127" t="s">
        <v>1913</v>
      </c>
      <c r="E4" s="3127">
        <f ca="1">IF(F4&lt;B2,"已过期",96010014)</f>
        <v>96010014</v>
      </c>
      <c r="F4" s="3130">
        <v>47118</v>
      </c>
    </row>
    <row r="5" spans="1:6" ht="20.25" customHeight="1">
      <c r="A5" s="3127" t="s">
        <v>1914</v>
      </c>
      <c r="B5" s="3127" t="str">
        <f ca="1">IF(C5&lt;B2,"已过期",1119970074)</f>
        <v>已过期</v>
      </c>
      <c r="C5" s="3129">
        <v>43849</v>
      </c>
      <c r="D5" s="3127" t="s">
        <v>1914</v>
      </c>
      <c r="E5" s="3127">
        <f ca="1">IF(F5&lt;B2,"已过期",2002110027)</f>
        <v>2002110027</v>
      </c>
      <c r="F5" s="3130">
        <v>46752</v>
      </c>
    </row>
    <row r="6" spans="1:6" ht="20.25" customHeight="1">
      <c r="A6" s="3127" t="s">
        <v>1915</v>
      </c>
      <c r="B6" s="3127" t="str">
        <f ca="1">IF(C6&lt;B2,"已过期",1119970111)</f>
        <v>已过期</v>
      </c>
      <c r="C6" s="3129">
        <v>43849</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t="str">
        <f ca="1">IF(C8&lt;B2,"已过期",1120000080)</f>
        <v>已过期</v>
      </c>
      <c r="C8" s="3129">
        <v>43849</v>
      </c>
      <c r="D8" s="3127" t="s">
        <v>1917</v>
      </c>
      <c r="E8" s="3127">
        <f ca="1">IF(F8&lt;B2,"已过期",2000110082)</f>
        <v>2000110082</v>
      </c>
      <c r="F8" s="3130">
        <v>46387</v>
      </c>
    </row>
    <row r="9" spans="1:6" ht="20.25" customHeight="1">
      <c r="A9" s="3127" t="s">
        <v>1918</v>
      </c>
      <c r="B9" s="3127" t="str">
        <f ca="1">IF(C9&lt;B2,"已过期",1419970001)</f>
        <v>已过期</v>
      </c>
      <c r="C9" s="3129">
        <v>43867</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t="str">
        <f ca="1">IF(C13&lt;B2,"已过期",1120070131)</f>
        <v>已过期</v>
      </c>
      <c r="C13" s="3129">
        <v>43814</v>
      </c>
      <c r="D13" s="3127" t="s">
        <v>1921</v>
      </c>
      <c r="E13" s="3127">
        <f ca="1">IF(F13&lt;B2,"已过期",2014110011)</f>
        <v>2014110011</v>
      </c>
      <c r="F13" s="3130">
        <v>49302</v>
      </c>
    </row>
    <row r="14" spans="1:6" ht="20.25" customHeight="1">
      <c r="A14" s="3127" t="s">
        <v>2969</v>
      </c>
      <c r="B14" s="3127" t="str">
        <f ca="1">IF(C14&lt;B2,"已过期",1120040230)</f>
        <v>已过期</v>
      </c>
      <c r="C14" s="3131">
        <v>43835</v>
      </c>
      <c r="D14" s="3132" t="s">
        <v>2970</v>
      </c>
      <c r="E14" s="3127">
        <f ca="1">IF(F14&lt;B2,"已过期",98030020)</f>
        <v>98030020</v>
      </c>
      <c r="F14" s="3130">
        <v>47118</v>
      </c>
    </row>
    <row r="15" spans="1:6" ht="20.25" customHeight="1">
      <c r="A15" s="3127" t="s">
        <v>2571</v>
      </c>
      <c r="B15" s="3127" t="str">
        <f ca="1">IF(C15&lt;B2,"已过期",1120070085)</f>
        <v>已过期</v>
      </c>
      <c r="C15" s="3131">
        <v>43814</v>
      </c>
      <c r="D15" s="3127" t="s">
        <v>2971</v>
      </c>
      <c r="E15" s="3127">
        <f ca="1">IF(F15&lt;B2,"已过期",2004110128)</f>
        <v>2004110128</v>
      </c>
      <c r="F15" s="3133">
        <v>47118</v>
      </c>
    </row>
    <row r="16" spans="1:6" ht="20.25" customHeight="1">
      <c r="A16" s="3127" t="s">
        <v>1922</v>
      </c>
      <c r="B16" s="3127">
        <f ca="1">IF(C16&lt;B2,"已过期",1120140022)</f>
        <v>1120140022</v>
      </c>
      <c r="C16" s="3129">
        <v>44029</v>
      </c>
      <c r="D16" s="3127" t="s">
        <v>2972</v>
      </c>
      <c r="E16" s="3127">
        <f ca="1">IF(F16&lt;B2,"已过期",2008110059)</f>
        <v>2008110059</v>
      </c>
      <c r="F16" s="3130">
        <v>47177</v>
      </c>
    </row>
    <row r="17" spans="1:7" ht="20.25" customHeight="1">
      <c r="A17" s="3127"/>
      <c r="B17" s="3127"/>
      <c r="C17" s="3129"/>
      <c r="D17" s="3132" t="s">
        <v>2973</v>
      </c>
      <c r="E17" s="3127">
        <f ca="1">IF(F17&lt;B2,"已过期",2014110076)</f>
        <v>2014110076</v>
      </c>
      <c r="F17" s="3130">
        <v>49302</v>
      </c>
    </row>
    <row r="18" spans="1:7" ht="20.25" customHeight="1">
      <c r="A18" s="3127" t="s">
        <v>2986</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1923</v>
      </c>
      <c r="E21" s="3127">
        <f ca="1">IF(F21&lt;B2,"已过期",2011110090)</f>
        <v>2011110090</v>
      </c>
      <c r="F21" s="3130">
        <v>48302</v>
      </c>
    </row>
    <row r="22" spans="1:7" ht="20.25" customHeight="1">
      <c r="A22" s="3127" t="s">
        <v>1924</v>
      </c>
      <c r="B22" s="3127">
        <f ca="1">IF(C22&lt;B2,"已过期",1120020033)</f>
        <v>1120020033</v>
      </c>
      <c r="C22" s="3129">
        <v>44339</v>
      </c>
      <c r="D22" s="3127" t="s">
        <v>1924</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36" t="s">
        <v>1925</v>
      </c>
      <c r="B25" s="3236"/>
      <c r="C25" s="3236"/>
      <c r="D25" s="3236"/>
      <c r="E25" s="3236"/>
      <c r="F25" s="3236"/>
      <c r="G25" s="3236"/>
    </row>
    <row r="26" spans="1:7" ht="20.25" customHeight="1">
      <c r="A26" s="3237" t="s">
        <v>1926</v>
      </c>
      <c r="B26" s="3237"/>
      <c r="C26" s="3237"/>
      <c r="D26" s="3237" t="s">
        <v>1927</v>
      </c>
      <c r="E26" s="3237"/>
      <c r="F26" s="3237"/>
    </row>
    <row r="27" spans="1:7" s="3122" customFormat="1" ht="20.25" customHeight="1">
      <c r="A27" s="3136" t="s">
        <v>1928</v>
      </c>
      <c r="B27" s="3137" t="s">
        <v>1929</v>
      </c>
      <c r="C27" s="3137" t="s">
        <v>1930</v>
      </c>
      <c r="D27" s="3127" t="s">
        <v>1928</v>
      </c>
      <c r="E27" s="3137" t="s">
        <v>1929</v>
      </c>
      <c r="F27" s="3137" t="s">
        <v>1930</v>
      </c>
    </row>
    <row r="28" spans="1:7" s="3122" customFormat="1" ht="20.25" customHeight="1">
      <c r="A28" s="3138" t="s">
        <v>1931</v>
      </c>
      <c r="B28" s="3138" t="s">
        <v>1932</v>
      </c>
      <c r="C28" s="3130">
        <v>44820</v>
      </c>
      <c r="D28" s="3138" t="s">
        <v>1933</v>
      </c>
      <c r="E28" s="3138" t="s">
        <v>1934</v>
      </c>
      <c r="F28" s="3139">
        <v>44377</v>
      </c>
    </row>
    <row r="29" spans="1:7" s="3122" customFormat="1" ht="20.25" customHeight="1">
      <c r="A29" s="3138"/>
      <c r="B29" s="3138"/>
      <c r="C29" s="3140"/>
      <c r="D29" s="3138" t="s">
        <v>1935</v>
      </c>
      <c r="E29" s="3138" t="s">
        <v>2987</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Y21" sqref="Y21"/>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2" t="s">
        <v>873</v>
      </c>
    </row>
    <row r="2" spans="1:23" ht="14.4">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ht="14.4">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875</v>
      </c>
    </row>
    <row r="4" spans="1:23" ht="14.4">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ht="14.4">
      <c r="A5" s="8" t="s">
        <v>94</v>
      </c>
      <c r="B5" s="8" t="s">
        <v>153</v>
      </c>
      <c r="C5" s="1534" t="s">
        <v>1711</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877</v>
      </c>
    </row>
    <row r="6" spans="1:23" ht="14.4">
      <c r="A6" s="8" t="s">
        <v>99</v>
      </c>
      <c r="B6" s="1143" t="s">
        <v>1639</v>
      </c>
      <c r="C6" s="1536" t="s">
        <v>1712</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ht="14.4">
      <c r="A7" s="8" t="s">
        <v>102</v>
      </c>
      <c r="B7" s="8" t="s">
        <v>103</v>
      </c>
      <c r="C7" s="1534" t="s">
        <v>1713</v>
      </c>
      <c r="F7" s="9" t="s">
        <v>154</v>
      </c>
      <c r="H7" s="9" t="s">
        <v>104</v>
      </c>
      <c r="I7" s="9" t="s">
        <v>105</v>
      </c>
    </row>
    <row r="8" spans="1:23" ht="14.4">
      <c r="A8" s="8" t="s">
        <v>106</v>
      </c>
      <c r="B8" s="8" t="s">
        <v>107</v>
      </c>
      <c r="C8" s="1534" t="s">
        <v>1714</v>
      </c>
      <c r="F8" s="9" t="s">
        <v>155</v>
      </c>
      <c r="H8" s="9"/>
      <c r="I8" s="9" t="s">
        <v>108</v>
      </c>
    </row>
    <row r="9" spans="1:23" ht="14.4">
      <c r="A9" s="8" t="s">
        <v>109</v>
      </c>
      <c r="B9" s="8" t="s">
        <v>156</v>
      </c>
      <c r="C9" s="1534" t="s">
        <v>1715</v>
      </c>
      <c r="F9" s="9" t="s">
        <v>110</v>
      </c>
      <c r="H9" s="9"/>
    </row>
    <row r="10" spans="1:23" ht="14.4">
      <c r="A10" s="8" t="s">
        <v>111</v>
      </c>
      <c r="B10" s="8" t="s">
        <v>157</v>
      </c>
      <c r="C10" s="1534" t="s">
        <v>1716</v>
      </c>
      <c r="F10" s="9" t="s">
        <v>6</v>
      </c>
    </row>
    <row r="11" spans="1:23" ht="14.4">
      <c r="A11" s="8" t="s">
        <v>112</v>
      </c>
      <c r="B11" s="8" t="s">
        <v>158</v>
      </c>
      <c r="C11" s="1534" t="s">
        <v>1717</v>
      </c>
    </row>
    <row r="12" spans="1:23" ht="14.4">
      <c r="A12" s="8" t="s">
        <v>113</v>
      </c>
      <c r="B12" s="8" t="s">
        <v>159</v>
      </c>
      <c r="C12" s="1534" t="s">
        <v>1718</v>
      </c>
    </row>
    <row r="13" spans="1:23" ht="14.4">
      <c r="A13" s="8" t="s">
        <v>114</v>
      </c>
      <c r="B13" s="8" t="s">
        <v>160</v>
      </c>
      <c r="C13" s="1534" t="s">
        <v>1719</v>
      </c>
    </row>
    <row r="14" spans="1:23" ht="14.4">
      <c r="A14" s="8" t="s">
        <v>115</v>
      </c>
      <c r="B14" s="8" t="s">
        <v>161</v>
      </c>
      <c r="C14" s="1537" t="s">
        <v>1895</v>
      </c>
    </row>
    <row r="15" spans="1:23" ht="14.4">
      <c r="A15" s="8" t="s">
        <v>116</v>
      </c>
      <c r="B15" s="8" t="s">
        <v>1680</v>
      </c>
      <c r="C15" s="1537"/>
    </row>
    <row r="16" spans="1:23" ht="14.4">
      <c r="A16" s="8" t="s">
        <v>117</v>
      </c>
      <c r="B16" s="8" t="s">
        <v>1681</v>
      </c>
      <c r="C16" s="1537"/>
    </row>
    <row r="17" spans="1:3" ht="14.4">
      <c r="A17" s="8" t="s">
        <v>118</v>
      </c>
      <c r="B17" s="8" t="s">
        <v>1682</v>
      </c>
      <c r="C17" s="1537"/>
    </row>
    <row r="18" spans="1:3" ht="14.4">
      <c r="A18" s="8" t="s">
        <v>119</v>
      </c>
      <c r="B18" s="3060" t="s">
        <v>2943</v>
      </c>
      <c r="C18" s="1537"/>
    </row>
    <row r="19" spans="1:3" ht="14.4">
      <c r="A19" s="8" t="s">
        <v>120</v>
      </c>
      <c r="B19" s="3060" t="s">
        <v>2951</v>
      </c>
      <c r="C19" s="1537"/>
    </row>
    <row r="20" spans="1:3" ht="14.4">
      <c r="A20" s="8" t="s">
        <v>121</v>
      </c>
      <c r="B20" s="1143" t="s">
        <v>3040</v>
      </c>
      <c r="C20" s="1537"/>
    </row>
    <row r="21" spans="1:3" ht="14.4">
      <c r="A21" s="8" t="s">
        <v>122</v>
      </c>
      <c r="B21" s="1143" t="s">
        <v>3042</v>
      </c>
      <c r="C21" s="1537"/>
    </row>
    <row r="22" spans="1:3" ht="14.4">
      <c r="A22" s="8" t="s">
        <v>123</v>
      </c>
      <c r="B22" s="1143" t="s">
        <v>3044</v>
      </c>
      <c r="C22" s="1537"/>
    </row>
    <row r="23" spans="1:3" ht="14.4">
      <c r="A23" s="8" t="s">
        <v>124</v>
      </c>
      <c r="B23" s="8" t="s">
        <v>1640</v>
      </c>
      <c r="C23" s="1537"/>
    </row>
    <row r="24" spans="1:3">
      <c r="A24" s="8" t="s">
        <v>12</v>
      </c>
      <c r="B24" s="8" t="s">
        <v>1640</v>
      </c>
      <c r="C24" s="1537"/>
    </row>
    <row r="25" spans="1:3" ht="14.4">
      <c r="A25" s="8" t="s">
        <v>125</v>
      </c>
      <c r="B25" s="8" t="s">
        <v>1640</v>
      </c>
      <c r="C25" s="1537"/>
    </row>
    <row r="26" spans="1:3" ht="14.4">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38"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c r="D53" s="1749"/>
      <c r="E53" s="1749"/>
    </row>
    <row r="54" spans="1:5">
      <c r="A54" s="3238"/>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8"/>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8"/>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8"/>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面积及出让金计算</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不动产收益法-商业</vt:lpstr>
      <vt:lpstr>不动产收益法-仓储</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车库案例</vt:lpstr>
      <vt:lpstr>Sheet1</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2020-03-04T04:55:00Z</dcterms:modified>
</cp:coreProperties>
</file>