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洋房" sheetId="21" r:id="rId33"/>
    <sheet name="不动产比较法-高层" sheetId="70"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开发后案例" sheetId="69"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3"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'不动产比较法-洋房'!$B$88:$M$88</definedName>
    <definedName name="住宅房型" localSheetId="33">'不动产比较法-高层'!$B$118:$M$118</definedName>
    <definedName name="住宅房型">'不动产比较法-洋房'!$B$118:$M$118</definedName>
    <definedName name="住宅公共部分装修" localSheetId="33">'不动产比较法-高层'!$B$109:$M$109</definedName>
    <definedName name="住宅公共部分装修">'不动产比较法-洋房'!$B$109:$M$109</definedName>
    <definedName name="住宅基础设施水平" localSheetId="33">'不动产比较法-高层'!$B$116:$M$116</definedName>
    <definedName name="住宅基础设施水平">'不动产比较法-洋房'!$B$116:$M$116</definedName>
    <definedName name="住宅建筑结构" localSheetId="33">'不动产比较法-高层'!$B$105:$M$105</definedName>
    <definedName name="住宅建筑结构">'不动产比较法-洋房'!$B$105:$M$105</definedName>
    <definedName name="住宅建筑类型" localSheetId="33">'不动产比较法-高层'!$B$100:$M$100</definedName>
    <definedName name="住宅建筑类型">'不动产比较法-洋房'!$B$100:$M$100</definedName>
    <definedName name="住宅建筑品质" localSheetId="33">'不动产比较法-高层'!$B$107:$M$107</definedName>
    <definedName name="住宅建筑品质">'不动产比较法-洋房'!$B$107:$M$107</definedName>
    <definedName name="住宅交易情况" localSheetId="33">'不动产比较法-高层'!$A$61:$M$61</definedName>
    <definedName name="住宅交易情况">'不动产比较法-洋房'!$A$61:$M$61</definedName>
    <definedName name="住宅楼层" localSheetId="33">'不动产比较法-高层'!$B$86:$M$86</definedName>
    <definedName name="住宅楼层">'不动产比较法-洋房'!$B$86:$M$86</definedName>
    <definedName name="住宅内部装修" localSheetId="33">'不动产比较法-高层'!$B$122:$M$122</definedName>
    <definedName name="住宅内部装修">'不动产比较法-洋房'!$B$122:$M$122</definedName>
    <definedName name="住宅物业管理" localSheetId="33">'不动产比较法-高层'!$B$114:$M$114</definedName>
    <definedName name="住宅物业管理">'不动产比较法-洋房'!$B$114:$M$114</definedName>
    <definedName name="住宅用途" localSheetId="33">'不动产比较法-高层'!$B$63:$M$63</definedName>
    <definedName name="住宅用途">'不动产比较法-洋房'!$B$63:$M$63</definedName>
    <definedName name="住宅主力户型面积" localSheetId="33">'不动产比较法-高层'!$B$120:$M$120</definedName>
    <definedName name="住宅主力户型面积">'不动产比较法-洋房'!$B$120:$M$120</definedName>
    <definedName name="注册房地产估价师">估价师及机构信息!$A$3:$A$24</definedName>
  </definedNames>
  <calcPr calcId="145621"/>
</workbook>
</file>

<file path=xl/calcChain.xml><?xml version="1.0" encoding="utf-8"?>
<calcChain xmlns="http://schemas.openxmlformats.org/spreadsheetml/2006/main">
  <c r="AL3" i="68" l="1"/>
  <c r="AL2" i="68"/>
  <c r="AL1" i="68"/>
  <c r="L14" i="1" l="1"/>
  <c r="L9" i="1"/>
  <c r="L8" i="1"/>
  <c r="I48" i="39"/>
  <c r="G48" i="39"/>
  <c r="E48" i="39"/>
  <c r="O54" i="3" l="1"/>
  <c r="K43" i="33" l="1"/>
  <c r="K42" i="33"/>
  <c r="K41" i="33"/>
  <c r="K39" i="33"/>
  <c r="K38" i="33"/>
  <c r="K37" i="33"/>
  <c r="K36" i="33"/>
  <c r="K35" i="33"/>
  <c r="K34" i="33"/>
  <c r="K32" i="33"/>
  <c r="K27" i="33"/>
  <c r="K25" i="33"/>
  <c r="K23" i="33"/>
  <c r="K21" i="33"/>
  <c r="K19" i="33"/>
  <c r="K17" i="33"/>
  <c r="K15" i="33"/>
  <c r="K10" i="33"/>
  <c r="G93" i="33"/>
  <c r="L47" i="33"/>
  <c r="I47" i="33" s="1"/>
  <c r="N9" i="1"/>
  <c r="F22" i="6"/>
  <c r="E47" i="33" l="1"/>
  <c r="E120" i="39" l="1"/>
  <c r="F120" i="39" s="1"/>
  <c r="G120" i="39" s="1"/>
  <c r="H120" i="39" s="1"/>
  <c r="I120" i="39" s="1"/>
  <c r="D120" i="39"/>
  <c r="D83" i="39"/>
  <c r="E83" i="39" s="1"/>
  <c r="E13" i="39"/>
  <c r="F19" i="6"/>
  <c r="F20" i="6"/>
  <c r="F21"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5" i="3" s="1"/>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5" i="3" s="1"/>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5" i="3" s="1"/>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5" i="3" s="1"/>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5" i="3" s="1"/>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5" i="3" s="1"/>
  <c r="F29" i="6" s="1"/>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A13" i="3"/>
  <c r="BN13" i="3"/>
  <c r="BP13" i="3"/>
  <c r="BR13" i="3"/>
  <c r="BT13" i="3"/>
  <c r="BL13" i="3"/>
  <c r="AZ13" i="3" s="1"/>
  <c r="BA14" i="3"/>
  <c r="BN14" i="3"/>
  <c r="BP14" i="3"/>
  <c r="BL14" i="3" s="1"/>
  <c r="AZ14" i="3" s="1"/>
  <c r="BR14" i="3"/>
  <c r="BT14" i="3"/>
  <c r="BA15" i="3"/>
  <c r="BN15" i="3"/>
  <c r="BP15" i="3"/>
  <c r="BR15" i="3"/>
  <c r="BT15" i="3"/>
  <c r="BL15" i="3"/>
  <c r="AZ15" i="3" s="1"/>
  <c r="BA16" i="3"/>
  <c r="BN16" i="3"/>
  <c r="BP16" i="3"/>
  <c r="BL16" i="3" s="1"/>
  <c r="AZ16" i="3" s="1"/>
  <c r="BR16" i="3"/>
  <c r="BT16" i="3"/>
  <c r="BA17" i="3"/>
  <c r="BN17" i="3"/>
  <c r="BP17" i="3"/>
  <c r="BR17" i="3"/>
  <c r="BT17" i="3"/>
  <c r="BL17" i="3"/>
  <c r="AZ17" i="3" s="1"/>
  <c r="BA18" i="3"/>
  <c r="BN18" i="3"/>
  <c r="BP18" i="3"/>
  <c r="BL18" i="3" s="1"/>
  <c r="AZ18" i="3" s="1"/>
  <c r="BR18" i="3"/>
  <c r="BT18" i="3"/>
  <c r="BA19" i="3"/>
  <c r="BN19" i="3"/>
  <c r="BP19" i="3"/>
  <c r="BR19" i="3"/>
  <c r="BT19" i="3"/>
  <c r="BL19" i="3"/>
  <c r="AZ19" i="3" s="1"/>
  <c r="BA20" i="3"/>
  <c r="BN20" i="3"/>
  <c r="BP20" i="3"/>
  <c r="BL20" i="3" s="1"/>
  <c r="AZ20" i="3" s="1"/>
  <c r="BR20" i="3"/>
  <c r="BT20" i="3"/>
  <c r="BA21" i="3"/>
  <c r="BN21" i="3"/>
  <c r="BP21" i="3"/>
  <c r="BR21" i="3"/>
  <c r="BT21" i="3"/>
  <c r="BL21" i="3"/>
  <c r="AZ21" i="3" s="1"/>
  <c r="BA22" i="3"/>
  <c r="BN22" i="3"/>
  <c r="BP22" i="3"/>
  <c r="BR22" i="3"/>
  <c r="BT22" i="3"/>
  <c r="BA23" i="3"/>
  <c r="BN23" i="3"/>
  <c r="BP23" i="3"/>
  <c r="BR23" i="3"/>
  <c r="BT23" i="3"/>
  <c r="BL23" i="3"/>
  <c r="AZ23" i="3" s="1"/>
  <c r="BA24" i="3"/>
  <c r="BN24" i="3"/>
  <c r="BP24" i="3"/>
  <c r="BR24" i="3"/>
  <c r="BT24" i="3"/>
  <c r="BA25" i="3"/>
  <c r="BN25" i="3"/>
  <c r="BP25" i="3"/>
  <c r="BR25" i="3"/>
  <c r="BT25" i="3"/>
  <c r="BL25" i="3"/>
  <c r="AZ25" i="3" s="1"/>
  <c r="BA26" i="3"/>
  <c r="BN26" i="3"/>
  <c r="BP26" i="3"/>
  <c r="BR26" i="3"/>
  <c r="BT26" i="3"/>
  <c r="BA27" i="3"/>
  <c r="BN27" i="3"/>
  <c r="BP27" i="3"/>
  <c r="BR27" i="3"/>
  <c r="BT27" i="3"/>
  <c r="BL27" i="3"/>
  <c r="AZ27" i="3" s="1"/>
  <c r="BA28" i="3"/>
  <c r="BN28" i="3"/>
  <c r="BP28" i="3"/>
  <c r="BR28" i="3"/>
  <c r="BT28" i="3"/>
  <c r="BA29" i="3"/>
  <c r="BN29" i="3"/>
  <c r="BP29" i="3"/>
  <c r="BR29" i="3"/>
  <c r="BT29" i="3"/>
  <c r="BL29" i="3"/>
  <c r="AZ29" i="3" s="1"/>
  <c r="BA30" i="3"/>
  <c r="BN30" i="3"/>
  <c r="BP30" i="3"/>
  <c r="BR30" i="3"/>
  <c r="BT30" i="3"/>
  <c r="BA31" i="3"/>
  <c r="BN31" i="3"/>
  <c r="BP31" i="3"/>
  <c r="BR31" i="3"/>
  <c r="BT31" i="3"/>
  <c r="BL31" i="3"/>
  <c r="AZ31" i="3" s="1"/>
  <c r="BA32" i="3"/>
  <c r="BN32" i="3"/>
  <c r="BP32" i="3"/>
  <c r="BR32" i="3"/>
  <c r="BT32" i="3"/>
  <c r="BA33" i="3"/>
  <c r="BN33" i="3"/>
  <c r="BP33" i="3"/>
  <c r="BR33" i="3"/>
  <c r="BT33" i="3"/>
  <c r="BL33" i="3"/>
  <c r="AZ33" i="3" s="1"/>
  <c r="BA34" i="3"/>
  <c r="BN34" i="3"/>
  <c r="BP34" i="3"/>
  <c r="BR34" i="3"/>
  <c r="BT34" i="3"/>
  <c r="BA35" i="3"/>
  <c r="BN35" i="3"/>
  <c r="BP35" i="3"/>
  <c r="BR35" i="3"/>
  <c r="BT35" i="3"/>
  <c r="BL35" i="3"/>
  <c r="AZ35" i="3" s="1"/>
  <c r="BA36" i="3"/>
  <c r="BN36" i="3"/>
  <c r="BP36" i="3"/>
  <c r="BR36" i="3"/>
  <c r="BT36" i="3"/>
  <c r="BA37" i="3"/>
  <c r="BN37" i="3"/>
  <c r="BP37" i="3"/>
  <c r="BR37" i="3"/>
  <c r="BL37" i="3" s="1"/>
  <c r="BT37" i="3"/>
  <c r="BA38" i="3"/>
  <c r="BN38" i="3"/>
  <c r="BP38" i="3"/>
  <c r="BR38" i="3"/>
  <c r="BT38" i="3"/>
  <c r="BA39" i="3"/>
  <c r="BN39" i="3"/>
  <c r="BP39" i="3"/>
  <c r="BR39" i="3"/>
  <c r="BT39" i="3"/>
  <c r="BL39" i="3"/>
  <c r="AZ39" i="3" s="1"/>
  <c r="BA40" i="3"/>
  <c r="BN40" i="3"/>
  <c r="BP40" i="3"/>
  <c r="BR40" i="3"/>
  <c r="BT40" i="3"/>
  <c r="BA41" i="3"/>
  <c r="BN41" i="3"/>
  <c r="BP41" i="3"/>
  <c r="BR41" i="3"/>
  <c r="BT41" i="3"/>
  <c r="BL41" i="3"/>
  <c r="AZ41" i="3" s="1"/>
  <c r="BA42" i="3"/>
  <c r="BN42" i="3"/>
  <c r="BP42" i="3"/>
  <c r="BR42" i="3"/>
  <c r="BT42" i="3"/>
  <c r="BA43" i="3"/>
  <c r="BN43" i="3"/>
  <c r="BP43" i="3"/>
  <c r="BR43" i="3"/>
  <c r="BT43" i="3"/>
  <c r="BL43" i="3"/>
  <c r="AZ43" i="3" s="1"/>
  <c r="BA44" i="3"/>
  <c r="BN44" i="3"/>
  <c r="BP44" i="3"/>
  <c r="BR44" i="3"/>
  <c r="BT44" i="3"/>
  <c r="BA45" i="3"/>
  <c r="BN45" i="3"/>
  <c r="BP45" i="3"/>
  <c r="BR45" i="3"/>
  <c r="BT45" i="3"/>
  <c r="BL45" i="3"/>
  <c r="AZ45" i="3" s="1"/>
  <c r="BA46" i="3"/>
  <c r="BN46" i="3"/>
  <c r="BP46" i="3"/>
  <c r="BR46" i="3"/>
  <c r="BT46" i="3"/>
  <c r="BA47" i="3"/>
  <c r="BN47" i="3"/>
  <c r="BP47" i="3"/>
  <c r="BR47" i="3"/>
  <c r="BT47" i="3"/>
  <c r="BL47" i="3"/>
  <c r="AZ47" i="3" s="1"/>
  <c r="BA48" i="3"/>
  <c r="BN48" i="3"/>
  <c r="BP48" i="3"/>
  <c r="BR48" i="3"/>
  <c r="BT48" i="3"/>
  <c r="BA49" i="3"/>
  <c r="BN49" i="3"/>
  <c r="BP49" i="3"/>
  <c r="BR49" i="3"/>
  <c r="BT49" i="3"/>
  <c r="BL49" i="3"/>
  <c r="AZ49" i="3" s="1"/>
  <c r="BA50" i="3"/>
  <c r="BN50" i="3"/>
  <c r="BP50" i="3"/>
  <c r="BR50" i="3"/>
  <c r="BT50" i="3"/>
  <c r="BA51" i="3"/>
  <c r="BN51" i="3"/>
  <c r="BP51" i="3"/>
  <c r="BR51" i="3"/>
  <c r="BT51" i="3"/>
  <c r="BL51" i="3"/>
  <c r="AZ51" i="3" s="1"/>
  <c r="BA52" i="3"/>
  <c r="BN52" i="3"/>
  <c r="BP52" i="3"/>
  <c r="BR52" i="3"/>
  <c r="BT52" i="3"/>
  <c r="BA53" i="3"/>
  <c r="BN53" i="3"/>
  <c r="BP53" i="3"/>
  <c r="BR53" i="3"/>
  <c r="BT53" i="3"/>
  <c r="BL53" i="3"/>
  <c r="AZ53" i="3" s="1"/>
  <c r="BA54" i="3"/>
  <c r="BN54" i="3"/>
  <c r="BP54" i="3"/>
  <c r="BR54" i="3"/>
  <c r="BT54" i="3"/>
  <c r="BA55" i="3"/>
  <c r="BN55" i="3"/>
  <c r="BP55" i="3"/>
  <c r="BR55" i="3"/>
  <c r="BT55" i="3"/>
  <c r="BA56" i="3"/>
  <c r="BN56" i="3"/>
  <c r="BP56" i="3"/>
  <c r="BR56" i="3"/>
  <c r="BT56" i="3"/>
  <c r="BL56" i="3"/>
  <c r="AZ56" i="3" s="1"/>
  <c r="BA57" i="3"/>
  <c r="BN57" i="3"/>
  <c r="BP57" i="3"/>
  <c r="BR57" i="3"/>
  <c r="BT57" i="3"/>
  <c r="BA58" i="3"/>
  <c r="BN58" i="3"/>
  <c r="BP58" i="3"/>
  <c r="BR58" i="3"/>
  <c r="BT58" i="3"/>
  <c r="BL58" i="3"/>
  <c r="AZ58" i="3" s="1"/>
  <c r="BA59" i="3"/>
  <c r="BN59" i="3"/>
  <c r="BP59" i="3"/>
  <c r="BR59" i="3"/>
  <c r="BT59" i="3"/>
  <c r="BA60" i="3"/>
  <c r="BN60" i="3"/>
  <c r="BP60" i="3"/>
  <c r="BR60" i="3"/>
  <c r="BT60" i="3"/>
  <c r="BL60" i="3"/>
  <c r="AZ60" i="3" s="1"/>
  <c r="BA61" i="3"/>
  <c r="BN61" i="3"/>
  <c r="BP61" i="3"/>
  <c r="BR61" i="3"/>
  <c r="BT61" i="3"/>
  <c r="BA62" i="3"/>
  <c r="BN62" i="3"/>
  <c r="BP62" i="3"/>
  <c r="BR62" i="3"/>
  <c r="BT62" i="3"/>
  <c r="BL62" i="3"/>
  <c r="AZ62" i="3" s="1"/>
  <c r="BA63" i="3"/>
  <c r="BN63" i="3"/>
  <c r="BP63" i="3"/>
  <c r="BR63" i="3"/>
  <c r="BT63" i="3"/>
  <c r="BA64" i="3"/>
  <c r="BN64" i="3"/>
  <c r="BP64" i="3"/>
  <c r="BR64" i="3"/>
  <c r="BT64" i="3"/>
  <c r="BL64" i="3"/>
  <c r="AZ64" i="3" s="1"/>
  <c r="BA65" i="3"/>
  <c r="BN65" i="3"/>
  <c r="BP65" i="3"/>
  <c r="BR65" i="3"/>
  <c r="BT65" i="3"/>
  <c r="BA66" i="3"/>
  <c r="BN66" i="3"/>
  <c r="BP66" i="3"/>
  <c r="BR66" i="3"/>
  <c r="BT66" i="3"/>
  <c r="BL66" i="3"/>
  <c r="AZ66" i="3" s="1"/>
  <c r="BA67" i="3"/>
  <c r="BN67" i="3"/>
  <c r="BP67" i="3"/>
  <c r="BR67" i="3"/>
  <c r="BT67" i="3"/>
  <c r="BA68" i="3"/>
  <c r="BN68" i="3"/>
  <c r="BP68" i="3"/>
  <c r="BR68" i="3"/>
  <c r="BT68" i="3"/>
  <c r="BL68" i="3"/>
  <c r="AZ68" i="3" s="1"/>
  <c r="BA69" i="3"/>
  <c r="BN69" i="3"/>
  <c r="BP69" i="3"/>
  <c r="BR69" i="3"/>
  <c r="BT69" i="3"/>
  <c r="BA70" i="3"/>
  <c r="BN70" i="3"/>
  <c r="BP70" i="3"/>
  <c r="BR70" i="3"/>
  <c r="BT70" i="3"/>
  <c r="BL70" i="3"/>
  <c r="AZ70" i="3" s="1"/>
  <c r="BA71" i="3"/>
  <c r="BN71" i="3"/>
  <c r="BP71" i="3"/>
  <c r="BR71" i="3"/>
  <c r="BT71" i="3"/>
  <c r="BA72" i="3"/>
  <c r="BN72" i="3"/>
  <c r="BP72" i="3"/>
  <c r="BR72" i="3"/>
  <c r="BT72" i="3"/>
  <c r="BL72" i="3"/>
  <c r="AZ72" i="3" s="1"/>
  <c r="BA73" i="3"/>
  <c r="BN73" i="3"/>
  <c r="BP73" i="3"/>
  <c r="BR73" i="3"/>
  <c r="BT73" i="3"/>
  <c r="BA74" i="3"/>
  <c r="BN74" i="3"/>
  <c r="BP74" i="3"/>
  <c r="BR74" i="3"/>
  <c r="BT74" i="3"/>
  <c r="BL74" i="3"/>
  <c r="AZ74" i="3" s="1"/>
  <c r="BA75" i="3"/>
  <c r="BN75" i="3"/>
  <c r="BP75" i="3"/>
  <c r="BR75" i="3"/>
  <c r="BT75" i="3"/>
  <c r="BA76" i="3"/>
  <c r="BN76" i="3"/>
  <c r="BP76" i="3"/>
  <c r="BR76" i="3"/>
  <c r="BT76" i="3"/>
  <c r="BL76" i="3"/>
  <c r="AZ76" i="3" s="1"/>
  <c r="BA77" i="3"/>
  <c r="BN77" i="3"/>
  <c r="BP77" i="3"/>
  <c r="BR77" i="3"/>
  <c r="BT77" i="3"/>
  <c r="BA78" i="3"/>
  <c r="BN78" i="3"/>
  <c r="BP78" i="3"/>
  <c r="BR78" i="3"/>
  <c r="BT78" i="3"/>
  <c r="BL78" i="3"/>
  <c r="AZ78" i="3" s="1"/>
  <c r="BA79" i="3"/>
  <c r="BN79" i="3"/>
  <c r="BP79" i="3"/>
  <c r="BR79" i="3"/>
  <c r="BT79" i="3"/>
  <c r="BA80" i="3"/>
  <c r="BN80" i="3"/>
  <c r="BP80" i="3"/>
  <c r="BR80" i="3"/>
  <c r="BT80" i="3"/>
  <c r="BL80" i="3"/>
  <c r="AZ80" i="3" s="1"/>
  <c r="BA81" i="3"/>
  <c r="BN81" i="3"/>
  <c r="BP81" i="3"/>
  <c r="BR81" i="3"/>
  <c r="BT81" i="3"/>
  <c r="BA82" i="3"/>
  <c r="BN82" i="3"/>
  <c r="BP82" i="3"/>
  <c r="BR82" i="3"/>
  <c r="BT82" i="3"/>
  <c r="BL82" i="3"/>
  <c r="AZ82" i="3" s="1"/>
  <c r="BA83" i="3"/>
  <c r="BN83" i="3"/>
  <c r="BP83" i="3"/>
  <c r="BR83" i="3"/>
  <c r="BT83" i="3"/>
  <c r="BA84" i="3"/>
  <c r="BN84" i="3"/>
  <c r="BP84" i="3"/>
  <c r="BR84" i="3"/>
  <c r="BT84" i="3"/>
  <c r="BL84" i="3"/>
  <c r="AZ84" i="3" s="1"/>
  <c r="BA85" i="3"/>
  <c r="BN85" i="3"/>
  <c r="BP85" i="3"/>
  <c r="BR85" i="3"/>
  <c r="BT85" i="3"/>
  <c r="BA86" i="3"/>
  <c r="BN86" i="3"/>
  <c r="BP86" i="3"/>
  <c r="BR86" i="3"/>
  <c r="BT86" i="3"/>
  <c r="BL86" i="3"/>
  <c r="AZ86" i="3" s="1"/>
  <c r="BA87" i="3"/>
  <c r="BN87" i="3"/>
  <c r="BP87" i="3"/>
  <c r="BR87" i="3"/>
  <c r="BT87" i="3"/>
  <c r="BA88" i="3"/>
  <c r="BN88" i="3"/>
  <c r="BP88" i="3"/>
  <c r="BR88" i="3"/>
  <c r="BT88" i="3"/>
  <c r="BL88" i="3"/>
  <c r="AZ88" i="3" s="1"/>
  <c r="BA89" i="3"/>
  <c r="BN89" i="3"/>
  <c r="BP89" i="3"/>
  <c r="BR89" i="3"/>
  <c r="BT89" i="3"/>
  <c r="BA90" i="3"/>
  <c r="BN90" i="3"/>
  <c r="BP90" i="3"/>
  <c r="BR90" i="3"/>
  <c r="BT90" i="3"/>
  <c r="BL90" i="3"/>
  <c r="AZ90" i="3" s="1"/>
  <c r="BA91" i="3"/>
  <c r="BN91" i="3"/>
  <c r="BP91" i="3"/>
  <c r="BL91" i="3" s="1"/>
  <c r="AZ91" i="3" s="1"/>
  <c r="BR91" i="3"/>
  <c r="BT91" i="3"/>
  <c r="BA92" i="3"/>
  <c r="BN92" i="3"/>
  <c r="BP92" i="3"/>
  <c r="BR92" i="3"/>
  <c r="BT92" i="3"/>
  <c r="BL92" i="3"/>
  <c r="AZ92" i="3" s="1"/>
  <c r="BA93" i="3"/>
  <c r="BN93" i="3"/>
  <c r="BP93" i="3"/>
  <c r="BL93" i="3" s="1"/>
  <c r="AZ93" i="3" s="1"/>
  <c r="BR93" i="3"/>
  <c r="BT93" i="3"/>
  <c r="BA94" i="3"/>
  <c r="BN94" i="3"/>
  <c r="BP94" i="3"/>
  <c r="BR94" i="3"/>
  <c r="BT94" i="3"/>
  <c r="BL94" i="3"/>
  <c r="AZ94" i="3" s="1"/>
  <c r="BA95" i="3"/>
  <c r="BN95" i="3"/>
  <c r="BP95" i="3"/>
  <c r="BL95" i="3" s="1"/>
  <c r="AZ95" i="3" s="1"/>
  <c r="BR95" i="3"/>
  <c r="BT95" i="3"/>
  <c r="BA96" i="3"/>
  <c r="BN96" i="3"/>
  <c r="BP96" i="3"/>
  <c r="BR96" i="3"/>
  <c r="BT96" i="3"/>
  <c r="BL96" i="3"/>
  <c r="AZ96" i="3" s="1"/>
  <c r="BA97" i="3"/>
  <c r="BN97" i="3"/>
  <c r="BP97" i="3"/>
  <c r="BL97" i="3" s="1"/>
  <c r="AZ97" i="3" s="1"/>
  <c r="BR97" i="3"/>
  <c r="BT97" i="3"/>
  <c r="BA98" i="3"/>
  <c r="BN98" i="3"/>
  <c r="BP98" i="3"/>
  <c r="BR98" i="3"/>
  <c r="BT98" i="3"/>
  <c r="BL98" i="3"/>
  <c r="AZ98" i="3" s="1"/>
  <c r="BA99" i="3"/>
  <c r="BN99" i="3"/>
  <c r="BP99" i="3"/>
  <c r="BL99" i="3" s="1"/>
  <c r="AZ99" i="3" s="1"/>
  <c r="BR99" i="3"/>
  <c r="BT99" i="3"/>
  <c r="BA100" i="3"/>
  <c r="BN100" i="3"/>
  <c r="BP100" i="3"/>
  <c r="BR100" i="3"/>
  <c r="BT100" i="3"/>
  <c r="BL100" i="3"/>
  <c r="AZ100" i="3" s="1"/>
  <c r="BA101" i="3"/>
  <c r="BN101" i="3"/>
  <c r="BP101" i="3"/>
  <c r="BL101" i="3" s="1"/>
  <c r="AZ101" i="3" s="1"/>
  <c r="BR101" i="3"/>
  <c r="BT101" i="3"/>
  <c r="BA102" i="3"/>
  <c r="BN102" i="3"/>
  <c r="BP102" i="3"/>
  <c r="BR102" i="3"/>
  <c r="BT102" i="3"/>
  <c r="BL102" i="3"/>
  <c r="AZ102" i="3" s="1"/>
  <c r="BA103" i="3"/>
  <c r="BN103" i="3"/>
  <c r="BP103" i="3"/>
  <c r="BL103" i="3" s="1"/>
  <c r="AZ103" i="3" s="1"/>
  <c r="BR103" i="3"/>
  <c r="BT103" i="3"/>
  <c r="BA104" i="3"/>
  <c r="BN104" i="3"/>
  <c r="BP104" i="3"/>
  <c r="BR104" i="3"/>
  <c r="BT104" i="3"/>
  <c r="BL104" i="3"/>
  <c r="AZ104" i="3" s="1"/>
  <c r="BA105" i="3"/>
  <c r="BN105" i="3"/>
  <c r="BP105" i="3"/>
  <c r="BL105" i="3" s="1"/>
  <c r="AZ105" i="3" s="1"/>
  <c r="BR105" i="3"/>
  <c r="BT105" i="3"/>
  <c r="BA106" i="3"/>
  <c r="BN106" i="3"/>
  <c r="BP106" i="3"/>
  <c r="BR106" i="3"/>
  <c r="BT106" i="3"/>
  <c r="BL106" i="3"/>
  <c r="AZ106" i="3" s="1"/>
  <c r="BA107" i="3"/>
  <c r="BN107" i="3"/>
  <c r="BP107" i="3"/>
  <c r="BL107" i="3" s="1"/>
  <c r="AZ107" i="3" s="1"/>
  <c r="BR107" i="3"/>
  <c r="BT107" i="3"/>
  <c r="BA108" i="3"/>
  <c r="BN108" i="3"/>
  <c r="BP108" i="3"/>
  <c r="BR108" i="3"/>
  <c r="BT108" i="3"/>
  <c r="BL108" i="3"/>
  <c r="AZ108" i="3" s="1"/>
  <c r="BA109" i="3"/>
  <c r="BN109" i="3"/>
  <c r="BP109" i="3"/>
  <c r="BL109" i="3" s="1"/>
  <c r="AZ109" i="3" s="1"/>
  <c r="BR109" i="3"/>
  <c r="BT109" i="3"/>
  <c r="BA110" i="3"/>
  <c r="BN110" i="3"/>
  <c r="BP110" i="3"/>
  <c r="BR110" i="3"/>
  <c r="BT110" i="3"/>
  <c r="BL110" i="3"/>
  <c r="AZ110" i="3" s="1"/>
  <c r="BA111" i="3"/>
  <c r="BN111" i="3"/>
  <c r="BP111" i="3"/>
  <c r="BL111" i="3" s="1"/>
  <c r="AZ111" i="3" s="1"/>
  <c r="BR111" i="3"/>
  <c r="BT111" i="3"/>
  <c r="BA112" i="3"/>
  <c r="BN112" i="3"/>
  <c r="BP112" i="3"/>
  <c r="BR112" i="3"/>
  <c r="BT112" i="3"/>
  <c r="BL112" i="3"/>
  <c r="AZ112" i="3" s="1"/>
  <c r="BA113" i="3"/>
  <c r="BN113" i="3"/>
  <c r="BP113" i="3"/>
  <c r="BL113" i="3" s="1"/>
  <c r="AZ113" i="3" s="1"/>
  <c r="BR113" i="3"/>
  <c r="BT113" i="3"/>
  <c r="BA114" i="3"/>
  <c r="BN114" i="3"/>
  <c r="BP114" i="3"/>
  <c r="BR114" i="3"/>
  <c r="BT114" i="3"/>
  <c r="BL114" i="3"/>
  <c r="AZ114" i="3" s="1"/>
  <c r="BA115" i="3"/>
  <c r="BN115" i="3"/>
  <c r="BP115" i="3"/>
  <c r="BL115" i="3" s="1"/>
  <c r="AZ115" i="3" s="1"/>
  <c r="BR115" i="3"/>
  <c r="BT115" i="3"/>
  <c r="BA116" i="3"/>
  <c r="BN116" i="3"/>
  <c r="BP116" i="3"/>
  <c r="BR116" i="3"/>
  <c r="BT116" i="3"/>
  <c r="BL116" i="3"/>
  <c r="AZ116" i="3" s="1"/>
  <c r="BA117" i="3"/>
  <c r="BN117" i="3"/>
  <c r="BP117" i="3"/>
  <c r="BL117" i="3" s="1"/>
  <c r="AZ117" i="3" s="1"/>
  <c r="BR117" i="3"/>
  <c r="BT117" i="3"/>
  <c r="BA118" i="3"/>
  <c r="BN118" i="3"/>
  <c r="BP118" i="3"/>
  <c r="BR118" i="3"/>
  <c r="BT118" i="3"/>
  <c r="BL118" i="3"/>
  <c r="AZ118" i="3" s="1"/>
  <c r="BA119" i="3"/>
  <c r="BN119" i="3"/>
  <c r="BP119" i="3"/>
  <c r="BL119" i="3" s="1"/>
  <c r="AZ119" i="3" s="1"/>
  <c r="BR119" i="3"/>
  <c r="BT119" i="3"/>
  <c r="BA120" i="3"/>
  <c r="BN120" i="3"/>
  <c r="BP120" i="3"/>
  <c r="BR120" i="3"/>
  <c r="BT120" i="3"/>
  <c r="BL120" i="3"/>
  <c r="AZ120" i="3" s="1"/>
  <c r="BA121" i="3"/>
  <c r="BN121" i="3"/>
  <c r="BP121" i="3"/>
  <c r="BL121" i="3" s="1"/>
  <c r="AZ121" i="3" s="1"/>
  <c r="BR121" i="3"/>
  <c r="BT121" i="3"/>
  <c r="BA122" i="3"/>
  <c r="BN122" i="3"/>
  <c r="BP122" i="3"/>
  <c r="BR122" i="3"/>
  <c r="BT122" i="3"/>
  <c r="BL122" i="3"/>
  <c r="AZ122" i="3" s="1"/>
  <c r="BA123" i="3"/>
  <c r="BN123" i="3"/>
  <c r="BP123" i="3"/>
  <c r="BL123" i="3" s="1"/>
  <c r="AZ123" i="3" s="1"/>
  <c r="BR123" i="3"/>
  <c r="BT123" i="3"/>
  <c r="BA124" i="3"/>
  <c r="BN124" i="3"/>
  <c r="BP124" i="3"/>
  <c r="BR124" i="3"/>
  <c r="BT124" i="3"/>
  <c r="BL124" i="3"/>
  <c r="AZ124" i="3" s="1"/>
  <c r="BA125" i="3"/>
  <c r="BN125" i="3"/>
  <c r="BP125" i="3"/>
  <c r="BR125" i="3"/>
  <c r="BT125" i="3"/>
  <c r="BA126" i="3"/>
  <c r="BN126" i="3"/>
  <c r="BP126" i="3"/>
  <c r="BR126" i="3"/>
  <c r="BT126" i="3"/>
  <c r="BL126" i="3"/>
  <c r="AZ126" i="3" s="1"/>
  <c r="BA127" i="3"/>
  <c r="BN127" i="3"/>
  <c r="BP127" i="3"/>
  <c r="BR127" i="3"/>
  <c r="BT127" i="3"/>
  <c r="BA128" i="3"/>
  <c r="BN128" i="3"/>
  <c r="BP128" i="3"/>
  <c r="BR128" i="3"/>
  <c r="BT128" i="3"/>
  <c r="BL128" i="3"/>
  <c r="AZ128" i="3" s="1"/>
  <c r="BA129" i="3"/>
  <c r="BN129" i="3"/>
  <c r="BP129" i="3"/>
  <c r="BR129" i="3"/>
  <c r="BT129" i="3"/>
  <c r="BA130" i="3"/>
  <c r="BN130" i="3"/>
  <c r="BP130" i="3"/>
  <c r="BR130" i="3"/>
  <c r="BT130" i="3"/>
  <c r="BL130" i="3"/>
  <c r="AZ130" i="3" s="1"/>
  <c r="BA131" i="3"/>
  <c r="BN131" i="3"/>
  <c r="BP131" i="3"/>
  <c r="BR131" i="3"/>
  <c r="BT131" i="3"/>
  <c r="BA132" i="3"/>
  <c r="BN132" i="3"/>
  <c r="BP132" i="3"/>
  <c r="BR132" i="3"/>
  <c r="BT132" i="3"/>
  <c r="BL132" i="3"/>
  <c r="AZ132" i="3" s="1"/>
  <c r="BA133" i="3"/>
  <c r="BN133" i="3"/>
  <c r="BP133" i="3"/>
  <c r="BR133" i="3"/>
  <c r="BT133" i="3"/>
  <c r="BA134" i="3"/>
  <c r="BN134" i="3"/>
  <c r="BP134" i="3"/>
  <c r="BR134" i="3"/>
  <c r="BT134" i="3"/>
  <c r="BL134" i="3"/>
  <c r="AZ134" i="3" s="1"/>
  <c r="BA135" i="3"/>
  <c r="BN135" i="3"/>
  <c r="BP135" i="3"/>
  <c r="BR135" i="3"/>
  <c r="BT135" i="3"/>
  <c r="BA136" i="3"/>
  <c r="BN136" i="3"/>
  <c r="BP136" i="3"/>
  <c r="BR136" i="3"/>
  <c r="BT136" i="3"/>
  <c r="BL136" i="3"/>
  <c r="AZ136" i="3" s="1"/>
  <c r="BA137" i="3"/>
  <c r="BN137" i="3"/>
  <c r="BP137" i="3"/>
  <c r="BR137" i="3"/>
  <c r="BT137" i="3"/>
  <c r="BA138" i="3"/>
  <c r="BN138" i="3"/>
  <c r="BP138" i="3"/>
  <c r="BR138" i="3"/>
  <c r="BT138" i="3"/>
  <c r="BL138" i="3"/>
  <c r="AZ138" i="3" s="1"/>
  <c r="BA139" i="3"/>
  <c r="BN139" i="3"/>
  <c r="BP139" i="3"/>
  <c r="BR139" i="3"/>
  <c r="BT139" i="3"/>
  <c r="BA140" i="3"/>
  <c r="BN140" i="3"/>
  <c r="BP140" i="3"/>
  <c r="BR140" i="3"/>
  <c r="BT140" i="3"/>
  <c r="BL140" i="3"/>
  <c r="AZ140" i="3" s="1"/>
  <c r="BA141" i="3"/>
  <c r="BN141" i="3"/>
  <c r="BP141" i="3"/>
  <c r="BR141" i="3"/>
  <c r="BT141" i="3"/>
  <c r="BA142" i="3"/>
  <c r="BN142" i="3"/>
  <c r="BP142" i="3"/>
  <c r="BL142" i="3" s="1"/>
  <c r="AZ142" i="3" s="1"/>
  <c r="BR142" i="3"/>
  <c r="BT142" i="3"/>
  <c r="BA143" i="3"/>
  <c r="BN143" i="3"/>
  <c r="BP143" i="3"/>
  <c r="BR143" i="3"/>
  <c r="BT143" i="3"/>
  <c r="BL143" i="3"/>
  <c r="AZ143" i="3" s="1"/>
  <c r="BA144" i="3"/>
  <c r="BN144" i="3"/>
  <c r="BP144" i="3"/>
  <c r="BL144" i="3" s="1"/>
  <c r="AZ144" i="3" s="1"/>
  <c r="BR144" i="3"/>
  <c r="BT144" i="3"/>
  <c r="BA145" i="3"/>
  <c r="BN145" i="3"/>
  <c r="BP145" i="3"/>
  <c r="BR145" i="3"/>
  <c r="BT145" i="3"/>
  <c r="BL145" i="3"/>
  <c r="AZ145" i="3" s="1"/>
  <c r="BA146" i="3"/>
  <c r="BN146" i="3"/>
  <c r="BP146" i="3"/>
  <c r="BL146" i="3" s="1"/>
  <c r="AZ146" i="3" s="1"/>
  <c r="BR146" i="3"/>
  <c r="BT146" i="3"/>
  <c r="BA147" i="3"/>
  <c r="BN147" i="3"/>
  <c r="BP147" i="3"/>
  <c r="BR147" i="3"/>
  <c r="BT147" i="3"/>
  <c r="BL147" i="3"/>
  <c r="AZ147" i="3" s="1"/>
  <c r="BA148" i="3"/>
  <c r="BN148" i="3"/>
  <c r="BP148" i="3"/>
  <c r="BL148" i="3" s="1"/>
  <c r="AZ148" i="3" s="1"/>
  <c r="BR148" i="3"/>
  <c r="BT148" i="3"/>
  <c r="BA149" i="3"/>
  <c r="BN149" i="3"/>
  <c r="BP149" i="3"/>
  <c r="BR149" i="3"/>
  <c r="BT149" i="3"/>
  <c r="BL149" i="3"/>
  <c r="AZ149" i="3" s="1"/>
  <c r="BA150" i="3"/>
  <c r="BN150" i="3"/>
  <c r="BP150" i="3"/>
  <c r="BL150" i="3" s="1"/>
  <c r="AZ150" i="3" s="1"/>
  <c r="BR150" i="3"/>
  <c r="BT150" i="3"/>
  <c r="BA151" i="3"/>
  <c r="BN151" i="3"/>
  <c r="BP151" i="3"/>
  <c r="BR151" i="3"/>
  <c r="BT151" i="3"/>
  <c r="BL151" i="3"/>
  <c r="AZ151" i="3" s="1"/>
  <c r="BA152" i="3"/>
  <c r="BN152" i="3"/>
  <c r="BP152" i="3"/>
  <c r="BL152" i="3" s="1"/>
  <c r="AZ152" i="3" s="1"/>
  <c r="BR152" i="3"/>
  <c r="BT152" i="3"/>
  <c r="BA153" i="3"/>
  <c r="BN153" i="3"/>
  <c r="BP153" i="3"/>
  <c r="BR153" i="3"/>
  <c r="BT153" i="3"/>
  <c r="BL153" i="3"/>
  <c r="AZ153" i="3" s="1"/>
  <c r="BA154" i="3"/>
  <c r="BN154" i="3"/>
  <c r="BP154" i="3"/>
  <c r="BL154" i="3" s="1"/>
  <c r="AZ154" i="3" s="1"/>
  <c r="BR154" i="3"/>
  <c r="BT154" i="3"/>
  <c r="BA155" i="3"/>
  <c r="BN155" i="3"/>
  <c r="BP155" i="3"/>
  <c r="BR155" i="3"/>
  <c r="BT155" i="3"/>
  <c r="BL155" i="3"/>
  <c r="AZ155" i="3" s="1"/>
  <c r="BA156" i="3"/>
  <c r="BN156" i="3"/>
  <c r="BP156" i="3"/>
  <c r="BL156" i="3" s="1"/>
  <c r="AZ156" i="3" s="1"/>
  <c r="BR156" i="3"/>
  <c r="BT156" i="3"/>
  <c r="BA157" i="3"/>
  <c r="BN157" i="3"/>
  <c r="BP157" i="3"/>
  <c r="BR157" i="3"/>
  <c r="BT157" i="3"/>
  <c r="BL157" i="3"/>
  <c r="AZ157" i="3" s="1"/>
  <c r="BA158" i="3"/>
  <c r="BN158" i="3"/>
  <c r="BP158" i="3"/>
  <c r="BL158" i="3" s="1"/>
  <c r="AZ158" i="3" s="1"/>
  <c r="BR158" i="3"/>
  <c r="BT158" i="3"/>
  <c r="BA159" i="3"/>
  <c r="BN159" i="3"/>
  <c r="BP159" i="3"/>
  <c r="BR159" i="3"/>
  <c r="BT159" i="3"/>
  <c r="BL159" i="3"/>
  <c r="AZ159" i="3" s="1"/>
  <c r="BA160" i="3"/>
  <c r="BN160" i="3"/>
  <c r="BP160" i="3"/>
  <c r="BL160" i="3" s="1"/>
  <c r="AZ160" i="3" s="1"/>
  <c r="BR160" i="3"/>
  <c r="BT160" i="3"/>
  <c r="BA161" i="3"/>
  <c r="BN161" i="3"/>
  <c r="BP161" i="3"/>
  <c r="BR161" i="3"/>
  <c r="BT161" i="3"/>
  <c r="BL161" i="3"/>
  <c r="AZ161" i="3" s="1"/>
  <c r="BA162" i="3"/>
  <c r="BN162" i="3"/>
  <c r="BP162" i="3"/>
  <c r="BL162" i="3" s="1"/>
  <c r="AZ162" i="3" s="1"/>
  <c r="BR162" i="3"/>
  <c r="BT162" i="3"/>
  <c r="BA163" i="3"/>
  <c r="BN163" i="3"/>
  <c r="BP163" i="3"/>
  <c r="BR163" i="3"/>
  <c r="BT163" i="3"/>
  <c r="BL163" i="3"/>
  <c r="AZ163" i="3" s="1"/>
  <c r="BA164" i="3"/>
  <c r="BN164" i="3"/>
  <c r="BP164" i="3"/>
  <c r="BL164" i="3" s="1"/>
  <c r="AZ164" i="3" s="1"/>
  <c r="BR164" i="3"/>
  <c r="BT164" i="3"/>
  <c r="BA165" i="3"/>
  <c r="BN165" i="3"/>
  <c r="BP165" i="3"/>
  <c r="BR165" i="3"/>
  <c r="BT165" i="3"/>
  <c r="BL165" i="3"/>
  <c r="AZ165" i="3" s="1"/>
  <c r="BA166" i="3"/>
  <c r="BN166" i="3"/>
  <c r="BP166" i="3"/>
  <c r="BL166" i="3" s="1"/>
  <c r="AZ166" i="3" s="1"/>
  <c r="BR166" i="3"/>
  <c r="BT166" i="3"/>
  <c r="BA167" i="3"/>
  <c r="BN167" i="3"/>
  <c r="BP167" i="3"/>
  <c r="BR167" i="3"/>
  <c r="BT167" i="3"/>
  <c r="BL167" i="3"/>
  <c r="AZ167" i="3" s="1"/>
  <c r="BA168" i="3"/>
  <c r="BN168" i="3"/>
  <c r="BP168" i="3"/>
  <c r="BL168" i="3" s="1"/>
  <c r="AZ168" i="3" s="1"/>
  <c r="BR168" i="3"/>
  <c r="BT168" i="3"/>
  <c r="BA169" i="3"/>
  <c r="BN169" i="3"/>
  <c r="BP169" i="3"/>
  <c r="BR169" i="3"/>
  <c r="BT169" i="3"/>
  <c r="BL169" i="3"/>
  <c r="AZ169" i="3" s="1"/>
  <c r="BA170" i="3"/>
  <c r="BN170" i="3"/>
  <c r="BP170" i="3"/>
  <c r="BL170" i="3" s="1"/>
  <c r="AZ170" i="3" s="1"/>
  <c r="BR170" i="3"/>
  <c r="BT170" i="3"/>
  <c r="BA171" i="3"/>
  <c r="BN171" i="3"/>
  <c r="BP171" i="3"/>
  <c r="BR171" i="3"/>
  <c r="BT171" i="3"/>
  <c r="BL171" i="3"/>
  <c r="AZ171" i="3" s="1"/>
  <c r="BA172" i="3"/>
  <c r="BN172" i="3"/>
  <c r="BP172" i="3"/>
  <c r="BL172" i="3" s="1"/>
  <c r="AZ172" i="3" s="1"/>
  <c r="BR172" i="3"/>
  <c r="BT172" i="3"/>
  <c r="BA173" i="3"/>
  <c r="BN173" i="3"/>
  <c r="BP173" i="3"/>
  <c r="BR173" i="3"/>
  <c r="BT173" i="3"/>
  <c r="BL173" i="3"/>
  <c r="AZ173" i="3" s="1"/>
  <c r="BA174" i="3"/>
  <c r="BN174" i="3"/>
  <c r="BP174" i="3"/>
  <c r="BR174" i="3"/>
  <c r="BT174" i="3"/>
  <c r="BL174" i="3" s="1"/>
  <c r="AZ174" i="3" s="1"/>
  <c r="BA175" i="3"/>
  <c r="BN175" i="3"/>
  <c r="BP175" i="3"/>
  <c r="BR175" i="3"/>
  <c r="BT175" i="3"/>
  <c r="BL175" i="3" s="1"/>
  <c r="AZ175" i="3" s="1"/>
  <c r="BA176" i="3"/>
  <c r="BN176" i="3"/>
  <c r="BP176" i="3"/>
  <c r="BR176" i="3"/>
  <c r="BT176" i="3"/>
  <c r="BL176" i="3"/>
  <c r="AZ176" i="3" s="1"/>
  <c r="BA177" i="3"/>
  <c r="BN177" i="3"/>
  <c r="BP177" i="3"/>
  <c r="BR177" i="3"/>
  <c r="BT177" i="3"/>
  <c r="BL177" i="3" s="1"/>
  <c r="AZ177" i="3" s="1"/>
  <c r="BA178" i="3"/>
  <c r="BN178" i="3"/>
  <c r="BP178" i="3"/>
  <c r="BR178" i="3"/>
  <c r="BT178" i="3"/>
  <c r="BL178" i="3"/>
  <c r="AZ178" i="3" s="1"/>
  <c r="BA179" i="3"/>
  <c r="BN179" i="3"/>
  <c r="BP179" i="3"/>
  <c r="BR179" i="3"/>
  <c r="BT179" i="3"/>
  <c r="BL179" i="3" s="1"/>
  <c r="AZ179" i="3" s="1"/>
  <c r="BA180" i="3"/>
  <c r="BN180" i="3"/>
  <c r="BP180" i="3"/>
  <c r="BR180" i="3"/>
  <c r="BT180" i="3"/>
  <c r="BL180" i="3"/>
  <c r="AZ180" i="3"/>
  <c r="BA181" i="3"/>
  <c r="BN181" i="3"/>
  <c r="BP181" i="3"/>
  <c r="BR181" i="3"/>
  <c r="BT181" i="3"/>
  <c r="BL181" i="3"/>
  <c r="AZ181" i="3" s="1"/>
  <c r="BA182" i="3"/>
  <c r="BN182" i="3"/>
  <c r="BP182" i="3"/>
  <c r="BR182" i="3"/>
  <c r="BT182" i="3"/>
  <c r="BL182" i="3"/>
  <c r="AZ182" i="3"/>
  <c r="BA183" i="3"/>
  <c r="BN183" i="3"/>
  <c r="BP183" i="3"/>
  <c r="BR183" i="3"/>
  <c r="BT183" i="3"/>
  <c r="BL183" i="3"/>
  <c r="AZ183" i="3" s="1"/>
  <c r="BA184" i="3"/>
  <c r="BN184" i="3"/>
  <c r="BP184" i="3"/>
  <c r="BR184" i="3"/>
  <c r="BT184" i="3"/>
  <c r="BL184" i="3" s="1"/>
  <c r="AZ184" i="3" s="1"/>
  <c r="BA185" i="3"/>
  <c r="BN185" i="3"/>
  <c r="BP185" i="3"/>
  <c r="BR185" i="3"/>
  <c r="BT185" i="3"/>
  <c r="BL185" i="3"/>
  <c r="AZ185" i="3" s="1"/>
  <c r="BA186" i="3"/>
  <c r="BN186" i="3"/>
  <c r="BP186" i="3"/>
  <c r="BR186" i="3"/>
  <c r="BT186" i="3"/>
  <c r="BL186" i="3"/>
  <c r="AZ186" i="3"/>
  <c r="BA187" i="3"/>
  <c r="BN187" i="3"/>
  <c r="BP187" i="3"/>
  <c r="BR187" i="3"/>
  <c r="BT187" i="3"/>
  <c r="BL187" i="3" s="1"/>
  <c r="AZ187" i="3" s="1"/>
  <c r="BA188" i="3"/>
  <c r="BN188" i="3"/>
  <c r="BP188" i="3"/>
  <c r="BR188" i="3"/>
  <c r="BT188" i="3"/>
  <c r="BL188" i="3" s="1"/>
  <c r="AZ188" i="3" s="1"/>
  <c r="BA189" i="3"/>
  <c r="BN189" i="3"/>
  <c r="BP189" i="3"/>
  <c r="BR189" i="3"/>
  <c r="BT189" i="3"/>
  <c r="BL189" i="3"/>
  <c r="AZ189" i="3"/>
  <c r="BA190" i="3"/>
  <c r="BN190" i="3"/>
  <c r="BP190" i="3"/>
  <c r="BR190" i="3"/>
  <c r="BT190" i="3"/>
  <c r="BL190" i="3"/>
  <c r="AZ190" i="3" s="1"/>
  <c r="BA191" i="3"/>
  <c r="BN191" i="3"/>
  <c r="BP191" i="3"/>
  <c r="BL191" i="3" s="1"/>
  <c r="AZ191" i="3" s="1"/>
  <c r="BR191" i="3"/>
  <c r="BT191" i="3"/>
  <c r="BA192" i="3"/>
  <c r="BN192" i="3"/>
  <c r="BP192" i="3"/>
  <c r="BR192" i="3"/>
  <c r="BT192" i="3"/>
  <c r="BL192" i="3"/>
  <c r="AZ192" i="3" s="1"/>
  <c r="BA193" i="3"/>
  <c r="BN193" i="3"/>
  <c r="BP193" i="3"/>
  <c r="BL193" i="3" s="1"/>
  <c r="AZ193" i="3" s="1"/>
  <c r="BR193" i="3"/>
  <c r="BT193" i="3"/>
  <c r="BA194" i="3"/>
  <c r="BN194" i="3"/>
  <c r="BP194" i="3"/>
  <c r="BR194" i="3"/>
  <c r="BT194" i="3"/>
  <c r="BL194" i="3"/>
  <c r="AZ194" i="3" s="1"/>
  <c r="BA195" i="3"/>
  <c r="BN195" i="3"/>
  <c r="BP195" i="3"/>
  <c r="BL195" i="3" s="1"/>
  <c r="AZ195" i="3" s="1"/>
  <c r="BR195" i="3"/>
  <c r="BT195" i="3"/>
  <c r="BA196" i="3"/>
  <c r="BN196" i="3"/>
  <c r="BP196" i="3"/>
  <c r="BR196" i="3"/>
  <c r="BT196" i="3"/>
  <c r="BL196" i="3"/>
  <c r="AZ196" i="3" s="1"/>
  <c r="BA197" i="3"/>
  <c r="BN197" i="3"/>
  <c r="BP197" i="3"/>
  <c r="BL197" i="3" s="1"/>
  <c r="AZ197" i="3" s="1"/>
  <c r="BR197" i="3"/>
  <c r="BT197" i="3"/>
  <c r="BA198" i="3"/>
  <c r="BN198" i="3"/>
  <c r="BP198" i="3"/>
  <c r="BR198" i="3"/>
  <c r="BT198" i="3"/>
  <c r="BL198" i="3"/>
  <c r="AZ198" i="3" s="1"/>
  <c r="BA199" i="3"/>
  <c r="BN199" i="3"/>
  <c r="BP199" i="3"/>
  <c r="BL199" i="3" s="1"/>
  <c r="AZ199" i="3" s="1"/>
  <c r="BR199" i="3"/>
  <c r="BT199" i="3"/>
  <c r="BA200" i="3"/>
  <c r="BN200" i="3"/>
  <c r="BP200" i="3"/>
  <c r="BR200" i="3"/>
  <c r="BT200" i="3"/>
  <c r="BL200" i="3"/>
  <c r="AZ200" i="3" s="1"/>
  <c r="BA201" i="3"/>
  <c r="BN201" i="3"/>
  <c r="BP201" i="3"/>
  <c r="BL201" i="3" s="1"/>
  <c r="AZ201" i="3" s="1"/>
  <c r="BR201" i="3"/>
  <c r="BT201" i="3"/>
  <c r="BA202" i="3"/>
  <c r="BN202" i="3"/>
  <c r="BP202" i="3"/>
  <c r="BR202" i="3"/>
  <c r="BT202" i="3"/>
  <c r="BL202" i="3"/>
  <c r="AZ202" i="3" s="1"/>
  <c r="BA203" i="3"/>
  <c r="BN203" i="3"/>
  <c r="BP203" i="3"/>
  <c r="BL203" i="3" s="1"/>
  <c r="AZ203" i="3" s="1"/>
  <c r="BR203" i="3"/>
  <c r="BT203" i="3"/>
  <c r="BA204" i="3"/>
  <c r="BN204" i="3"/>
  <c r="BP204" i="3"/>
  <c r="BR204" i="3"/>
  <c r="BT204" i="3"/>
  <c r="BL204" i="3"/>
  <c r="AZ204" i="3" s="1"/>
  <c r="BA205" i="3"/>
  <c r="BN205" i="3"/>
  <c r="BP205" i="3"/>
  <c r="BL205" i="3" s="1"/>
  <c r="AZ205" i="3" s="1"/>
  <c r="BR205" i="3"/>
  <c r="BT205" i="3"/>
  <c r="BA206" i="3"/>
  <c r="BN206" i="3"/>
  <c r="BP206" i="3"/>
  <c r="BR206" i="3"/>
  <c r="BT206" i="3"/>
  <c r="BL206" i="3"/>
  <c r="AZ206" i="3" s="1"/>
  <c r="BA207" i="3"/>
  <c r="BN207" i="3"/>
  <c r="BP207" i="3"/>
  <c r="BL207" i="3" s="1"/>
  <c r="AZ207" i="3" s="1"/>
  <c r="BR207" i="3"/>
  <c r="BT207" i="3"/>
  <c r="BA208" i="3"/>
  <c r="BN208" i="3"/>
  <c r="BP208" i="3"/>
  <c r="BR208" i="3"/>
  <c r="BT208" i="3"/>
  <c r="BL208" i="3"/>
  <c r="AZ208" i="3" s="1"/>
  <c r="BA209" i="3"/>
  <c r="BN209" i="3"/>
  <c r="BP209" i="3"/>
  <c r="BL209" i="3" s="1"/>
  <c r="AZ209" i="3" s="1"/>
  <c r="BR209" i="3"/>
  <c r="BT209" i="3"/>
  <c r="BA210" i="3"/>
  <c r="BN210" i="3"/>
  <c r="BP210" i="3"/>
  <c r="BR210" i="3"/>
  <c r="BT210" i="3"/>
  <c r="BL210" i="3"/>
  <c r="AZ210" i="3" s="1"/>
  <c r="BA211" i="3"/>
  <c r="BN211" i="3"/>
  <c r="BP211" i="3"/>
  <c r="BL211" i="3" s="1"/>
  <c r="AZ211" i="3" s="1"/>
  <c r="BR211" i="3"/>
  <c r="BT211" i="3"/>
  <c r="BA212" i="3"/>
  <c r="BN212" i="3"/>
  <c r="BP212" i="3"/>
  <c r="BR212" i="3"/>
  <c r="BT212" i="3"/>
  <c r="BL212" i="3"/>
  <c r="AZ212" i="3" s="1"/>
  <c r="BA213" i="3"/>
  <c r="BN213" i="3"/>
  <c r="BP213" i="3"/>
  <c r="BL213" i="3" s="1"/>
  <c r="AZ213" i="3" s="1"/>
  <c r="BR213" i="3"/>
  <c r="BT213" i="3"/>
  <c r="BA214" i="3"/>
  <c r="BN214" i="3"/>
  <c r="BP214" i="3"/>
  <c r="BR214" i="3"/>
  <c r="BT214" i="3"/>
  <c r="BL214" i="3"/>
  <c r="AZ214" i="3" s="1"/>
  <c r="BA215" i="3"/>
  <c r="BN215" i="3"/>
  <c r="BP215" i="3"/>
  <c r="BL215" i="3" s="1"/>
  <c r="AZ215" i="3" s="1"/>
  <c r="BR215" i="3"/>
  <c r="BT215" i="3"/>
  <c r="BA216" i="3"/>
  <c r="BN216" i="3"/>
  <c r="BP216" i="3"/>
  <c r="BR216" i="3"/>
  <c r="BT216" i="3"/>
  <c r="BL216" i="3"/>
  <c r="AZ216" i="3" s="1"/>
  <c r="BA217" i="3"/>
  <c r="BN217" i="3"/>
  <c r="BP217" i="3"/>
  <c r="BL217" i="3" s="1"/>
  <c r="AZ217" i="3" s="1"/>
  <c r="BR217" i="3"/>
  <c r="BT217" i="3"/>
  <c r="BA218" i="3"/>
  <c r="BN218" i="3"/>
  <c r="BP218" i="3"/>
  <c r="BR218" i="3"/>
  <c r="BT218" i="3"/>
  <c r="BL218" i="3"/>
  <c r="AZ218" i="3" s="1"/>
  <c r="BA219" i="3"/>
  <c r="BN219" i="3"/>
  <c r="BP219" i="3"/>
  <c r="BL219" i="3" s="1"/>
  <c r="AZ219" i="3" s="1"/>
  <c r="BR219" i="3"/>
  <c r="BT219" i="3"/>
  <c r="BA220" i="3"/>
  <c r="BN220" i="3"/>
  <c r="BP220" i="3"/>
  <c r="BR220" i="3"/>
  <c r="BT220" i="3"/>
  <c r="BL220" i="3"/>
  <c r="AZ220" i="3" s="1"/>
  <c r="BA221" i="3"/>
  <c r="BN221" i="3"/>
  <c r="BP221" i="3"/>
  <c r="BL221" i="3" s="1"/>
  <c r="AZ221" i="3" s="1"/>
  <c r="BR221" i="3"/>
  <c r="BT221" i="3"/>
  <c r="BA222" i="3"/>
  <c r="BN222" i="3"/>
  <c r="BP222" i="3"/>
  <c r="BR222" i="3"/>
  <c r="BT222" i="3"/>
  <c r="BL222" i="3"/>
  <c r="AZ222" i="3" s="1"/>
  <c r="BA223" i="3"/>
  <c r="BN223" i="3"/>
  <c r="BP223" i="3"/>
  <c r="BL223" i="3" s="1"/>
  <c r="AZ223" i="3" s="1"/>
  <c r="BR223" i="3"/>
  <c r="BT223" i="3"/>
  <c r="BA224" i="3"/>
  <c r="BN224" i="3"/>
  <c r="BP224" i="3"/>
  <c r="BR224" i="3"/>
  <c r="BT224" i="3"/>
  <c r="BL224" i="3"/>
  <c r="AZ224" i="3" s="1"/>
  <c r="BA225" i="3"/>
  <c r="BN225" i="3"/>
  <c r="BP225" i="3"/>
  <c r="BL225" i="3" s="1"/>
  <c r="AZ225" i="3" s="1"/>
  <c r="BR225" i="3"/>
  <c r="BT225" i="3"/>
  <c r="BA226" i="3"/>
  <c r="BN226" i="3"/>
  <c r="BP226" i="3"/>
  <c r="BR226" i="3"/>
  <c r="BT226" i="3"/>
  <c r="BL226" i="3"/>
  <c r="AZ226" i="3" s="1"/>
  <c r="BA227" i="3"/>
  <c r="BN227" i="3"/>
  <c r="BP227" i="3"/>
  <c r="BL227" i="3" s="1"/>
  <c r="AZ227" i="3" s="1"/>
  <c r="BR227" i="3"/>
  <c r="BT227" i="3"/>
  <c r="BA228" i="3"/>
  <c r="BN228" i="3"/>
  <c r="BP228" i="3"/>
  <c r="BR228" i="3"/>
  <c r="BT228" i="3"/>
  <c r="BL228" i="3"/>
  <c r="AZ228" i="3" s="1"/>
  <c r="BA229" i="3"/>
  <c r="BN229" i="3"/>
  <c r="BP229" i="3"/>
  <c r="BL229" i="3" s="1"/>
  <c r="AZ229" i="3" s="1"/>
  <c r="BR229" i="3"/>
  <c r="BT229" i="3"/>
  <c r="BA230" i="3"/>
  <c r="BN230" i="3"/>
  <c r="BP230" i="3"/>
  <c r="BR230" i="3"/>
  <c r="BT230" i="3"/>
  <c r="BL230" i="3"/>
  <c r="AZ230" i="3"/>
  <c r="BA231" i="3"/>
  <c r="BN231" i="3"/>
  <c r="BP231" i="3"/>
  <c r="BR231" i="3"/>
  <c r="BT231" i="3"/>
  <c r="BL231" i="3"/>
  <c r="AZ231" i="3" s="1"/>
  <c r="BA232" i="3"/>
  <c r="BN232" i="3"/>
  <c r="BP232" i="3"/>
  <c r="BL232" i="3" s="1"/>
  <c r="AZ232" i="3" s="1"/>
  <c r="BR232" i="3"/>
  <c r="BT232" i="3"/>
  <c r="BA233" i="3"/>
  <c r="BN233" i="3"/>
  <c r="BP233" i="3"/>
  <c r="BR233" i="3"/>
  <c r="BT233" i="3"/>
  <c r="BL233" i="3"/>
  <c r="AZ233" i="3" s="1"/>
  <c r="BA234" i="3"/>
  <c r="BN234" i="3"/>
  <c r="BP234" i="3"/>
  <c r="BR234" i="3"/>
  <c r="BT234" i="3"/>
  <c r="BL234" i="3" s="1"/>
  <c r="AZ234" i="3" s="1"/>
  <c r="BA235" i="3"/>
  <c r="BN235" i="3"/>
  <c r="BP235" i="3"/>
  <c r="BR235" i="3"/>
  <c r="BT235" i="3"/>
  <c r="BL235" i="3" s="1"/>
  <c r="AZ235" i="3" s="1"/>
  <c r="BA236" i="3"/>
  <c r="BN236" i="3"/>
  <c r="BP236" i="3"/>
  <c r="BR236" i="3"/>
  <c r="BT236" i="3"/>
  <c r="BL236" i="3" s="1"/>
  <c r="AZ236" i="3" s="1"/>
  <c r="BA237" i="3"/>
  <c r="BN237" i="3"/>
  <c r="BP237" i="3"/>
  <c r="BR237" i="3"/>
  <c r="BT237" i="3"/>
  <c r="BL237" i="3"/>
  <c r="AZ237" i="3" s="1"/>
  <c r="BA238" i="3"/>
  <c r="BN238" i="3"/>
  <c r="BP238" i="3"/>
  <c r="BR238" i="3"/>
  <c r="BT238" i="3"/>
  <c r="BL238" i="3" s="1"/>
  <c r="AZ238" i="3" s="1"/>
  <c r="BA239" i="3"/>
  <c r="BN239" i="3"/>
  <c r="BP239" i="3"/>
  <c r="BR239" i="3"/>
  <c r="BT239" i="3"/>
  <c r="BL239" i="3" s="1"/>
  <c r="AZ239" i="3" s="1"/>
  <c r="BA240" i="3"/>
  <c r="BN240" i="3"/>
  <c r="BP240" i="3"/>
  <c r="BR240" i="3"/>
  <c r="BT240" i="3"/>
  <c r="BL240" i="3"/>
  <c r="AZ240" i="3" s="1"/>
  <c r="BA241" i="3"/>
  <c r="BN241" i="3"/>
  <c r="BP241" i="3"/>
  <c r="BR241" i="3"/>
  <c r="BT241" i="3"/>
  <c r="BL241" i="3" s="1"/>
  <c r="AZ241" i="3" s="1"/>
  <c r="BA242" i="3"/>
  <c r="BN242" i="3"/>
  <c r="BP242" i="3"/>
  <c r="BR242" i="3"/>
  <c r="BT242" i="3"/>
  <c r="BL242" i="3"/>
  <c r="AZ242" i="3" s="1"/>
  <c r="BA243" i="3"/>
  <c r="BN243" i="3"/>
  <c r="BP243" i="3"/>
  <c r="BR243" i="3"/>
  <c r="BT243" i="3"/>
  <c r="BL243" i="3" s="1"/>
  <c r="AZ243" i="3" s="1"/>
  <c r="BA244" i="3"/>
  <c r="BN244" i="3"/>
  <c r="BP244" i="3"/>
  <c r="BR244" i="3"/>
  <c r="BT244" i="3"/>
  <c r="BL244" i="3"/>
  <c r="AZ244" i="3" s="1"/>
  <c r="BA245" i="3"/>
  <c r="BN245" i="3"/>
  <c r="BP245" i="3"/>
  <c r="BR245" i="3"/>
  <c r="BT245" i="3"/>
  <c r="BL245" i="3" s="1"/>
  <c r="AZ245" i="3" s="1"/>
  <c r="BA246" i="3"/>
  <c r="BN246" i="3"/>
  <c r="BP246" i="3"/>
  <c r="BR246" i="3"/>
  <c r="BT246" i="3"/>
  <c r="BL246" i="3"/>
  <c r="AZ246" i="3" s="1"/>
  <c r="BA247" i="3"/>
  <c r="BN247" i="3"/>
  <c r="BP247" i="3"/>
  <c r="BL247" i="3" s="1"/>
  <c r="AZ247" i="3" s="1"/>
  <c r="BR247" i="3"/>
  <c r="BT247" i="3"/>
  <c r="BA248" i="3"/>
  <c r="BN248" i="3"/>
  <c r="BP248" i="3"/>
  <c r="BR248" i="3"/>
  <c r="BT248" i="3"/>
  <c r="BL248" i="3"/>
  <c r="AZ248" i="3" s="1"/>
  <c r="BA249" i="3"/>
  <c r="BN249" i="3"/>
  <c r="BP249" i="3"/>
  <c r="BL249" i="3" s="1"/>
  <c r="AZ249" i="3" s="1"/>
  <c r="BR249" i="3"/>
  <c r="BT249" i="3"/>
  <c r="BA250" i="3"/>
  <c r="BN250" i="3"/>
  <c r="BP250" i="3"/>
  <c r="BR250" i="3"/>
  <c r="BT250" i="3"/>
  <c r="BL250" i="3"/>
  <c r="AZ250" i="3" s="1"/>
  <c r="BA251" i="3"/>
  <c r="BN251" i="3"/>
  <c r="BP251" i="3"/>
  <c r="BL251" i="3" s="1"/>
  <c r="AZ251" i="3" s="1"/>
  <c r="BR251" i="3"/>
  <c r="BT251" i="3"/>
  <c r="BA252" i="3"/>
  <c r="BN252" i="3"/>
  <c r="BP252" i="3"/>
  <c r="BR252" i="3"/>
  <c r="BT252" i="3"/>
  <c r="BL252" i="3"/>
  <c r="AZ252" i="3" s="1"/>
  <c r="BA253" i="3"/>
  <c r="BN253" i="3"/>
  <c r="BP253" i="3"/>
  <c r="BL253" i="3" s="1"/>
  <c r="AZ253" i="3" s="1"/>
  <c r="BR253" i="3"/>
  <c r="BT253" i="3"/>
  <c r="BA254" i="3"/>
  <c r="BN254" i="3"/>
  <c r="BP254" i="3"/>
  <c r="BR254" i="3"/>
  <c r="BT254" i="3"/>
  <c r="BL254" i="3"/>
  <c r="AZ254" i="3" s="1"/>
  <c r="BA255" i="3"/>
  <c r="BN255" i="3"/>
  <c r="BP255" i="3"/>
  <c r="BL255" i="3" s="1"/>
  <c r="AZ255" i="3" s="1"/>
  <c r="BR255" i="3"/>
  <c r="BT255" i="3"/>
  <c r="BA256" i="3"/>
  <c r="BN256" i="3"/>
  <c r="BP256" i="3"/>
  <c r="BR256" i="3"/>
  <c r="BT256" i="3"/>
  <c r="BL256" i="3"/>
  <c r="AZ256" i="3" s="1"/>
  <c r="BA257" i="3"/>
  <c r="BN257" i="3"/>
  <c r="BP257" i="3"/>
  <c r="BL257" i="3" s="1"/>
  <c r="AZ257" i="3" s="1"/>
  <c r="BR257" i="3"/>
  <c r="BT257" i="3"/>
  <c r="BA258" i="3"/>
  <c r="BN258" i="3"/>
  <c r="BP258" i="3"/>
  <c r="BR258" i="3"/>
  <c r="BT258" i="3"/>
  <c r="BL258" i="3"/>
  <c r="AZ258" i="3" s="1"/>
  <c r="BA259" i="3"/>
  <c r="BN259" i="3"/>
  <c r="BP259" i="3"/>
  <c r="BL259" i="3" s="1"/>
  <c r="AZ259" i="3" s="1"/>
  <c r="BR259" i="3"/>
  <c r="BT259" i="3"/>
  <c r="BA260" i="3"/>
  <c r="BN260" i="3"/>
  <c r="BP260" i="3"/>
  <c r="BR260" i="3"/>
  <c r="BT260" i="3"/>
  <c r="BL260" i="3"/>
  <c r="AZ260" i="3" s="1"/>
  <c r="BA261" i="3"/>
  <c r="BN261" i="3"/>
  <c r="BP261" i="3"/>
  <c r="BL261" i="3" s="1"/>
  <c r="AZ261" i="3" s="1"/>
  <c r="BR261" i="3"/>
  <c r="BT261" i="3"/>
  <c r="BA262" i="3"/>
  <c r="BN262" i="3"/>
  <c r="BP262" i="3"/>
  <c r="BR262" i="3"/>
  <c r="BT262" i="3"/>
  <c r="BL262" i="3"/>
  <c r="AZ262" i="3" s="1"/>
  <c r="BA263" i="3"/>
  <c r="BN263" i="3"/>
  <c r="BP263" i="3"/>
  <c r="BL263" i="3" s="1"/>
  <c r="AZ263" i="3" s="1"/>
  <c r="BR263" i="3"/>
  <c r="BT263" i="3"/>
  <c r="BA264" i="3"/>
  <c r="BN264" i="3"/>
  <c r="BP264" i="3"/>
  <c r="BR264" i="3"/>
  <c r="BT264" i="3"/>
  <c r="BL264" i="3"/>
  <c r="AZ264" i="3" s="1"/>
  <c r="BA265" i="3"/>
  <c r="BN265" i="3"/>
  <c r="BP265" i="3"/>
  <c r="BL265" i="3" s="1"/>
  <c r="AZ265" i="3" s="1"/>
  <c r="BR265" i="3"/>
  <c r="BT265" i="3"/>
  <c r="BA266" i="3"/>
  <c r="BN266" i="3"/>
  <c r="BP266" i="3"/>
  <c r="BR266" i="3"/>
  <c r="BT266" i="3"/>
  <c r="BL266" i="3"/>
  <c r="AZ266" i="3" s="1"/>
  <c r="BA267" i="3"/>
  <c r="BN267" i="3"/>
  <c r="BP267" i="3"/>
  <c r="BL267" i="3" s="1"/>
  <c r="AZ267" i="3" s="1"/>
  <c r="BR267" i="3"/>
  <c r="BT267" i="3"/>
  <c r="BA268" i="3"/>
  <c r="BN268" i="3"/>
  <c r="BP268" i="3"/>
  <c r="BR268" i="3"/>
  <c r="BT268" i="3"/>
  <c r="BL268" i="3"/>
  <c r="AZ268" i="3" s="1"/>
  <c r="BA269" i="3"/>
  <c r="BN269" i="3"/>
  <c r="BP269" i="3"/>
  <c r="BL269" i="3" s="1"/>
  <c r="AZ269" i="3" s="1"/>
  <c r="BR269" i="3"/>
  <c r="BT269" i="3"/>
  <c r="BA270" i="3"/>
  <c r="BN270" i="3"/>
  <c r="BP270" i="3"/>
  <c r="BR270" i="3"/>
  <c r="BT270" i="3"/>
  <c r="BL270" i="3"/>
  <c r="AZ270" i="3" s="1"/>
  <c r="BA271" i="3"/>
  <c r="BN271" i="3"/>
  <c r="BP271" i="3"/>
  <c r="BL271" i="3" s="1"/>
  <c r="AZ271" i="3" s="1"/>
  <c r="BR271" i="3"/>
  <c r="BT271" i="3"/>
  <c r="BA272" i="3"/>
  <c r="BN272" i="3"/>
  <c r="BP272" i="3"/>
  <c r="BR272" i="3"/>
  <c r="BT272" i="3"/>
  <c r="BL272" i="3"/>
  <c r="AZ272" i="3" s="1"/>
  <c r="BA273" i="3"/>
  <c r="BN273" i="3"/>
  <c r="BP273" i="3"/>
  <c r="BL273" i="3" s="1"/>
  <c r="AZ273" i="3" s="1"/>
  <c r="BR273" i="3"/>
  <c r="BT273" i="3"/>
  <c r="BA274" i="3"/>
  <c r="BN274" i="3"/>
  <c r="BP274" i="3"/>
  <c r="BR274" i="3"/>
  <c r="BT274" i="3"/>
  <c r="BL274" i="3"/>
  <c r="AZ274" i="3" s="1"/>
  <c r="BA275" i="3"/>
  <c r="BN275" i="3"/>
  <c r="BP275" i="3"/>
  <c r="BL275" i="3" s="1"/>
  <c r="AZ275" i="3" s="1"/>
  <c r="BR275" i="3"/>
  <c r="BT275" i="3"/>
  <c r="BA276" i="3"/>
  <c r="BN276" i="3"/>
  <c r="BP276" i="3"/>
  <c r="BR276" i="3"/>
  <c r="BT276" i="3"/>
  <c r="BL276" i="3"/>
  <c r="AZ276" i="3" s="1"/>
  <c r="BA277" i="3"/>
  <c r="BN277" i="3"/>
  <c r="BP277" i="3"/>
  <c r="BL277" i="3" s="1"/>
  <c r="AZ277" i="3" s="1"/>
  <c r="BR277" i="3"/>
  <c r="BT277" i="3"/>
  <c r="BA278" i="3"/>
  <c r="BN278" i="3"/>
  <c r="BP278" i="3"/>
  <c r="BR278" i="3"/>
  <c r="BT278" i="3"/>
  <c r="BL278" i="3"/>
  <c r="AZ278" i="3" s="1"/>
  <c r="BA279" i="3"/>
  <c r="BN279" i="3"/>
  <c r="BP279" i="3"/>
  <c r="BL279" i="3" s="1"/>
  <c r="AZ279" i="3" s="1"/>
  <c r="BR279" i="3"/>
  <c r="BT279" i="3"/>
  <c r="BA280" i="3"/>
  <c r="BN280" i="3"/>
  <c r="BP280" i="3"/>
  <c r="BR280" i="3"/>
  <c r="BT280" i="3"/>
  <c r="BL280" i="3"/>
  <c r="AZ280" i="3" s="1"/>
  <c r="BA281" i="3"/>
  <c r="BN281" i="3"/>
  <c r="BP281" i="3"/>
  <c r="BL281" i="3" s="1"/>
  <c r="AZ281" i="3" s="1"/>
  <c r="BR281" i="3"/>
  <c r="BT281" i="3"/>
  <c r="BA282" i="3"/>
  <c r="BN282" i="3"/>
  <c r="BP282" i="3"/>
  <c r="BR282" i="3"/>
  <c r="BT282" i="3"/>
  <c r="BL282" i="3"/>
  <c r="AZ282" i="3" s="1"/>
  <c r="BA283" i="3"/>
  <c r="BN283" i="3"/>
  <c r="BP283" i="3"/>
  <c r="BL283" i="3" s="1"/>
  <c r="AZ283" i="3" s="1"/>
  <c r="BR283" i="3"/>
  <c r="BT283" i="3"/>
  <c r="BA284" i="3"/>
  <c r="BN284" i="3"/>
  <c r="BP284" i="3"/>
  <c r="BR284" i="3"/>
  <c r="BT284" i="3"/>
  <c r="BL284" i="3"/>
  <c r="AZ284" i="3" s="1"/>
  <c r="BA285" i="3"/>
  <c r="BN285" i="3"/>
  <c r="BP285" i="3"/>
  <c r="BL285" i="3" s="1"/>
  <c r="AZ285" i="3" s="1"/>
  <c r="BR285" i="3"/>
  <c r="BT285" i="3"/>
  <c r="BA286" i="3"/>
  <c r="BN286" i="3"/>
  <c r="BP286" i="3"/>
  <c r="BR286" i="3"/>
  <c r="BT286" i="3"/>
  <c r="BL286" i="3"/>
  <c r="AZ286" i="3" s="1"/>
  <c r="BA287" i="3"/>
  <c r="BN287" i="3"/>
  <c r="BP287" i="3"/>
  <c r="BL287" i="3" s="1"/>
  <c r="AZ287" i="3" s="1"/>
  <c r="BR287" i="3"/>
  <c r="BT287" i="3"/>
  <c r="BA288" i="3"/>
  <c r="BN288" i="3"/>
  <c r="BP288" i="3"/>
  <c r="BR288" i="3"/>
  <c r="BT288" i="3"/>
  <c r="BL288" i="3"/>
  <c r="AZ288" i="3" s="1"/>
  <c r="BA289" i="3"/>
  <c r="BN289" i="3"/>
  <c r="BP289" i="3"/>
  <c r="BL289" i="3" s="1"/>
  <c r="AZ289" i="3" s="1"/>
  <c r="BR289" i="3"/>
  <c r="BT289" i="3"/>
  <c r="BA290" i="3"/>
  <c r="BN290" i="3"/>
  <c r="BP290" i="3"/>
  <c r="BR290" i="3"/>
  <c r="BT290" i="3"/>
  <c r="BL290" i="3"/>
  <c r="AZ290" i="3" s="1"/>
  <c r="BA291" i="3"/>
  <c r="BN291" i="3"/>
  <c r="BP291" i="3"/>
  <c r="BL291" i="3" s="1"/>
  <c r="AZ291" i="3" s="1"/>
  <c r="BR291" i="3"/>
  <c r="BT291" i="3"/>
  <c r="BA292" i="3"/>
  <c r="BN292" i="3"/>
  <c r="BP292" i="3"/>
  <c r="BR292" i="3"/>
  <c r="BT292" i="3"/>
  <c r="BL292" i="3"/>
  <c r="AZ292" i="3" s="1"/>
  <c r="BA293" i="3"/>
  <c r="BN293" i="3"/>
  <c r="BP293" i="3"/>
  <c r="BL293" i="3" s="1"/>
  <c r="AZ293" i="3" s="1"/>
  <c r="BR293" i="3"/>
  <c r="BT293" i="3"/>
  <c r="BA294" i="3"/>
  <c r="BN294" i="3"/>
  <c r="BP294" i="3"/>
  <c r="BR294" i="3"/>
  <c r="BT294" i="3"/>
  <c r="BL294" i="3"/>
  <c r="AZ294" i="3" s="1"/>
  <c r="BA295" i="3"/>
  <c r="BN295" i="3"/>
  <c r="BP295" i="3"/>
  <c r="BL295" i="3" s="1"/>
  <c r="AZ295" i="3" s="1"/>
  <c r="BR295" i="3"/>
  <c r="BT295" i="3"/>
  <c r="BA296" i="3"/>
  <c r="BN296" i="3"/>
  <c r="BP296" i="3"/>
  <c r="BR296" i="3"/>
  <c r="BT296" i="3"/>
  <c r="BL296" i="3"/>
  <c r="AZ296" i="3" s="1"/>
  <c r="BA297" i="3"/>
  <c r="BN297" i="3"/>
  <c r="BP297" i="3"/>
  <c r="BL297" i="3" s="1"/>
  <c r="AZ297" i="3" s="1"/>
  <c r="BR297" i="3"/>
  <c r="BT297" i="3"/>
  <c r="BA298" i="3"/>
  <c r="BN298" i="3"/>
  <c r="BP298" i="3"/>
  <c r="BR298" i="3"/>
  <c r="BT298" i="3"/>
  <c r="BL298" i="3"/>
  <c r="AZ298" i="3" s="1"/>
  <c r="BA299" i="3"/>
  <c r="BN299" i="3"/>
  <c r="BP299" i="3"/>
  <c r="BL299" i="3" s="1"/>
  <c r="AZ299" i="3" s="1"/>
  <c r="BR299" i="3"/>
  <c r="BT299" i="3"/>
  <c r="BA300" i="3"/>
  <c r="BN300" i="3"/>
  <c r="BP300" i="3"/>
  <c r="BR300" i="3"/>
  <c r="BT300" i="3"/>
  <c r="BL300" i="3"/>
  <c r="AZ300" i="3" s="1"/>
  <c r="BA301" i="3"/>
  <c r="BN301" i="3"/>
  <c r="BP301" i="3"/>
  <c r="BL301" i="3" s="1"/>
  <c r="AZ301" i="3" s="1"/>
  <c r="BR301" i="3"/>
  <c r="BT301" i="3"/>
  <c r="BA302" i="3"/>
  <c r="BN302" i="3"/>
  <c r="BP302" i="3"/>
  <c r="BR302" i="3"/>
  <c r="BT302" i="3"/>
  <c r="BL302" i="3"/>
  <c r="AZ302" i="3" s="1"/>
  <c r="BA303" i="3"/>
  <c r="BN303" i="3"/>
  <c r="BP303" i="3"/>
  <c r="BL303" i="3" s="1"/>
  <c r="AZ303" i="3" s="1"/>
  <c r="BR303" i="3"/>
  <c r="BT303" i="3"/>
  <c r="BA304" i="3"/>
  <c r="BN304" i="3"/>
  <c r="BP304" i="3"/>
  <c r="BR304" i="3"/>
  <c r="BT304" i="3"/>
  <c r="BL304" i="3"/>
  <c r="AZ304" i="3" s="1"/>
  <c r="BA305" i="3"/>
  <c r="BN305" i="3"/>
  <c r="BP305" i="3"/>
  <c r="BL305" i="3" s="1"/>
  <c r="AZ305" i="3" s="1"/>
  <c r="BR305" i="3"/>
  <c r="BT305" i="3"/>
  <c r="BA306" i="3"/>
  <c r="BN306" i="3"/>
  <c r="BP306" i="3"/>
  <c r="BR306" i="3"/>
  <c r="BT306" i="3"/>
  <c r="BL306" i="3"/>
  <c r="AZ306" i="3" s="1"/>
  <c r="BA307" i="3"/>
  <c r="BN307" i="3"/>
  <c r="BP307" i="3"/>
  <c r="BL307" i="3" s="1"/>
  <c r="AZ307" i="3" s="1"/>
  <c r="BR307" i="3"/>
  <c r="BT307" i="3"/>
  <c r="BA308" i="3"/>
  <c r="BN308" i="3"/>
  <c r="BP308" i="3"/>
  <c r="BR308" i="3"/>
  <c r="BT308" i="3"/>
  <c r="BL308" i="3"/>
  <c r="AZ308" i="3" s="1"/>
  <c r="BA309" i="3"/>
  <c r="BN309" i="3"/>
  <c r="BP309" i="3"/>
  <c r="BL309" i="3" s="1"/>
  <c r="AZ309" i="3" s="1"/>
  <c r="BR309" i="3"/>
  <c r="BT309" i="3"/>
  <c r="BA310" i="3"/>
  <c r="BN310" i="3"/>
  <c r="BP310" i="3"/>
  <c r="BR310" i="3"/>
  <c r="BT310" i="3"/>
  <c r="BL310" i="3"/>
  <c r="AZ310" i="3" s="1"/>
  <c r="BA311" i="3"/>
  <c r="BN311" i="3"/>
  <c r="BP311" i="3"/>
  <c r="BL311" i="3" s="1"/>
  <c r="AZ311" i="3" s="1"/>
  <c r="BR311" i="3"/>
  <c r="BT311" i="3"/>
  <c r="BA312" i="3"/>
  <c r="BN312" i="3"/>
  <c r="BP312" i="3"/>
  <c r="BR312" i="3"/>
  <c r="BT312" i="3"/>
  <c r="BL312" i="3"/>
  <c r="AZ312" i="3" s="1"/>
  <c r="BA313" i="3"/>
  <c r="BN313" i="3"/>
  <c r="BP313" i="3"/>
  <c r="BL313" i="3" s="1"/>
  <c r="AZ313" i="3" s="1"/>
  <c r="BR313" i="3"/>
  <c r="BT313" i="3"/>
  <c r="BA314" i="3"/>
  <c r="BN314" i="3"/>
  <c r="BP314" i="3"/>
  <c r="BR314" i="3"/>
  <c r="BT314" i="3"/>
  <c r="BL314" i="3"/>
  <c r="AZ314" i="3" s="1"/>
  <c r="BA315" i="3"/>
  <c r="BN315" i="3"/>
  <c r="BP315" i="3"/>
  <c r="BL315" i="3" s="1"/>
  <c r="AZ315" i="3" s="1"/>
  <c r="BR315" i="3"/>
  <c r="BT315" i="3"/>
  <c r="BA316" i="3"/>
  <c r="BN316" i="3"/>
  <c r="BP316" i="3"/>
  <c r="BR316" i="3"/>
  <c r="BT316" i="3"/>
  <c r="BL316" i="3"/>
  <c r="AZ316" i="3" s="1"/>
  <c r="BA317" i="3"/>
  <c r="BN317" i="3"/>
  <c r="BP317" i="3"/>
  <c r="BL317" i="3" s="1"/>
  <c r="AZ317" i="3" s="1"/>
  <c r="BR317" i="3"/>
  <c r="BT317" i="3"/>
  <c r="BA318" i="3"/>
  <c r="BN318" i="3"/>
  <c r="BP318" i="3"/>
  <c r="BR318" i="3"/>
  <c r="BT318" i="3"/>
  <c r="BL318" i="3"/>
  <c r="AZ318" i="3" s="1"/>
  <c r="BA319" i="3"/>
  <c r="BN319" i="3"/>
  <c r="BP319" i="3"/>
  <c r="BL319" i="3" s="1"/>
  <c r="AZ319" i="3" s="1"/>
  <c r="BR319" i="3"/>
  <c r="BT319" i="3"/>
  <c r="BA320" i="3"/>
  <c r="BN320" i="3"/>
  <c r="BP320" i="3"/>
  <c r="BR320" i="3"/>
  <c r="BT320" i="3"/>
  <c r="BL320" i="3"/>
  <c r="AZ320" i="3" s="1"/>
  <c r="BA321" i="3"/>
  <c r="BN321" i="3"/>
  <c r="BP321" i="3"/>
  <c r="BR321" i="3"/>
  <c r="BT321" i="3"/>
  <c r="BA322" i="3"/>
  <c r="BN322" i="3"/>
  <c r="BP322" i="3"/>
  <c r="BR322" i="3"/>
  <c r="BT322" i="3"/>
  <c r="BL322" i="3"/>
  <c r="AZ322" i="3" s="1"/>
  <c r="BA323" i="3"/>
  <c r="BN323" i="3"/>
  <c r="BP323" i="3"/>
  <c r="BL323" i="3" s="1"/>
  <c r="AZ323" i="3" s="1"/>
  <c r="BR323" i="3"/>
  <c r="BT323" i="3"/>
  <c r="BA324" i="3"/>
  <c r="BN324" i="3"/>
  <c r="BP324" i="3"/>
  <c r="BR324" i="3"/>
  <c r="BT324" i="3"/>
  <c r="BL324" i="3"/>
  <c r="AZ324" i="3" s="1"/>
  <c r="BA325" i="3"/>
  <c r="BN325" i="3"/>
  <c r="BP325" i="3"/>
  <c r="BL325" i="3" s="1"/>
  <c r="AZ325" i="3" s="1"/>
  <c r="BR325" i="3"/>
  <c r="BT325" i="3"/>
  <c r="BA326" i="3"/>
  <c r="BN326" i="3"/>
  <c r="BP326" i="3"/>
  <c r="BR326" i="3"/>
  <c r="BT326" i="3"/>
  <c r="BL326" i="3"/>
  <c r="AZ326" i="3" s="1"/>
  <c r="BA327" i="3"/>
  <c r="BN327" i="3"/>
  <c r="BP327" i="3"/>
  <c r="BL327" i="3" s="1"/>
  <c r="AZ327" i="3" s="1"/>
  <c r="BR327" i="3"/>
  <c r="BT327" i="3"/>
  <c r="BA328" i="3"/>
  <c r="BN328" i="3"/>
  <c r="BP328" i="3"/>
  <c r="BR328" i="3"/>
  <c r="BT328" i="3"/>
  <c r="BL328" i="3"/>
  <c r="AZ328" i="3" s="1"/>
  <c r="BA329" i="3"/>
  <c r="BN329" i="3"/>
  <c r="BP329" i="3"/>
  <c r="BL329" i="3" s="1"/>
  <c r="AZ329" i="3" s="1"/>
  <c r="BR329" i="3"/>
  <c r="BT329" i="3"/>
  <c r="BA330" i="3"/>
  <c r="BN330" i="3"/>
  <c r="BP330" i="3"/>
  <c r="BR330" i="3"/>
  <c r="BT330" i="3"/>
  <c r="BL330" i="3"/>
  <c r="AZ330" i="3" s="1"/>
  <c r="BA331" i="3"/>
  <c r="BN331" i="3"/>
  <c r="BP331" i="3"/>
  <c r="BL331" i="3" s="1"/>
  <c r="AZ331" i="3" s="1"/>
  <c r="BR331" i="3"/>
  <c r="BT331" i="3"/>
  <c r="BA332" i="3"/>
  <c r="BN332" i="3"/>
  <c r="BP332" i="3"/>
  <c r="BR332" i="3"/>
  <c r="BT332" i="3"/>
  <c r="BL332" i="3"/>
  <c r="AZ332" i="3" s="1"/>
  <c r="BA333" i="3"/>
  <c r="BN333" i="3"/>
  <c r="BP333" i="3"/>
  <c r="BL333" i="3" s="1"/>
  <c r="AZ333" i="3" s="1"/>
  <c r="BR333" i="3"/>
  <c r="BT333" i="3"/>
  <c r="BA334" i="3"/>
  <c r="BN334" i="3"/>
  <c r="BP334" i="3"/>
  <c r="BR334" i="3"/>
  <c r="BT334" i="3"/>
  <c r="BL334" i="3"/>
  <c r="AZ334" i="3" s="1"/>
  <c r="BA335" i="3"/>
  <c r="BN335" i="3"/>
  <c r="BP335" i="3"/>
  <c r="BL335" i="3" s="1"/>
  <c r="AZ335" i="3" s="1"/>
  <c r="BR335" i="3"/>
  <c r="BT335" i="3"/>
  <c r="BA336" i="3"/>
  <c r="BN336" i="3"/>
  <c r="BP336" i="3"/>
  <c r="BR336" i="3"/>
  <c r="BT336" i="3"/>
  <c r="BL336" i="3"/>
  <c r="AZ336" i="3" s="1"/>
  <c r="BA337" i="3"/>
  <c r="BN337" i="3"/>
  <c r="BP337" i="3"/>
  <c r="BL337" i="3" s="1"/>
  <c r="AZ337" i="3" s="1"/>
  <c r="BR337" i="3"/>
  <c r="BT337" i="3"/>
  <c r="BA338" i="3"/>
  <c r="BN338" i="3"/>
  <c r="BP338" i="3"/>
  <c r="BR338" i="3"/>
  <c r="BT338" i="3"/>
  <c r="BL338" i="3"/>
  <c r="AZ338" i="3" s="1"/>
  <c r="BA339" i="3"/>
  <c r="BN339" i="3"/>
  <c r="BP339" i="3"/>
  <c r="BL339" i="3" s="1"/>
  <c r="AZ339" i="3" s="1"/>
  <c r="BR339" i="3"/>
  <c r="BT339" i="3"/>
  <c r="BA340" i="3"/>
  <c r="BN340" i="3"/>
  <c r="BP340" i="3"/>
  <c r="BR340" i="3"/>
  <c r="BT340" i="3"/>
  <c r="BL340" i="3"/>
  <c r="AZ340" i="3" s="1"/>
  <c r="BA341" i="3"/>
  <c r="BN341" i="3"/>
  <c r="BP341" i="3"/>
  <c r="BL341" i="3" s="1"/>
  <c r="AZ341" i="3" s="1"/>
  <c r="BR341" i="3"/>
  <c r="BT341" i="3"/>
  <c r="BA342" i="3"/>
  <c r="BN342" i="3"/>
  <c r="BP342" i="3"/>
  <c r="BR342" i="3"/>
  <c r="BT342" i="3"/>
  <c r="BL342" i="3"/>
  <c r="AZ342" i="3" s="1"/>
  <c r="BA343" i="3"/>
  <c r="BN343" i="3"/>
  <c r="BP343" i="3"/>
  <c r="BL343" i="3" s="1"/>
  <c r="AZ343" i="3" s="1"/>
  <c r="BR343" i="3"/>
  <c r="BT343" i="3"/>
  <c r="BA344" i="3"/>
  <c r="BN344" i="3"/>
  <c r="BP344" i="3"/>
  <c r="BR344" i="3"/>
  <c r="BT344" i="3"/>
  <c r="BL344" i="3"/>
  <c r="AZ344" i="3" s="1"/>
  <c r="BA345" i="3"/>
  <c r="BN345" i="3"/>
  <c r="BP345" i="3"/>
  <c r="BL345" i="3" s="1"/>
  <c r="AZ345" i="3" s="1"/>
  <c r="BR345" i="3"/>
  <c r="BT345" i="3"/>
  <c r="BA346" i="3"/>
  <c r="BN346" i="3"/>
  <c r="BP346" i="3"/>
  <c r="BR346" i="3"/>
  <c r="BT346" i="3"/>
  <c r="BL346" i="3"/>
  <c r="AZ346" i="3" s="1"/>
  <c r="BA347" i="3"/>
  <c r="BN347" i="3"/>
  <c r="BP347" i="3"/>
  <c r="BL347" i="3" s="1"/>
  <c r="AZ347" i="3" s="1"/>
  <c r="BR347" i="3"/>
  <c r="BT347" i="3"/>
  <c r="BA348" i="3"/>
  <c r="BN348" i="3"/>
  <c r="BP348" i="3"/>
  <c r="BR348" i="3"/>
  <c r="BT348" i="3"/>
  <c r="BL348" i="3"/>
  <c r="AZ348" i="3" s="1"/>
  <c r="BA349" i="3"/>
  <c r="BN349" i="3"/>
  <c r="BP349" i="3"/>
  <c r="BL349" i="3" s="1"/>
  <c r="AZ349" i="3" s="1"/>
  <c r="BR349" i="3"/>
  <c r="BT349" i="3"/>
  <c r="BA350" i="3"/>
  <c r="BN350" i="3"/>
  <c r="BP350" i="3"/>
  <c r="BR350" i="3"/>
  <c r="BT350" i="3"/>
  <c r="BL350" i="3"/>
  <c r="AZ350" i="3" s="1"/>
  <c r="BA351" i="3"/>
  <c r="BN351" i="3"/>
  <c r="BP351" i="3"/>
  <c r="BL351" i="3" s="1"/>
  <c r="AZ351" i="3" s="1"/>
  <c r="BR351" i="3"/>
  <c r="BT351" i="3"/>
  <c r="BA352" i="3"/>
  <c r="BN352" i="3"/>
  <c r="BP352" i="3"/>
  <c r="BR352" i="3"/>
  <c r="BT352" i="3"/>
  <c r="BL352" i="3"/>
  <c r="AZ352" i="3" s="1"/>
  <c r="BA353" i="3"/>
  <c r="BN353" i="3"/>
  <c r="BP353" i="3"/>
  <c r="BL353" i="3" s="1"/>
  <c r="AZ353" i="3" s="1"/>
  <c r="BR353" i="3"/>
  <c r="BT353" i="3"/>
  <c r="BA354" i="3"/>
  <c r="BN354" i="3"/>
  <c r="BP354" i="3"/>
  <c r="BR354" i="3"/>
  <c r="BT354" i="3"/>
  <c r="BL354" i="3"/>
  <c r="AZ354" i="3" s="1"/>
  <c r="BA355" i="3"/>
  <c r="BN355" i="3"/>
  <c r="BP355" i="3"/>
  <c r="BL355" i="3" s="1"/>
  <c r="AZ355" i="3" s="1"/>
  <c r="BR355" i="3"/>
  <c r="BT355" i="3"/>
  <c r="BA356" i="3"/>
  <c r="BN356" i="3"/>
  <c r="BP356" i="3"/>
  <c r="BR356" i="3"/>
  <c r="BT356" i="3"/>
  <c r="BL356" i="3"/>
  <c r="AZ356" i="3" s="1"/>
  <c r="BA357" i="3"/>
  <c r="BN357" i="3"/>
  <c r="BP357" i="3"/>
  <c r="BL357" i="3" s="1"/>
  <c r="AZ357" i="3" s="1"/>
  <c r="BR357" i="3"/>
  <c r="BT357" i="3"/>
  <c r="BA358" i="3"/>
  <c r="BN358" i="3"/>
  <c r="BP358" i="3"/>
  <c r="BR358" i="3"/>
  <c r="BT358" i="3"/>
  <c r="BL358" i="3"/>
  <c r="AZ358" i="3" s="1"/>
  <c r="BA359" i="3"/>
  <c r="BN359" i="3"/>
  <c r="BP359" i="3"/>
  <c r="BL359" i="3" s="1"/>
  <c r="AZ359" i="3" s="1"/>
  <c r="BR359" i="3"/>
  <c r="BT359" i="3"/>
  <c r="BA360" i="3"/>
  <c r="BN360" i="3"/>
  <c r="BP360" i="3"/>
  <c r="BR360" i="3"/>
  <c r="BT360" i="3"/>
  <c r="BL360" i="3"/>
  <c r="AZ360" i="3" s="1"/>
  <c r="BA361" i="3"/>
  <c r="BN361" i="3"/>
  <c r="BP361" i="3"/>
  <c r="BL361" i="3" s="1"/>
  <c r="AZ361" i="3" s="1"/>
  <c r="BR361" i="3"/>
  <c r="BT361" i="3"/>
  <c r="BA362" i="3"/>
  <c r="BN362" i="3"/>
  <c r="BP362" i="3"/>
  <c r="BR362" i="3"/>
  <c r="BT362" i="3"/>
  <c r="BL362" i="3"/>
  <c r="AZ362" i="3" s="1"/>
  <c r="BA363" i="3"/>
  <c r="BN363" i="3"/>
  <c r="BP363" i="3"/>
  <c r="BL363" i="3" s="1"/>
  <c r="AZ363" i="3" s="1"/>
  <c r="BR363" i="3"/>
  <c r="BT363" i="3"/>
  <c r="BA364" i="3"/>
  <c r="BN364" i="3"/>
  <c r="BP364" i="3"/>
  <c r="BR364" i="3"/>
  <c r="BT364" i="3"/>
  <c r="BL364" i="3"/>
  <c r="AZ364" i="3" s="1"/>
  <c r="BA365" i="3"/>
  <c r="BN365" i="3"/>
  <c r="BP365" i="3"/>
  <c r="BL365" i="3" s="1"/>
  <c r="AZ365" i="3" s="1"/>
  <c r="BR365" i="3"/>
  <c r="BT365" i="3"/>
  <c r="BA366" i="3"/>
  <c r="BN366" i="3"/>
  <c r="BP366" i="3"/>
  <c r="BR366" i="3"/>
  <c r="BT366" i="3"/>
  <c r="BL366" i="3"/>
  <c r="AZ366" i="3" s="1"/>
  <c r="BA367" i="3"/>
  <c r="BN367" i="3"/>
  <c r="BP367" i="3"/>
  <c r="BL367" i="3" s="1"/>
  <c r="AZ367" i="3" s="1"/>
  <c r="BR367" i="3"/>
  <c r="BT367" i="3"/>
  <c r="BA368" i="3"/>
  <c r="BN368" i="3"/>
  <c r="BP368" i="3"/>
  <c r="BR368" i="3"/>
  <c r="BT368" i="3"/>
  <c r="BL368" i="3"/>
  <c r="AZ368" i="3" s="1"/>
  <c r="BA369" i="3"/>
  <c r="BN369" i="3"/>
  <c r="BP369" i="3"/>
  <c r="BL369" i="3" s="1"/>
  <c r="AZ369" i="3" s="1"/>
  <c r="BR369" i="3"/>
  <c r="BT369" i="3"/>
  <c r="BA370" i="3"/>
  <c r="BN370" i="3"/>
  <c r="BP370" i="3"/>
  <c r="BR370" i="3"/>
  <c r="BT370" i="3"/>
  <c r="BL370" i="3"/>
  <c r="AZ370" i="3" s="1"/>
  <c r="BA371" i="3"/>
  <c r="BN371" i="3"/>
  <c r="BP371" i="3"/>
  <c r="BL371" i="3" s="1"/>
  <c r="AZ371" i="3" s="1"/>
  <c r="BR371" i="3"/>
  <c r="BT371" i="3"/>
  <c r="BA372" i="3"/>
  <c r="BN372" i="3"/>
  <c r="BP372" i="3"/>
  <c r="BR372" i="3"/>
  <c r="BT372" i="3"/>
  <c r="BL372" i="3"/>
  <c r="AZ372" i="3" s="1"/>
  <c r="BA373" i="3"/>
  <c r="BN373" i="3"/>
  <c r="BP373" i="3"/>
  <c r="BL373" i="3" s="1"/>
  <c r="AZ373" i="3" s="1"/>
  <c r="BR373" i="3"/>
  <c r="BT373" i="3"/>
  <c r="BA374" i="3"/>
  <c r="BN374" i="3"/>
  <c r="BP374" i="3"/>
  <c r="BR374" i="3"/>
  <c r="BT374" i="3"/>
  <c r="BL374" i="3"/>
  <c r="AZ374" i="3" s="1"/>
  <c r="BA375" i="3"/>
  <c r="BN375" i="3"/>
  <c r="BP375" i="3"/>
  <c r="BL375" i="3" s="1"/>
  <c r="AZ375" i="3" s="1"/>
  <c r="BR375" i="3"/>
  <c r="BT375" i="3"/>
  <c r="BA376" i="3"/>
  <c r="BN376" i="3"/>
  <c r="BP376" i="3"/>
  <c r="BR376" i="3"/>
  <c r="BT376" i="3"/>
  <c r="BL376" i="3"/>
  <c r="AZ376" i="3" s="1"/>
  <c r="BA377" i="3"/>
  <c r="BN377" i="3"/>
  <c r="BP377" i="3"/>
  <c r="BL377" i="3" s="1"/>
  <c r="AZ377" i="3" s="1"/>
  <c r="BR377" i="3"/>
  <c r="BT377" i="3"/>
  <c r="BA378" i="3"/>
  <c r="BN378" i="3"/>
  <c r="BP378" i="3"/>
  <c r="BR378" i="3"/>
  <c r="BT378" i="3"/>
  <c r="BL378" i="3"/>
  <c r="AZ378" i="3" s="1"/>
  <c r="BA379" i="3"/>
  <c r="BN379" i="3"/>
  <c r="BP379" i="3"/>
  <c r="BL379" i="3" s="1"/>
  <c r="AZ379" i="3" s="1"/>
  <c r="BR379" i="3"/>
  <c r="BT379" i="3"/>
  <c r="BA380" i="3"/>
  <c r="BN380" i="3"/>
  <c r="BP380" i="3"/>
  <c r="BR380" i="3"/>
  <c r="BT380" i="3"/>
  <c r="BL380" i="3"/>
  <c r="AZ380" i="3" s="1"/>
  <c r="BA381" i="3"/>
  <c r="BN381" i="3"/>
  <c r="BP381" i="3"/>
  <c r="BL381" i="3" s="1"/>
  <c r="AZ381" i="3" s="1"/>
  <c r="BR381" i="3"/>
  <c r="BT381" i="3"/>
  <c r="BA382" i="3"/>
  <c r="BN382" i="3"/>
  <c r="BP382" i="3"/>
  <c r="BR382" i="3"/>
  <c r="BT382" i="3"/>
  <c r="BL382" i="3"/>
  <c r="AZ382" i="3" s="1"/>
  <c r="BA383" i="3"/>
  <c r="BN383" i="3"/>
  <c r="BP383" i="3"/>
  <c r="BL383" i="3" s="1"/>
  <c r="AZ383" i="3" s="1"/>
  <c r="BR383" i="3"/>
  <c r="BT383" i="3"/>
  <c r="BA384" i="3"/>
  <c r="BN384" i="3"/>
  <c r="BP384" i="3"/>
  <c r="BR384" i="3"/>
  <c r="BT384" i="3"/>
  <c r="BL384" i="3"/>
  <c r="AZ384" i="3" s="1"/>
  <c r="BA385" i="3"/>
  <c r="BN385" i="3"/>
  <c r="BP385" i="3"/>
  <c r="BL385" i="3" s="1"/>
  <c r="AZ385" i="3" s="1"/>
  <c r="BR385" i="3"/>
  <c r="BT385" i="3"/>
  <c r="BA386" i="3"/>
  <c r="BN386" i="3"/>
  <c r="BP386" i="3"/>
  <c r="BR386" i="3"/>
  <c r="BT386" i="3"/>
  <c r="BL386" i="3"/>
  <c r="AZ386" i="3" s="1"/>
  <c r="BA387" i="3"/>
  <c r="BN387" i="3"/>
  <c r="BP387" i="3"/>
  <c r="BL387" i="3" s="1"/>
  <c r="AZ387" i="3" s="1"/>
  <c r="BR387" i="3"/>
  <c r="BT387" i="3"/>
  <c r="BA388" i="3"/>
  <c r="BN388" i="3"/>
  <c r="BP388" i="3"/>
  <c r="BR388" i="3"/>
  <c r="BT388" i="3"/>
  <c r="BL388" i="3"/>
  <c r="AZ388" i="3" s="1"/>
  <c r="BA389" i="3"/>
  <c r="BN389" i="3"/>
  <c r="BP389" i="3"/>
  <c r="BL389" i="3" s="1"/>
  <c r="AZ389" i="3" s="1"/>
  <c r="BR389" i="3"/>
  <c r="BT389" i="3"/>
  <c r="BA390" i="3"/>
  <c r="BN390" i="3"/>
  <c r="BP390" i="3"/>
  <c r="BR390" i="3"/>
  <c r="BT390" i="3"/>
  <c r="BL390" i="3"/>
  <c r="AZ390" i="3" s="1"/>
  <c r="BA391" i="3"/>
  <c r="BN391" i="3"/>
  <c r="BP391" i="3"/>
  <c r="BL391" i="3" s="1"/>
  <c r="AZ391" i="3" s="1"/>
  <c r="BR391" i="3"/>
  <c r="BT391" i="3"/>
  <c r="BA392" i="3"/>
  <c r="BN392" i="3"/>
  <c r="BP392" i="3"/>
  <c r="BR392" i="3"/>
  <c r="BT392" i="3"/>
  <c r="BL392" i="3"/>
  <c r="AZ392" i="3" s="1"/>
  <c r="BA393" i="3"/>
  <c r="BN393" i="3"/>
  <c r="BP393" i="3"/>
  <c r="BL393" i="3" s="1"/>
  <c r="AZ393" i="3" s="1"/>
  <c r="BR393" i="3"/>
  <c r="BT393" i="3"/>
  <c r="BA394" i="3"/>
  <c r="BN394" i="3"/>
  <c r="BP394" i="3"/>
  <c r="BR394" i="3"/>
  <c r="BT394" i="3"/>
  <c r="BL394" i="3"/>
  <c r="AZ394" i="3" s="1"/>
  <c r="BA395" i="3"/>
  <c r="BN395" i="3"/>
  <c r="BP395" i="3"/>
  <c r="BL395" i="3" s="1"/>
  <c r="AZ395" i="3" s="1"/>
  <c r="BR395" i="3"/>
  <c r="BT395" i="3"/>
  <c r="BA396" i="3"/>
  <c r="BN396" i="3"/>
  <c r="BP396" i="3"/>
  <c r="BR396" i="3"/>
  <c r="BT396" i="3"/>
  <c r="BL396" i="3"/>
  <c r="AZ396" i="3" s="1"/>
  <c r="BA397" i="3"/>
  <c r="BN397" i="3"/>
  <c r="BP397" i="3"/>
  <c r="BL397" i="3" s="1"/>
  <c r="AZ397" i="3" s="1"/>
  <c r="BR397" i="3"/>
  <c r="BT397" i="3"/>
  <c r="BA398" i="3"/>
  <c r="BN398" i="3"/>
  <c r="BP398" i="3"/>
  <c r="BR398" i="3"/>
  <c r="BT398" i="3"/>
  <c r="BL398" i="3"/>
  <c r="AZ398" i="3" s="1"/>
  <c r="BA399" i="3"/>
  <c r="BN399" i="3"/>
  <c r="BP399" i="3"/>
  <c r="BL399" i="3" s="1"/>
  <c r="AZ399" i="3" s="1"/>
  <c r="BR399" i="3"/>
  <c r="BT399" i="3"/>
  <c r="BA400" i="3"/>
  <c r="BN400" i="3"/>
  <c r="BP400" i="3"/>
  <c r="BR400" i="3"/>
  <c r="BT400" i="3"/>
  <c r="BL400" i="3"/>
  <c r="AZ400" i="3" s="1"/>
  <c r="BA401" i="3"/>
  <c r="BN401" i="3"/>
  <c r="BP401" i="3"/>
  <c r="BL401" i="3" s="1"/>
  <c r="AZ401" i="3" s="1"/>
  <c r="BR401" i="3"/>
  <c r="BT401" i="3"/>
  <c r="BA402" i="3"/>
  <c r="BN402" i="3"/>
  <c r="BP402" i="3"/>
  <c r="BR402" i="3"/>
  <c r="BT402" i="3"/>
  <c r="BL402" i="3"/>
  <c r="AZ402" i="3" s="1"/>
  <c r="BA403" i="3"/>
  <c r="BN403" i="3"/>
  <c r="BP403" i="3"/>
  <c r="BL403" i="3" s="1"/>
  <c r="AZ403" i="3" s="1"/>
  <c r="BR403" i="3"/>
  <c r="BT403" i="3"/>
  <c r="BA404" i="3"/>
  <c r="BN404" i="3"/>
  <c r="BP404" i="3"/>
  <c r="BR404" i="3"/>
  <c r="BT404" i="3"/>
  <c r="BL404" i="3"/>
  <c r="AZ404" i="3" s="1"/>
  <c r="BA405" i="3"/>
  <c r="BN405" i="3"/>
  <c r="BP405" i="3"/>
  <c r="BL405" i="3" s="1"/>
  <c r="AZ405" i="3" s="1"/>
  <c r="BR405" i="3"/>
  <c r="BT405" i="3"/>
  <c r="BA406" i="3"/>
  <c r="BN406" i="3"/>
  <c r="BP406" i="3"/>
  <c r="BR406" i="3"/>
  <c r="BT406" i="3"/>
  <c r="BL406" i="3"/>
  <c r="AZ406" i="3" s="1"/>
  <c r="BA407" i="3"/>
  <c r="BN407" i="3"/>
  <c r="BP407" i="3"/>
  <c r="BL407" i="3" s="1"/>
  <c r="AZ407" i="3" s="1"/>
  <c r="BR407" i="3"/>
  <c r="BT407" i="3"/>
  <c r="BA408" i="3"/>
  <c r="BN408" i="3"/>
  <c r="BP408" i="3"/>
  <c r="BR408" i="3"/>
  <c r="BT408" i="3"/>
  <c r="BL408" i="3"/>
  <c r="AZ408" i="3" s="1"/>
  <c r="BA409" i="3"/>
  <c r="BN409" i="3"/>
  <c r="BP409" i="3"/>
  <c r="BL409" i="3" s="1"/>
  <c r="AZ409" i="3" s="1"/>
  <c r="BR409" i="3"/>
  <c r="BT409" i="3"/>
  <c r="BA410" i="3"/>
  <c r="BN410" i="3"/>
  <c r="BP410" i="3"/>
  <c r="BR410" i="3"/>
  <c r="BT410" i="3"/>
  <c r="BL410" i="3"/>
  <c r="AZ410" i="3" s="1"/>
  <c r="BA411" i="3"/>
  <c r="BN411" i="3"/>
  <c r="BP411" i="3"/>
  <c r="BL411" i="3" s="1"/>
  <c r="AZ411" i="3" s="1"/>
  <c r="BR411" i="3"/>
  <c r="BT411" i="3"/>
  <c r="BA412" i="3"/>
  <c r="BN412" i="3"/>
  <c r="BP412" i="3"/>
  <c r="BR412" i="3"/>
  <c r="BT412" i="3"/>
  <c r="BL412" i="3"/>
  <c r="AZ412" i="3" s="1"/>
  <c r="BA413" i="3"/>
  <c r="BN413" i="3"/>
  <c r="BP413" i="3"/>
  <c r="BL413" i="3" s="1"/>
  <c r="AZ413" i="3" s="1"/>
  <c r="BR413" i="3"/>
  <c r="BT413" i="3"/>
  <c r="BA414" i="3"/>
  <c r="BN414" i="3"/>
  <c r="BP414" i="3"/>
  <c r="BR414" i="3"/>
  <c r="BT414" i="3"/>
  <c r="BL414" i="3"/>
  <c r="AZ414" i="3" s="1"/>
  <c r="BA415" i="3"/>
  <c r="BN415" i="3"/>
  <c r="BP415" i="3"/>
  <c r="BL415" i="3" s="1"/>
  <c r="AZ415" i="3" s="1"/>
  <c r="BR415" i="3"/>
  <c r="BT415" i="3"/>
  <c r="BA416" i="3"/>
  <c r="BN416" i="3"/>
  <c r="BP416" i="3"/>
  <c r="BR416" i="3"/>
  <c r="BT416" i="3"/>
  <c r="BL416" i="3"/>
  <c r="AZ416" i="3" s="1"/>
  <c r="BA417" i="3"/>
  <c r="BN417" i="3"/>
  <c r="BP417" i="3"/>
  <c r="BL417" i="3" s="1"/>
  <c r="AZ417" i="3" s="1"/>
  <c r="BR417" i="3"/>
  <c r="BT417" i="3"/>
  <c r="BA418" i="3"/>
  <c r="BN418" i="3"/>
  <c r="BP418" i="3"/>
  <c r="BR418" i="3"/>
  <c r="BT418" i="3"/>
  <c r="BL418" i="3"/>
  <c r="AZ418" i="3" s="1"/>
  <c r="BA419" i="3"/>
  <c r="BN419" i="3"/>
  <c r="BP419" i="3"/>
  <c r="BL419" i="3" s="1"/>
  <c r="AZ419" i="3" s="1"/>
  <c r="BR419" i="3"/>
  <c r="BT419" i="3"/>
  <c r="BA420" i="3"/>
  <c r="BN420" i="3"/>
  <c r="BP420" i="3"/>
  <c r="BR420" i="3"/>
  <c r="BT420" i="3"/>
  <c r="BL420" i="3"/>
  <c r="AZ420" i="3" s="1"/>
  <c r="BA421" i="3"/>
  <c r="BN421" i="3"/>
  <c r="BP421" i="3"/>
  <c r="BL421" i="3" s="1"/>
  <c r="AZ421" i="3" s="1"/>
  <c r="BR421" i="3"/>
  <c r="BT421" i="3"/>
  <c r="BA422" i="3"/>
  <c r="BN422" i="3"/>
  <c r="BP422" i="3"/>
  <c r="BR422" i="3"/>
  <c r="BT422" i="3"/>
  <c r="BL422" i="3"/>
  <c r="AZ422" i="3" s="1"/>
  <c r="BA423" i="3"/>
  <c r="BN423" i="3"/>
  <c r="BP423" i="3"/>
  <c r="BL423" i="3" s="1"/>
  <c r="AZ423" i="3" s="1"/>
  <c r="BR423" i="3"/>
  <c r="BT423" i="3"/>
  <c r="BA424" i="3"/>
  <c r="BN424" i="3"/>
  <c r="BP424" i="3"/>
  <c r="BR424" i="3"/>
  <c r="BT424" i="3"/>
  <c r="BL424" i="3"/>
  <c r="AZ424" i="3" s="1"/>
  <c r="BA425" i="3"/>
  <c r="BN425" i="3"/>
  <c r="BP425" i="3"/>
  <c r="BL425" i="3" s="1"/>
  <c r="AZ425" i="3" s="1"/>
  <c r="BR425" i="3"/>
  <c r="BT425" i="3"/>
  <c r="BA426" i="3"/>
  <c r="BN426" i="3"/>
  <c r="BP426" i="3"/>
  <c r="BR426" i="3"/>
  <c r="BT426" i="3"/>
  <c r="BL426" i="3"/>
  <c r="AZ426" i="3" s="1"/>
  <c r="BA427" i="3"/>
  <c r="BN427" i="3"/>
  <c r="BP427" i="3"/>
  <c r="BL427" i="3" s="1"/>
  <c r="AZ427" i="3" s="1"/>
  <c r="BR427" i="3"/>
  <c r="BT427" i="3"/>
  <c r="BA428" i="3"/>
  <c r="BN428" i="3"/>
  <c r="BP428" i="3"/>
  <c r="BR428" i="3"/>
  <c r="BT428" i="3"/>
  <c r="BL428" i="3"/>
  <c r="AZ428" i="3" s="1"/>
  <c r="BA429" i="3"/>
  <c r="BN429" i="3"/>
  <c r="BP429" i="3"/>
  <c r="BL429" i="3" s="1"/>
  <c r="AZ429" i="3" s="1"/>
  <c r="BR429" i="3"/>
  <c r="BT429" i="3"/>
  <c r="BA430" i="3"/>
  <c r="BN430" i="3"/>
  <c r="BP430" i="3"/>
  <c r="BR430" i="3"/>
  <c r="BT430" i="3"/>
  <c r="BL430" i="3"/>
  <c r="AZ430" i="3" s="1"/>
  <c r="BA431" i="3"/>
  <c r="BN431" i="3"/>
  <c r="BP431" i="3"/>
  <c r="BL431" i="3" s="1"/>
  <c r="AZ431" i="3" s="1"/>
  <c r="BR431" i="3"/>
  <c r="BT431" i="3"/>
  <c r="BA432" i="3"/>
  <c r="BN432" i="3"/>
  <c r="BP432" i="3"/>
  <c r="BR432" i="3"/>
  <c r="BT432" i="3"/>
  <c r="BL432" i="3"/>
  <c r="AZ432" i="3" s="1"/>
  <c r="BA433" i="3"/>
  <c r="BN433" i="3"/>
  <c r="BP433" i="3"/>
  <c r="BL433" i="3" s="1"/>
  <c r="AZ433" i="3" s="1"/>
  <c r="BR433" i="3"/>
  <c r="BT433" i="3"/>
  <c r="BA434" i="3"/>
  <c r="BN434" i="3"/>
  <c r="BP434" i="3"/>
  <c r="BR434" i="3"/>
  <c r="BT434" i="3"/>
  <c r="BL434" i="3"/>
  <c r="AZ434" i="3" s="1"/>
  <c r="BA435" i="3"/>
  <c r="BN435" i="3"/>
  <c r="BP435" i="3"/>
  <c r="BL435" i="3" s="1"/>
  <c r="AZ435" i="3" s="1"/>
  <c r="BR435" i="3"/>
  <c r="BT435" i="3"/>
  <c r="BA436" i="3"/>
  <c r="BN436" i="3"/>
  <c r="BP436" i="3"/>
  <c r="BR436" i="3"/>
  <c r="BT436" i="3"/>
  <c r="BL436" i="3"/>
  <c r="AZ436" i="3" s="1"/>
  <c r="BA437" i="3"/>
  <c r="BN437" i="3"/>
  <c r="BP437" i="3"/>
  <c r="BL437" i="3" s="1"/>
  <c r="AZ437" i="3" s="1"/>
  <c r="BR437" i="3"/>
  <c r="BT437" i="3"/>
  <c r="BA438" i="3"/>
  <c r="BN438" i="3"/>
  <c r="BP438" i="3"/>
  <c r="BR438" i="3"/>
  <c r="BT438" i="3"/>
  <c r="BL438" i="3"/>
  <c r="AZ438" i="3" s="1"/>
  <c r="BA439" i="3"/>
  <c r="BN439" i="3"/>
  <c r="BP439" i="3"/>
  <c r="BL439" i="3" s="1"/>
  <c r="AZ439" i="3" s="1"/>
  <c r="BR439" i="3"/>
  <c r="BT439" i="3"/>
  <c r="BA440" i="3"/>
  <c r="BN440" i="3"/>
  <c r="BP440" i="3"/>
  <c r="BR440" i="3"/>
  <c r="BT440" i="3"/>
  <c r="BL440" i="3"/>
  <c r="AZ440" i="3" s="1"/>
  <c r="BA441" i="3"/>
  <c r="BN441" i="3"/>
  <c r="BP441" i="3"/>
  <c r="BL441" i="3" s="1"/>
  <c r="AZ441" i="3" s="1"/>
  <c r="BR441" i="3"/>
  <c r="BT441" i="3"/>
  <c r="BA442" i="3"/>
  <c r="BN442" i="3"/>
  <c r="BP442" i="3"/>
  <c r="BR442" i="3"/>
  <c r="BT442" i="3"/>
  <c r="BL442" i="3"/>
  <c r="AZ442" i="3" s="1"/>
  <c r="BA443" i="3"/>
  <c r="BN443" i="3"/>
  <c r="BP443" i="3"/>
  <c r="BL443" i="3" s="1"/>
  <c r="AZ443" i="3" s="1"/>
  <c r="BR443" i="3"/>
  <c r="BT443" i="3"/>
  <c r="BA444" i="3"/>
  <c r="BN444" i="3"/>
  <c r="BP444" i="3"/>
  <c r="BR444" i="3"/>
  <c r="BT444" i="3"/>
  <c r="BL444" i="3"/>
  <c r="AZ444" i="3" s="1"/>
  <c r="BA445" i="3"/>
  <c r="BN445" i="3"/>
  <c r="BP445" i="3"/>
  <c r="BL445" i="3" s="1"/>
  <c r="AZ445" i="3" s="1"/>
  <c r="BR445" i="3"/>
  <c r="BT445" i="3"/>
  <c r="BA446" i="3"/>
  <c r="BN446" i="3"/>
  <c r="BP446" i="3"/>
  <c r="BR446" i="3"/>
  <c r="BT446" i="3"/>
  <c r="BL446" i="3"/>
  <c r="AZ446" i="3" s="1"/>
  <c r="BA447" i="3"/>
  <c r="BN447" i="3"/>
  <c r="BP447" i="3"/>
  <c r="BL447" i="3" s="1"/>
  <c r="AZ447" i="3" s="1"/>
  <c r="BR447" i="3"/>
  <c r="BT447" i="3"/>
  <c r="BA448" i="3"/>
  <c r="BN448" i="3"/>
  <c r="BP448" i="3"/>
  <c r="BR448" i="3"/>
  <c r="BT448" i="3"/>
  <c r="BL448" i="3"/>
  <c r="AZ448" i="3" s="1"/>
  <c r="BA449" i="3"/>
  <c r="BN449" i="3"/>
  <c r="BP449" i="3"/>
  <c r="BL449" i="3" s="1"/>
  <c r="AZ449" i="3" s="1"/>
  <c r="BR449" i="3"/>
  <c r="BT449" i="3"/>
  <c r="BA450" i="3"/>
  <c r="BN450" i="3"/>
  <c r="BP450" i="3"/>
  <c r="BR450" i="3"/>
  <c r="BT450" i="3"/>
  <c r="BL450" i="3"/>
  <c r="AZ450" i="3" s="1"/>
  <c r="BA451" i="3"/>
  <c r="BN451" i="3"/>
  <c r="BP451" i="3"/>
  <c r="BL451" i="3" s="1"/>
  <c r="AZ451" i="3" s="1"/>
  <c r="BR451" i="3"/>
  <c r="BT451" i="3"/>
  <c r="BA452" i="3"/>
  <c r="BN452" i="3"/>
  <c r="BP452" i="3"/>
  <c r="BR452" i="3"/>
  <c r="BT452" i="3"/>
  <c r="BL452" i="3"/>
  <c r="AZ452" i="3" s="1"/>
  <c r="BA453" i="3"/>
  <c r="BN453" i="3"/>
  <c r="BP453" i="3"/>
  <c r="BL453" i="3" s="1"/>
  <c r="AZ453" i="3" s="1"/>
  <c r="BR453" i="3"/>
  <c r="BT453" i="3"/>
  <c r="BA454" i="3"/>
  <c r="BN454" i="3"/>
  <c r="BP454" i="3"/>
  <c r="BR454" i="3"/>
  <c r="BT454" i="3"/>
  <c r="BL454" i="3"/>
  <c r="AZ454" i="3" s="1"/>
  <c r="BA455" i="3"/>
  <c r="BN455" i="3"/>
  <c r="BP455" i="3"/>
  <c r="BL455" i="3" s="1"/>
  <c r="AZ455" i="3" s="1"/>
  <c r="BR455" i="3"/>
  <c r="BT455" i="3"/>
  <c r="BA456" i="3"/>
  <c r="BN456" i="3"/>
  <c r="BP456" i="3"/>
  <c r="BR456" i="3"/>
  <c r="BT456" i="3"/>
  <c r="BL456" i="3"/>
  <c r="AZ456" i="3" s="1"/>
  <c r="BA457" i="3"/>
  <c r="BN457" i="3"/>
  <c r="BP457" i="3"/>
  <c r="BL457" i="3" s="1"/>
  <c r="AZ457" i="3" s="1"/>
  <c r="BR457" i="3"/>
  <c r="BT457" i="3"/>
  <c r="BA458" i="3"/>
  <c r="BN458" i="3"/>
  <c r="BP458" i="3"/>
  <c r="BR458" i="3"/>
  <c r="BT458" i="3"/>
  <c r="BL458" i="3"/>
  <c r="AZ458" i="3" s="1"/>
  <c r="BA459" i="3"/>
  <c r="BN459" i="3"/>
  <c r="BP459" i="3"/>
  <c r="BL459" i="3" s="1"/>
  <c r="AZ459" i="3" s="1"/>
  <c r="BR459" i="3"/>
  <c r="BT459" i="3"/>
  <c r="BA460" i="3"/>
  <c r="BN460" i="3"/>
  <c r="BP460" i="3"/>
  <c r="BR460" i="3"/>
  <c r="BT460" i="3"/>
  <c r="BL460" i="3"/>
  <c r="AZ460" i="3" s="1"/>
  <c r="BA461" i="3"/>
  <c r="BN461" i="3"/>
  <c r="BP461" i="3"/>
  <c r="BL461" i="3" s="1"/>
  <c r="AZ461" i="3" s="1"/>
  <c r="BR461" i="3"/>
  <c r="BT461" i="3"/>
  <c r="BA462" i="3"/>
  <c r="BN462" i="3"/>
  <c r="BP462" i="3"/>
  <c r="BR462" i="3"/>
  <c r="BT462" i="3"/>
  <c r="BL462" i="3"/>
  <c r="AZ462" i="3" s="1"/>
  <c r="BA463" i="3"/>
  <c r="BN463" i="3"/>
  <c r="BP463" i="3"/>
  <c r="BL463" i="3" s="1"/>
  <c r="AZ463" i="3" s="1"/>
  <c r="BR463" i="3"/>
  <c r="BT463" i="3"/>
  <c r="BA464" i="3"/>
  <c r="BN464" i="3"/>
  <c r="BP464" i="3"/>
  <c r="BR464" i="3"/>
  <c r="BT464" i="3"/>
  <c r="BL464" i="3"/>
  <c r="AZ464" i="3" s="1"/>
  <c r="BA465" i="3"/>
  <c r="BN465" i="3"/>
  <c r="BP465" i="3"/>
  <c r="BL465" i="3" s="1"/>
  <c r="AZ465" i="3" s="1"/>
  <c r="BR465" i="3"/>
  <c r="BT465" i="3"/>
  <c r="BA466" i="3"/>
  <c r="BN466" i="3"/>
  <c r="BP466" i="3"/>
  <c r="BR466" i="3"/>
  <c r="BT466" i="3"/>
  <c r="BL466" i="3"/>
  <c r="AZ466" i="3" s="1"/>
  <c r="BA467" i="3"/>
  <c r="BN467" i="3"/>
  <c r="BP467" i="3"/>
  <c r="BL467" i="3" s="1"/>
  <c r="AZ467" i="3" s="1"/>
  <c r="BR467" i="3"/>
  <c r="BT467" i="3"/>
  <c r="BA468" i="3"/>
  <c r="BN468" i="3"/>
  <c r="BP468" i="3"/>
  <c r="BR468" i="3"/>
  <c r="BT468" i="3"/>
  <c r="BL468" i="3"/>
  <c r="AZ468" i="3" s="1"/>
  <c r="BA469" i="3"/>
  <c r="BN469" i="3"/>
  <c r="BP469" i="3"/>
  <c r="BL469" i="3" s="1"/>
  <c r="AZ469" i="3" s="1"/>
  <c r="BR469" i="3"/>
  <c r="BT469" i="3"/>
  <c r="BA470" i="3"/>
  <c r="BN470" i="3"/>
  <c r="BP470" i="3"/>
  <c r="BR470" i="3"/>
  <c r="BT470" i="3"/>
  <c r="BL470" i="3"/>
  <c r="AZ470" i="3" s="1"/>
  <c r="BA471" i="3"/>
  <c r="BN471" i="3"/>
  <c r="BP471" i="3"/>
  <c r="BL471" i="3" s="1"/>
  <c r="AZ471" i="3" s="1"/>
  <c r="BR471" i="3"/>
  <c r="BT471" i="3"/>
  <c r="BA472" i="3"/>
  <c r="BN472" i="3"/>
  <c r="BP472" i="3"/>
  <c r="BR472" i="3"/>
  <c r="BT472" i="3"/>
  <c r="BL472" i="3"/>
  <c r="AZ472" i="3" s="1"/>
  <c r="BA473" i="3"/>
  <c r="BN473" i="3"/>
  <c r="BP473" i="3"/>
  <c r="BL473" i="3" s="1"/>
  <c r="AZ473" i="3" s="1"/>
  <c r="BR473" i="3"/>
  <c r="BT473" i="3"/>
  <c r="BA474" i="3"/>
  <c r="BN474" i="3"/>
  <c r="BP474" i="3"/>
  <c r="BR474" i="3"/>
  <c r="BT474" i="3"/>
  <c r="BL474" i="3"/>
  <c r="AZ474" i="3" s="1"/>
  <c r="BA475" i="3"/>
  <c r="BN475" i="3"/>
  <c r="BP475" i="3"/>
  <c r="BL475" i="3" s="1"/>
  <c r="AZ475" i="3" s="1"/>
  <c r="BR475" i="3"/>
  <c r="BT475" i="3"/>
  <c r="BA476" i="3"/>
  <c r="BN476" i="3"/>
  <c r="BP476" i="3"/>
  <c r="BR476" i="3"/>
  <c r="BT476" i="3"/>
  <c r="BL476" i="3"/>
  <c r="AZ476" i="3" s="1"/>
  <c r="BA477" i="3"/>
  <c r="BN477" i="3"/>
  <c r="BP477" i="3"/>
  <c r="BL477" i="3" s="1"/>
  <c r="AZ477" i="3" s="1"/>
  <c r="BR477" i="3"/>
  <c r="BT477" i="3"/>
  <c r="BA478" i="3"/>
  <c r="BN478" i="3"/>
  <c r="BP478" i="3"/>
  <c r="BR478" i="3"/>
  <c r="BT478" i="3"/>
  <c r="BL478" i="3"/>
  <c r="AZ478" i="3" s="1"/>
  <c r="BA479" i="3"/>
  <c r="BN479" i="3"/>
  <c r="BP479" i="3"/>
  <c r="BL479" i="3" s="1"/>
  <c r="AZ479" i="3" s="1"/>
  <c r="BR479" i="3"/>
  <c r="BT479" i="3"/>
  <c r="BA480" i="3"/>
  <c r="BN480" i="3"/>
  <c r="BP480" i="3"/>
  <c r="BR480" i="3"/>
  <c r="BT480" i="3"/>
  <c r="BL480" i="3"/>
  <c r="AZ480" i="3" s="1"/>
  <c r="BA481" i="3"/>
  <c r="BN481" i="3"/>
  <c r="BP481" i="3"/>
  <c r="BL481" i="3" s="1"/>
  <c r="AZ481" i="3" s="1"/>
  <c r="BR481" i="3"/>
  <c r="BT481" i="3"/>
  <c r="BA482" i="3"/>
  <c r="BN482" i="3"/>
  <c r="BP482" i="3"/>
  <c r="BR482" i="3"/>
  <c r="BT482" i="3"/>
  <c r="BL482" i="3"/>
  <c r="AZ482" i="3" s="1"/>
  <c r="BA483" i="3"/>
  <c r="BN483" i="3"/>
  <c r="BP483" i="3"/>
  <c r="BL483" i="3" s="1"/>
  <c r="AZ483" i="3" s="1"/>
  <c r="BR483" i="3"/>
  <c r="BT483" i="3"/>
  <c r="BA484" i="3"/>
  <c r="BN484" i="3"/>
  <c r="BP484" i="3"/>
  <c r="BR484" i="3"/>
  <c r="BT484" i="3"/>
  <c r="BL484" i="3"/>
  <c r="AZ484" i="3" s="1"/>
  <c r="BA485" i="3"/>
  <c r="BN485" i="3"/>
  <c r="BP485" i="3"/>
  <c r="BL485" i="3" s="1"/>
  <c r="AZ485" i="3" s="1"/>
  <c r="BR485" i="3"/>
  <c r="BT485" i="3"/>
  <c r="BA486" i="3"/>
  <c r="BN486" i="3"/>
  <c r="BP486" i="3"/>
  <c r="BR486" i="3"/>
  <c r="BT486" i="3"/>
  <c r="BL486" i="3"/>
  <c r="AZ486" i="3" s="1"/>
  <c r="BA487" i="3"/>
  <c r="BN487" i="3"/>
  <c r="BP487" i="3"/>
  <c r="BL487" i="3" s="1"/>
  <c r="AZ487" i="3" s="1"/>
  <c r="BR487" i="3"/>
  <c r="BT487" i="3"/>
  <c r="BA488" i="3"/>
  <c r="BN488" i="3"/>
  <c r="BP488" i="3"/>
  <c r="BR488" i="3"/>
  <c r="BT488" i="3"/>
  <c r="BL488" i="3"/>
  <c r="AZ488" i="3" s="1"/>
  <c r="BA489" i="3"/>
  <c r="BN489" i="3"/>
  <c r="BP489" i="3"/>
  <c r="BL489" i="3" s="1"/>
  <c r="AZ489" i="3" s="1"/>
  <c r="BR489" i="3"/>
  <c r="BT489" i="3"/>
  <c r="BA490" i="3"/>
  <c r="BN490" i="3"/>
  <c r="BP490" i="3"/>
  <c r="BR490" i="3"/>
  <c r="BT490" i="3"/>
  <c r="BL490" i="3"/>
  <c r="AZ490" i="3" s="1"/>
  <c r="BA491" i="3"/>
  <c r="BN491" i="3"/>
  <c r="BP491" i="3"/>
  <c r="BL491" i="3" s="1"/>
  <c r="AZ491" i="3" s="1"/>
  <c r="BR491" i="3"/>
  <c r="BT491" i="3"/>
  <c r="BA492" i="3"/>
  <c r="BN492" i="3"/>
  <c r="BP492" i="3"/>
  <c r="BR492" i="3"/>
  <c r="BT492" i="3"/>
  <c r="BL492" i="3"/>
  <c r="AZ492" i="3" s="1"/>
  <c r="BA493" i="3"/>
  <c r="BN493" i="3"/>
  <c r="BP493" i="3"/>
  <c r="BL493" i="3" s="1"/>
  <c r="AZ493" i="3" s="1"/>
  <c r="BR493" i="3"/>
  <c r="BT493" i="3"/>
  <c r="BA494" i="3"/>
  <c r="BN494" i="3"/>
  <c r="BP494" i="3"/>
  <c r="BR494" i="3"/>
  <c r="BT494" i="3"/>
  <c r="BL494" i="3"/>
  <c r="AZ494" i="3" s="1"/>
  <c r="BA495" i="3"/>
  <c r="BN495" i="3"/>
  <c r="BP495" i="3"/>
  <c r="BL495" i="3" s="1"/>
  <c r="AZ495" i="3" s="1"/>
  <c r="BR495" i="3"/>
  <c r="BT495" i="3"/>
  <c r="BA496" i="3"/>
  <c r="BN496" i="3"/>
  <c r="BP496" i="3"/>
  <c r="BR496" i="3"/>
  <c r="BT496" i="3"/>
  <c r="BL496" i="3"/>
  <c r="AZ496" i="3" s="1"/>
  <c r="BA497" i="3"/>
  <c r="BN497" i="3"/>
  <c r="BP497" i="3"/>
  <c r="BL497" i="3" s="1"/>
  <c r="AZ497" i="3" s="1"/>
  <c r="BR497" i="3"/>
  <c r="BT497" i="3"/>
  <c r="BA498" i="3"/>
  <c r="BN498" i="3"/>
  <c r="BP498" i="3"/>
  <c r="BR498" i="3"/>
  <c r="BT498" i="3"/>
  <c r="BL498" i="3"/>
  <c r="AZ498" i="3" s="1"/>
  <c r="BA499" i="3"/>
  <c r="BN499" i="3"/>
  <c r="BP499" i="3"/>
  <c r="BL499" i="3" s="1"/>
  <c r="AZ499" i="3" s="1"/>
  <c r="BR499" i="3"/>
  <c r="BT499" i="3"/>
  <c r="BA500" i="3"/>
  <c r="BN500" i="3"/>
  <c r="BP500" i="3"/>
  <c r="BR500" i="3"/>
  <c r="BT500" i="3"/>
  <c r="BL500" i="3"/>
  <c r="AZ500" i="3" s="1"/>
  <c r="BA501" i="3"/>
  <c r="BN501" i="3"/>
  <c r="BP501" i="3"/>
  <c r="BL501" i="3" s="1"/>
  <c r="AZ501" i="3" s="1"/>
  <c r="BR501" i="3"/>
  <c r="BT501" i="3"/>
  <c r="BA502" i="3"/>
  <c r="BN502" i="3"/>
  <c r="BP502" i="3"/>
  <c r="BR502" i="3"/>
  <c r="BT502" i="3"/>
  <c r="BL502" i="3"/>
  <c r="AZ502" i="3" s="1"/>
  <c r="BA503" i="3"/>
  <c r="BN503" i="3"/>
  <c r="BP503" i="3"/>
  <c r="BL503" i="3" s="1"/>
  <c r="AZ503" i="3" s="1"/>
  <c r="BR503" i="3"/>
  <c r="BT503" i="3"/>
  <c r="BA504" i="3"/>
  <c r="BN504" i="3"/>
  <c r="BP504" i="3"/>
  <c r="BR504" i="3"/>
  <c r="BT504" i="3"/>
  <c r="BL504" i="3"/>
  <c r="AZ504" i="3" s="1"/>
  <c r="BA505" i="3"/>
  <c r="BN505" i="3"/>
  <c r="BP505" i="3"/>
  <c r="BL505" i="3" s="1"/>
  <c r="AZ505" i="3" s="1"/>
  <c r="BR505" i="3"/>
  <c r="BT505" i="3"/>
  <c r="BA506" i="3"/>
  <c r="BN506" i="3"/>
  <c r="BP506" i="3"/>
  <c r="BR506" i="3"/>
  <c r="BT506" i="3"/>
  <c r="BL506" i="3"/>
  <c r="AZ506" i="3" s="1"/>
  <c r="BA507" i="3"/>
  <c r="BN507" i="3"/>
  <c r="BP507" i="3"/>
  <c r="BL507" i="3" s="1"/>
  <c r="AZ507" i="3" s="1"/>
  <c r="BR507" i="3"/>
  <c r="BT507" i="3"/>
  <c r="BA508" i="3"/>
  <c r="BN508" i="3"/>
  <c r="BP508" i="3"/>
  <c r="BR508" i="3"/>
  <c r="BT508" i="3"/>
  <c r="BL508" i="3"/>
  <c r="AZ508" i="3" s="1"/>
  <c r="BA509" i="3"/>
  <c r="BN509" i="3"/>
  <c r="BP509" i="3"/>
  <c r="BL509" i="3" s="1"/>
  <c r="AZ509" i="3" s="1"/>
  <c r="BR509" i="3"/>
  <c r="BT509" i="3"/>
  <c r="BA510" i="3"/>
  <c r="BN510" i="3"/>
  <c r="BP510" i="3"/>
  <c r="BR510" i="3"/>
  <c r="BT510" i="3"/>
  <c r="BL510" i="3"/>
  <c r="AZ510" i="3" s="1"/>
  <c r="BA511" i="3"/>
  <c r="BN511" i="3"/>
  <c r="BP511" i="3"/>
  <c r="BL511" i="3" s="1"/>
  <c r="AZ511" i="3" s="1"/>
  <c r="BR511" i="3"/>
  <c r="BT511" i="3"/>
  <c r="BA512" i="3"/>
  <c r="BN512" i="3"/>
  <c r="BP512" i="3"/>
  <c r="BR512" i="3"/>
  <c r="BT512" i="3"/>
  <c r="BL512" i="3"/>
  <c r="AZ512" i="3" s="1"/>
  <c r="BA513" i="3"/>
  <c r="BN513" i="3"/>
  <c r="BP513" i="3"/>
  <c r="BL513" i="3" s="1"/>
  <c r="AZ513" i="3" s="1"/>
  <c r="BR513" i="3"/>
  <c r="BT513" i="3"/>
  <c r="BA514" i="3"/>
  <c r="BN514" i="3"/>
  <c r="BP514" i="3"/>
  <c r="BR514" i="3"/>
  <c r="BT514" i="3"/>
  <c r="BL514" i="3"/>
  <c r="AZ514" i="3" s="1"/>
  <c r="BA515" i="3"/>
  <c r="BN515" i="3"/>
  <c r="BP515" i="3"/>
  <c r="BL515" i="3" s="1"/>
  <c r="AZ515" i="3" s="1"/>
  <c r="BR515" i="3"/>
  <c r="BT515" i="3"/>
  <c r="BA516" i="3"/>
  <c r="BN516" i="3"/>
  <c r="BP516" i="3"/>
  <c r="BR516" i="3"/>
  <c r="BT516" i="3"/>
  <c r="BL516" i="3"/>
  <c r="AZ516" i="3" s="1"/>
  <c r="BA517" i="3"/>
  <c r="BN517" i="3"/>
  <c r="BP517" i="3"/>
  <c r="BL517" i="3" s="1"/>
  <c r="AZ517" i="3" s="1"/>
  <c r="BR517" i="3"/>
  <c r="BT517" i="3"/>
  <c r="BA518" i="3"/>
  <c r="BN518" i="3"/>
  <c r="BP518" i="3"/>
  <c r="BR518" i="3"/>
  <c r="BT518" i="3"/>
  <c r="BL518" i="3"/>
  <c r="AZ518" i="3" s="1"/>
  <c r="BA519" i="3"/>
  <c r="BN519" i="3"/>
  <c r="BP519" i="3"/>
  <c r="BL519" i="3" s="1"/>
  <c r="AZ519" i="3" s="1"/>
  <c r="BR519" i="3"/>
  <c r="BT519" i="3"/>
  <c r="BA520" i="3"/>
  <c r="BN520" i="3"/>
  <c r="BP520" i="3"/>
  <c r="BR520" i="3"/>
  <c r="BT520" i="3"/>
  <c r="BL520" i="3"/>
  <c r="AZ520" i="3" s="1"/>
  <c r="BA521" i="3"/>
  <c r="BN521" i="3"/>
  <c r="BP521" i="3"/>
  <c r="BL521" i="3" s="1"/>
  <c r="AZ521" i="3" s="1"/>
  <c r="BR521" i="3"/>
  <c r="BT521" i="3"/>
  <c r="BA522" i="3"/>
  <c r="BN522" i="3"/>
  <c r="BP522" i="3"/>
  <c r="BR522" i="3"/>
  <c r="BT522" i="3"/>
  <c r="BL522" i="3"/>
  <c r="AZ522" i="3" s="1"/>
  <c r="BA523" i="3"/>
  <c r="BN523" i="3"/>
  <c r="BP523" i="3"/>
  <c r="BL523" i="3" s="1"/>
  <c r="AZ523" i="3" s="1"/>
  <c r="BR523" i="3"/>
  <c r="BT523" i="3"/>
  <c r="BA524" i="3"/>
  <c r="BN524" i="3"/>
  <c r="BP524" i="3"/>
  <c r="BR524" i="3"/>
  <c r="BT524" i="3"/>
  <c r="BL524" i="3"/>
  <c r="AZ524" i="3" s="1"/>
  <c r="BA525" i="3"/>
  <c r="BN525" i="3"/>
  <c r="BP525" i="3"/>
  <c r="BL525" i="3" s="1"/>
  <c r="AZ525" i="3" s="1"/>
  <c r="BR525" i="3"/>
  <c r="BT525" i="3"/>
  <c r="BA526" i="3"/>
  <c r="BN526" i="3"/>
  <c r="BP526" i="3"/>
  <c r="BR526" i="3"/>
  <c r="BT526" i="3"/>
  <c r="BL526" i="3"/>
  <c r="AZ526" i="3" s="1"/>
  <c r="BA527" i="3"/>
  <c r="BN527" i="3"/>
  <c r="BP527" i="3"/>
  <c r="BL527" i="3" s="1"/>
  <c r="AZ527" i="3" s="1"/>
  <c r="BR527" i="3"/>
  <c r="BT527" i="3"/>
  <c r="BA528" i="3"/>
  <c r="BN528" i="3"/>
  <c r="BP528" i="3"/>
  <c r="BR528" i="3"/>
  <c r="BT528" i="3"/>
  <c r="BL528" i="3"/>
  <c r="AZ528" i="3" s="1"/>
  <c r="BA529" i="3"/>
  <c r="BN529" i="3"/>
  <c r="BP529" i="3"/>
  <c r="BL529" i="3" s="1"/>
  <c r="AZ529" i="3" s="1"/>
  <c r="BR529" i="3"/>
  <c r="BT529" i="3"/>
  <c r="BA530" i="3"/>
  <c r="BN530" i="3"/>
  <c r="BP530" i="3"/>
  <c r="BR530" i="3"/>
  <c r="BT530" i="3"/>
  <c r="BL530" i="3"/>
  <c r="AZ530" i="3" s="1"/>
  <c r="BA531" i="3"/>
  <c r="BN531" i="3"/>
  <c r="BP531" i="3"/>
  <c r="BL531" i="3" s="1"/>
  <c r="AZ531" i="3" s="1"/>
  <c r="BR531" i="3"/>
  <c r="BT531" i="3"/>
  <c r="BA532" i="3"/>
  <c r="BN532" i="3"/>
  <c r="BP532" i="3"/>
  <c r="BR532" i="3"/>
  <c r="BT532" i="3"/>
  <c r="BL532" i="3"/>
  <c r="AZ532" i="3" s="1"/>
  <c r="BA533" i="3"/>
  <c r="BN533" i="3"/>
  <c r="BP533" i="3"/>
  <c r="BL533" i="3" s="1"/>
  <c r="AZ533" i="3" s="1"/>
  <c r="BR533" i="3"/>
  <c r="BT533" i="3"/>
  <c r="BA534" i="3"/>
  <c r="BN534" i="3"/>
  <c r="BP534" i="3"/>
  <c r="BR534" i="3"/>
  <c r="BT534" i="3"/>
  <c r="BL534" i="3"/>
  <c r="AZ534" i="3" s="1"/>
  <c r="BA535" i="3"/>
  <c r="BN535" i="3"/>
  <c r="BP535" i="3"/>
  <c r="BL535" i="3" s="1"/>
  <c r="AZ535" i="3" s="1"/>
  <c r="BR535" i="3"/>
  <c r="BT535" i="3"/>
  <c r="BA536" i="3"/>
  <c r="BN536" i="3"/>
  <c r="BP536" i="3"/>
  <c r="BR536" i="3"/>
  <c r="BT536" i="3"/>
  <c r="BL536" i="3"/>
  <c r="AZ536" i="3" s="1"/>
  <c r="BA537" i="3"/>
  <c r="BN537" i="3"/>
  <c r="BP537" i="3"/>
  <c r="BL537" i="3" s="1"/>
  <c r="AZ537" i="3" s="1"/>
  <c r="BR537" i="3"/>
  <c r="BT537" i="3"/>
  <c r="BA538" i="3"/>
  <c r="BN538" i="3"/>
  <c r="BP538" i="3"/>
  <c r="BR538" i="3"/>
  <c r="BT538" i="3"/>
  <c r="BL538" i="3"/>
  <c r="AZ538" i="3" s="1"/>
  <c r="BA539" i="3"/>
  <c r="BN539" i="3"/>
  <c r="BP539" i="3"/>
  <c r="BL539" i="3" s="1"/>
  <c r="AZ539" i="3" s="1"/>
  <c r="BR539" i="3"/>
  <c r="BT539" i="3"/>
  <c r="BA540" i="3"/>
  <c r="BN540" i="3"/>
  <c r="BP540" i="3"/>
  <c r="BR540" i="3"/>
  <c r="BT540" i="3"/>
  <c r="BL540" i="3"/>
  <c r="AZ540" i="3" s="1"/>
  <c r="BA541" i="3"/>
  <c r="BN541" i="3"/>
  <c r="BP541" i="3"/>
  <c r="BL541" i="3" s="1"/>
  <c r="AZ541" i="3" s="1"/>
  <c r="BR541" i="3"/>
  <c r="BT541" i="3"/>
  <c r="BA542" i="3"/>
  <c r="BN542" i="3"/>
  <c r="BP542" i="3"/>
  <c r="BR542" i="3"/>
  <c r="BT542" i="3"/>
  <c r="BL542" i="3"/>
  <c r="AZ542" i="3" s="1"/>
  <c r="BA543" i="3"/>
  <c r="BN543" i="3"/>
  <c r="BP543" i="3"/>
  <c r="BL543" i="3" s="1"/>
  <c r="AZ543" i="3" s="1"/>
  <c r="BR543" i="3"/>
  <c r="BT543" i="3"/>
  <c r="BA544" i="3"/>
  <c r="BN544" i="3"/>
  <c r="BP544" i="3"/>
  <c r="BR544" i="3"/>
  <c r="BT544" i="3"/>
  <c r="BL544" i="3"/>
  <c r="AZ544" i="3" s="1"/>
  <c r="BA545" i="3"/>
  <c r="BN545" i="3"/>
  <c r="BP545" i="3"/>
  <c r="BL545" i="3" s="1"/>
  <c r="AZ545" i="3" s="1"/>
  <c r="BR545" i="3"/>
  <c r="BT545" i="3"/>
  <c r="BA546" i="3"/>
  <c r="BN546" i="3"/>
  <c r="BP546" i="3"/>
  <c r="BR546" i="3"/>
  <c r="BT546" i="3"/>
  <c r="BL546" i="3"/>
  <c r="AZ546" i="3" s="1"/>
  <c r="BA547" i="3"/>
  <c r="BN547" i="3"/>
  <c r="BP547" i="3"/>
  <c r="BL547" i="3" s="1"/>
  <c r="AZ547" i="3" s="1"/>
  <c r="BR547" i="3"/>
  <c r="BT547" i="3"/>
  <c r="BA548" i="3"/>
  <c r="BN548" i="3"/>
  <c r="BP548" i="3"/>
  <c r="BR548" i="3"/>
  <c r="BT548" i="3"/>
  <c r="BL548" i="3"/>
  <c r="AZ548" i="3" s="1"/>
  <c r="BA549" i="3"/>
  <c r="BN549" i="3"/>
  <c r="BP549" i="3"/>
  <c r="BL549" i="3" s="1"/>
  <c r="AZ549" i="3" s="1"/>
  <c r="BR549" i="3"/>
  <c r="BT549" i="3"/>
  <c r="BA550" i="3"/>
  <c r="BN550" i="3"/>
  <c r="BP550" i="3"/>
  <c r="BR550" i="3"/>
  <c r="BT550" i="3"/>
  <c r="BL550" i="3"/>
  <c r="AZ550" i="3" s="1"/>
  <c r="BA551" i="3"/>
  <c r="BN551" i="3"/>
  <c r="BP551" i="3"/>
  <c r="BL551" i="3" s="1"/>
  <c r="AZ551" i="3" s="1"/>
  <c r="BR551" i="3"/>
  <c r="BT551" i="3"/>
  <c r="BA552" i="3"/>
  <c r="BN552" i="3"/>
  <c r="BP552" i="3"/>
  <c r="BR552" i="3"/>
  <c r="BT552" i="3"/>
  <c r="BL552" i="3"/>
  <c r="AZ552" i="3" s="1"/>
  <c r="BA553" i="3"/>
  <c r="BN553" i="3"/>
  <c r="BP553" i="3"/>
  <c r="BL553" i="3" s="1"/>
  <c r="AZ553" i="3" s="1"/>
  <c r="BR553" i="3"/>
  <c r="BT553" i="3"/>
  <c r="BA554" i="3"/>
  <c r="BN554" i="3"/>
  <c r="BP554" i="3"/>
  <c r="BR554" i="3"/>
  <c r="BT554" i="3"/>
  <c r="BL554" i="3"/>
  <c r="AZ554" i="3" s="1"/>
  <c r="BA555" i="3"/>
  <c r="BN555" i="3"/>
  <c r="BP555" i="3"/>
  <c r="BL555" i="3" s="1"/>
  <c r="AZ555" i="3" s="1"/>
  <c r="BR555" i="3"/>
  <c r="BT555" i="3"/>
  <c r="BA556" i="3"/>
  <c r="BN556" i="3"/>
  <c r="BP556" i="3"/>
  <c r="BR556" i="3"/>
  <c r="BT556" i="3"/>
  <c r="BL556" i="3"/>
  <c r="AZ556" i="3" s="1"/>
  <c r="BA557" i="3"/>
  <c r="BN557" i="3"/>
  <c r="BP557" i="3"/>
  <c r="BL557" i="3" s="1"/>
  <c r="AZ557" i="3" s="1"/>
  <c r="BR557" i="3"/>
  <c r="BT557" i="3"/>
  <c r="BA558" i="3"/>
  <c r="BN558" i="3"/>
  <c r="BP558" i="3"/>
  <c r="BR558" i="3"/>
  <c r="BT558" i="3"/>
  <c r="BL558" i="3"/>
  <c r="AZ558" i="3" s="1"/>
  <c r="BA559" i="3"/>
  <c r="BN559" i="3"/>
  <c r="BP559" i="3"/>
  <c r="BL559" i="3" s="1"/>
  <c r="AZ559" i="3" s="1"/>
  <c r="BR559" i="3"/>
  <c r="BT559" i="3"/>
  <c r="BA560" i="3"/>
  <c r="BN560" i="3"/>
  <c r="BP560" i="3"/>
  <c r="BR560" i="3"/>
  <c r="BT560" i="3"/>
  <c r="BL560" i="3"/>
  <c r="AZ560" i="3" s="1"/>
  <c r="BA561" i="3"/>
  <c r="BN561" i="3"/>
  <c r="BP561" i="3"/>
  <c r="BL561" i="3" s="1"/>
  <c r="AZ561" i="3" s="1"/>
  <c r="BR561" i="3"/>
  <c r="BT561" i="3"/>
  <c r="BA562" i="3"/>
  <c r="BN562" i="3"/>
  <c r="BP562" i="3"/>
  <c r="BR562" i="3"/>
  <c r="BT562" i="3"/>
  <c r="BL562" i="3"/>
  <c r="AZ562" i="3" s="1"/>
  <c r="BA563" i="3"/>
  <c r="BN563" i="3"/>
  <c r="BP563" i="3"/>
  <c r="BL563" i="3" s="1"/>
  <c r="AZ563" i="3" s="1"/>
  <c r="BR563" i="3"/>
  <c r="BT563" i="3"/>
  <c r="BA564" i="3"/>
  <c r="BN564" i="3"/>
  <c r="BP564" i="3"/>
  <c r="BR564" i="3"/>
  <c r="BT564" i="3"/>
  <c r="BL564" i="3"/>
  <c r="AZ564" i="3" s="1"/>
  <c r="BA565" i="3"/>
  <c r="BN565" i="3"/>
  <c r="BP565" i="3"/>
  <c r="BL565" i="3" s="1"/>
  <c r="AZ565" i="3" s="1"/>
  <c r="BR565" i="3"/>
  <c r="BT565" i="3"/>
  <c r="BA566" i="3"/>
  <c r="BN566" i="3"/>
  <c r="BP566" i="3"/>
  <c r="BR566" i="3"/>
  <c r="BT566" i="3"/>
  <c r="BL566" i="3"/>
  <c r="AZ566" i="3" s="1"/>
  <c r="BA567" i="3"/>
  <c r="BN567" i="3"/>
  <c r="BP567" i="3"/>
  <c r="BL567" i="3" s="1"/>
  <c r="AZ567" i="3" s="1"/>
  <c r="BR567" i="3"/>
  <c r="BT567" i="3"/>
  <c r="BA568" i="3"/>
  <c r="BN568" i="3"/>
  <c r="BP568" i="3"/>
  <c r="BR568" i="3"/>
  <c r="BT568" i="3"/>
  <c r="BL568" i="3"/>
  <c r="AZ568" i="3" s="1"/>
  <c r="BA569" i="3"/>
  <c r="BN569" i="3"/>
  <c r="BP569" i="3"/>
  <c r="BL569" i="3" s="1"/>
  <c r="AZ569" i="3" s="1"/>
  <c r="BR569" i="3"/>
  <c r="BT569" i="3"/>
  <c r="BA570" i="3"/>
  <c r="BN570" i="3"/>
  <c r="BP570" i="3"/>
  <c r="BR570" i="3"/>
  <c r="BT570" i="3"/>
  <c r="BL570" i="3"/>
  <c r="AZ570" i="3" s="1"/>
  <c r="BA571" i="3"/>
  <c r="BN571" i="3"/>
  <c r="BP571" i="3"/>
  <c r="BL571" i="3" s="1"/>
  <c r="AZ571" i="3" s="1"/>
  <c r="BR571" i="3"/>
  <c r="BT571" i="3"/>
  <c r="BA572" i="3"/>
  <c r="BN572" i="3"/>
  <c r="BP572" i="3"/>
  <c r="BR572" i="3"/>
  <c r="BT572" i="3"/>
  <c r="BL572" i="3"/>
  <c r="AZ572" i="3" s="1"/>
  <c r="H13" i="3"/>
  <c r="AC13" i="3"/>
  <c r="G13" i="3"/>
  <c r="H14" i="3"/>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H37" i="3"/>
  <c r="AC37" i="3"/>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G54" i="3" s="1"/>
  <c r="AC54" i="3"/>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E19" i="6"/>
  <c r="E20" i="6"/>
  <c r="E21" i="6"/>
  <c r="E22" i="6"/>
  <c r="E23" i="6"/>
  <c r="E24" i="6"/>
  <c r="E25" i="6"/>
  <c r="E26" i="6"/>
  <c r="BR5" i="3"/>
  <c r="BT5" i="3"/>
  <c r="G28" i="6" s="1"/>
  <c r="BN5" i="3"/>
  <c r="BP5" i="3"/>
  <c r="G29" i="6"/>
  <c r="E29" i="6" s="1"/>
  <c r="R48" i="39"/>
  <c r="E9" i="39"/>
  <c r="B2" i="1"/>
  <c r="C9" i="39" s="1"/>
  <c r="C70" i="39" s="1"/>
  <c r="G19" i="46"/>
  <c r="I3" i="59"/>
  <c r="AD3" i="59"/>
  <c r="J3" i="59"/>
  <c r="AE3" i="59"/>
  <c r="AF3" i="59" s="1"/>
  <c r="K3" i="59"/>
  <c r="AG3" i="59" s="1"/>
  <c r="L3" i="59"/>
  <c r="AH3" i="59" s="1"/>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D73" i="39"/>
  <c r="E73" i="39"/>
  <c r="F73" i="39" s="1"/>
  <c r="G73" i="39" s="1"/>
  <c r="H73" i="39" s="1"/>
  <c r="I73" i="39" s="1"/>
  <c r="J73" i="39" s="1"/>
  <c r="K73" i="39" s="1"/>
  <c r="L73" i="39" s="1"/>
  <c r="M73" i="39" s="1"/>
  <c r="N73" i="39" s="1"/>
  <c r="F10" i="39"/>
  <c r="AA10" i="39" s="1"/>
  <c r="F11" i="39"/>
  <c r="AA11" i="39" s="1"/>
  <c r="B84" i="39"/>
  <c r="F14" i="39" s="1"/>
  <c r="AA14" i="39" s="1"/>
  <c r="B86" i="39"/>
  <c r="F15" i="39"/>
  <c r="AA15" i="39" s="1"/>
  <c r="B88" i="39"/>
  <c r="F16" i="39" s="1"/>
  <c r="AA16" i="39" s="1"/>
  <c r="D91" i="39"/>
  <c r="F17" i="39"/>
  <c r="AA17" i="39" s="1"/>
  <c r="D93" i="39"/>
  <c r="E93" i="39" s="1"/>
  <c r="F21" i="39"/>
  <c r="AA21" i="39" s="1"/>
  <c r="D97" i="39"/>
  <c r="E97" i="39" s="1"/>
  <c r="D99" i="39"/>
  <c r="F25" i="39" s="1"/>
  <c r="AA25" i="39" s="1"/>
  <c r="D101" i="39"/>
  <c r="F27" i="39"/>
  <c r="AA27" i="39" s="1"/>
  <c r="D103" i="39"/>
  <c r="E103" i="39" s="1"/>
  <c r="F31" i="39"/>
  <c r="AA31" i="39" s="1"/>
  <c r="B106" i="39"/>
  <c r="F33" i="39" s="1"/>
  <c r="AA33" i="39" s="1"/>
  <c r="F34" i="39"/>
  <c r="AA34" i="39"/>
  <c r="F36" i="39"/>
  <c r="AA36" i="39"/>
  <c r="B112" i="39"/>
  <c r="F37" i="39"/>
  <c r="AA37" i="39" s="1"/>
  <c r="B114" i="39"/>
  <c r="F38" i="39" s="1"/>
  <c r="AA38" i="39" s="1"/>
  <c r="B116" i="39"/>
  <c r="F39" i="39"/>
  <c r="AA39" i="39" s="1"/>
  <c r="E40" i="39"/>
  <c r="D122" i="39"/>
  <c r="F41" i="39"/>
  <c r="AA41" i="39" s="1"/>
  <c r="D124" i="39"/>
  <c r="F42" i="39" s="1"/>
  <c r="AA42" i="39" s="1"/>
  <c r="D126" i="39"/>
  <c r="E126" i="39"/>
  <c r="F43" i="39"/>
  <c r="AA43" i="39" s="1"/>
  <c r="D128" i="39"/>
  <c r="F44" i="39" s="1"/>
  <c r="AA44" i="39" s="1"/>
  <c r="B129" i="39"/>
  <c r="F45" i="39"/>
  <c r="AA45" i="39" s="1"/>
  <c r="B131" i="39"/>
  <c r="F46" i="39" s="1"/>
  <c r="AA46" i="39" s="1"/>
  <c r="B133" i="39"/>
  <c r="F47" i="39"/>
  <c r="AA47" i="39" s="1"/>
  <c r="G13" i="39"/>
  <c r="T48" i="39"/>
  <c r="G9" i="39"/>
  <c r="H10" i="39"/>
  <c r="AB10" i="39"/>
  <c r="H11" i="39"/>
  <c r="AB11" i="39"/>
  <c r="H14" i="39"/>
  <c r="AB14" i="39"/>
  <c r="H15" i="39"/>
  <c r="AB15" i="39"/>
  <c r="H16" i="39"/>
  <c r="AB16" i="39"/>
  <c r="E91" i="39"/>
  <c r="H17" i="39" s="1"/>
  <c r="H21" i="39"/>
  <c r="AB21" i="39" s="1"/>
  <c r="H25" i="39"/>
  <c r="AB25" i="39"/>
  <c r="H27" i="39"/>
  <c r="AB27" i="39"/>
  <c r="H31" i="39"/>
  <c r="AB31" i="39"/>
  <c r="H33" i="39"/>
  <c r="AB33" i="39"/>
  <c r="H34" i="39"/>
  <c r="AB34" i="39" s="1"/>
  <c r="H36" i="39"/>
  <c r="AB36" i="39" s="1"/>
  <c r="H37" i="39"/>
  <c r="AB37" i="39" s="1"/>
  <c r="H38" i="39"/>
  <c r="AB38" i="39" s="1"/>
  <c r="H39" i="39"/>
  <c r="AB39" i="39" s="1"/>
  <c r="G40" i="39"/>
  <c r="H41" i="39"/>
  <c r="AB41" i="39"/>
  <c r="H42" i="39"/>
  <c r="AB42" i="39"/>
  <c r="H43" i="39"/>
  <c r="AB43" i="39" s="1"/>
  <c r="H44" i="39"/>
  <c r="AB44" i="39" s="1"/>
  <c r="H45" i="39"/>
  <c r="AB45" i="39" s="1"/>
  <c r="H46" i="39"/>
  <c r="AB46" i="39" s="1"/>
  <c r="H47" i="39"/>
  <c r="AB47" i="39" s="1"/>
  <c r="I13" i="39"/>
  <c r="V48" i="39"/>
  <c r="I9" i="39"/>
  <c r="J10" i="39"/>
  <c r="AC10" i="39"/>
  <c r="J11" i="39"/>
  <c r="AC11" i="39"/>
  <c r="J14" i="39"/>
  <c r="AC14" i="39"/>
  <c r="J15" i="39"/>
  <c r="AC15" i="39"/>
  <c r="J16" i="39"/>
  <c r="AC16" i="39"/>
  <c r="J21" i="39"/>
  <c r="AC21" i="39" s="1"/>
  <c r="J25" i="39"/>
  <c r="AC25" i="39"/>
  <c r="J27" i="39"/>
  <c r="AC27" i="39"/>
  <c r="J31" i="39"/>
  <c r="AC31" i="39" s="1"/>
  <c r="J33" i="39"/>
  <c r="AC33" i="39" s="1"/>
  <c r="J34" i="39"/>
  <c r="AC34" i="39" s="1"/>
  <c r="J36" i="39"/>
  <c r="AC36" i="39" s="1"/>
  <c r="J37" i="39"/>
  <c r="AC37" i="39" s="1"/>
  <c r="J38" i="39"/>
  <c r="AC38" i="39" s="1"/>
  <c r="J39" i="39"/>
  <c r="AC39" i="39" s="1"/>
  <c r="I40" i="39"/>
  <c r="J41" i="39"/>
  <c r="AC41" i="39"/>
  <c r="J42" i="39"/>
  <c r="AC42" i="39"/>
  <c r="J43" i="39"/>
  <c r="AC43" i="39" s="1"/>
  <c r="J44" i="39"/>
  <c r="AC44" i="39" s="1"/>
  <c r="J45" i="39"/>
  <c r="AC45" i="39" s="1"/>
  <c r="J46" i="39"/>
  <c r="AC46" i="39" s="1"/>
  <c r="J47" i="39"/>
  <c r="AC47" i="39" s="1"/>
  <c r="A6" i="1"/>
  <c r="K6" i="1" s="1"/>
  <c r="M6" i="1" s="1"/>
  <c r="A7" i="1"/>
  <c r="K7" i="1" s="1"/>
  <c r="M7" i="1" s="1"/>
  <c r="A8" i="1"/>
  <c r="N8" i="1"/>
  <c r="A9" i="1"/>
  <c r="A10" i="1"/>
  <c r="K10" i="1"/>
  <c r="M10" i="1" s="1"/>
  <c r="A11" i="1"/>
  <c r="K11" i="1"/>
  <c r="M11" i="1" s="1"/>
  <c r="A12" i="1"/>
  <c r="K12" i="1"/>
  <c r="M12" i="1" s="1"/>
  <c r="A13" i="1"/>
  <c r="K13" i="1"/>
  <c r="M13" i="1" s="1"/>
  <c r="F14" i="12"/>
  <c r="C42" i="1"/>
  <c r="F15" i="12"/>
  <c r="E16" i="12"/>
  <c r="F17" i="12"/>
  <c r="E19" i="12"/>
  <c r="BB11" i="3"/>
  <c r="BC11" i="3"/>
  <c r="E5" i="6" s="1"/>
  <c r="D21" i="12" s="1"/>
  <c r="C21" i="12" s="1"/>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E21" i="12"/>
  <c r="E22" i="12"/>
  <c r="F23" i="12"/>
  <c r="C1" i="65"/>
  <c r="H1" i="65"/>
  <c r="B22" i="1"/>
  <c r="C2" i="65"/>
  <c r="D81" i="70"/>
  <c r="E81" i="70"/>
  <c r="H19" i="70" s="1"/>
  <c r="AB19" i="70" s="1"/>
  <c r="T47" i="70"/>
  <c r="C7" i="70"/>
  <c r="C58" i="70" s="1"/>
  <c r="H8" i="70"/>
  <c r="AB8" i="70" s="1"/>
  <c r="C63" i="70"/>
  <c r="H9" i="70" s="1"/>
  <c r="AB9" i="70" s="1"/>
  <c r="D66" i="70"/>
  <c r="H10" i="70"/>
  <c r="AB10" i="70" s="1"/>
  <c r="D69" i="70"/>
  <c r="E69" i="70"/>
  <c r="H11" i="70" s="1"/>
  <c r="AB11" i="70" s="1"/>
  <c r="B70" i="70"/>
  <c r="H12" i="70"/>
  <c r="AB12" i="70" s="1"/>
  <c r="B72" i="70"/>
  <c r="H13" i="70" s="1"/>
  <c r="AB13" i="70" s="1"/>
  <c r="B74" i="70"/>
  <c r="H14" i="70"/>
  <c r="AB14" i="70" s="1"/>
  <c r="D77" i="70"/>
  <c r="H15" i="70" s="1"/>
  <c r="AB15" i="70" s="1"/>
  <c r="D79" i="70"/>
  <c r="H17" i="70"/>
  <c r="AB17" i="70" s="1"/>
  <c r="H21" i="70"/>
  <c r="AB21" i="70" s="1"/>
  <c r="D85" i="70"/>
  <c r="H23" i="70" s="1"/>
  <c r="AB23" i="70" s="1"/>
  <c r="H25" i="70"/>
  <c r="AB25" i="70"/>
  <c r="H26" i="70"/>
  <c r="AB26" i="70"/>
  <c r="B90" i="70"/>
  <c r="H27" i="70"/>
  <c r="AB27" i="70" s="1"/>
  <c r="B92" i="70"/>
  <c r="H28" i="70" s="1"/>
  <c r="AB28" i="70" s="1"/>
  <c r="B94" i="70"/>
  <c r="H29" i="70"/>
  <c r="AB29" i="70" s="1"/>
  <c r="B96" i="70"/>
  <c r="H30" i="70" s="1"/>
  <c r="AB30" i="70" s="1"/>
  <c r="B98" i="70"/>
  <c r="H31" i="70"/>
  <c r="AB31" i="70" s="1"/>
  <c r="D101" i="70"/>
  <c r="E101" i="70" s="1"/>
  <c r="D104" i="70"/>
  <c r="E104" i="70" s="1"/>
  <c r="F104" i="70" s="1"/>
  <c r="G104" i="70" s="1"/>
  <c r="H104" i="70" s="1"/>
  <c r="F33" i="70" s="1"/>
  <c r="AA33" i="70" s="1"/>
  <c r="H34" i="70"/>
  <c r="AB34" i="70"/>
  <c r="H35" i="70"/>
  <c r="AB35" i="70"/>
  <c r="H36" i="70"/>
  <c r="AB36" i="70"/>
  <c r="D113" i="70"/>
  <c r="E113" i="70"/>
  <c r="F113" i="70" s="1"/>
  <c r="G113" i="70" s="1"/>
  <c r="H38" i="70"/>
  <c r="AB38" i="70"/>
  <c r="H39" i="70"/>
  <c r="AB39" i="70"/>
  <c r="H40" i="70"/>
  <c r="AB40" i="70"/>
  <c r="H41" i="70"/>
  <c r="AB41" i="70"/>
  <c r="D123" i="70"/>
  <c r="E123" i="70"/>
  <c r="F123" i="70" s="1"/>
  <c r="D125" i="70"/>
  <c r="H43" i="70"/>
  <c r="AB43" i="70" s="1"/>
  <c r="B126" i="70"/>
  <c r="H44" i="70" s="1"/>
  <c r="AB44" i="70" s="1"/>
  <c r="B128" i="70"/>
  <c r="H45" i="70"/>
  <c r="AB45" i="70" s="1"/>
  <c r="B130" i="70"/>
  <c r="H46" i="70" s="1"/>
  <c r="AB46" i="70" s="1"/>
  <c r="R47" i="70"/>
  <c r="F8" i="70"/>
  <c r="AA8" i="70" s="1"/>
  <c r="F9" i="70"/>
  <c r="AA9" i="70" s="1"/>
  <c r="F10" i="70"/>
  <c r="S10" i="70" s="1"/>
  <c r="F12" i="70"/>
  <c r="AA12" i="70"/>
  <c r="F14" i="70"/>
  <c r="AA14" i="70"/>
  <c r="F17" i="70"/>
  <c r="AA17" i="70"/>
  <c r="F21" i="70"/>
  <c r="AA21" i="70"/>
  <c r="F25" i="70"/>
  <c r="AA25" i="70"/>
  <c r="F26" i="70"/>
  <c r="AA26" i="70"/>
  <c r="F27" i="70"/>
  <c r="AA27" i="70"/>
  <c r="F29" i="70"/>
  <c r="AA29" i="70"/>
  <c r="F31" i="70"/>
  <c r="AA31" i="70"/>
  <c r="F34" i="70"/>
  <c r="AA34" i="70"/>
  <c r="F35" i="70"/>
  <c r="AA35" i="70"/>
  <c r="F36" i="70"/>
  <c r="AA36" i="70"/>
  <c r="F38" i="70"/>
  <c r="AA38" i="70"/>
  <c r="F39" i="70"/>
  <c r="AA39" i="70"/>
  <c r="F40" i="70"/>
  <c r="AA40" i="70"/>
  <c r="F41" i="70"/>
  <c r="AA41" i="70"/>
  <c r="F43" i="70"/>
  <c r="AA43" i="70"/>
  <c r="F45" i="70"/>
  <c r="AA45" i="70"/>
  <c r="I47" i="70"/>
  <c r="V47" i="70"/>
  <c r="J8" i="70"/>
  <c r="AC8" i="70"/>
  <c r="J9" i="70"/>
  <c r="AC9" i="70"/>
  <c r="J10" i="70"/>
  <c r="W10" i="70" s="1"/>
  <c r="J11" i="70"/>
  <c r="AC11" i="70" s="1"/>
  <c r="J12" i="70"/>
  <c r="AC12" i="70" s="1"/>
  <c r="J13" i="70"/>
  <c r="AC13" i="70" s="1"/>
  <c r="J14" i="70"/>
  <c r="AC14" i="70" s="1"/>
  <c r="J15" i="70"/>
  <c r="AC15" i="70" s="1"/>
  <c r="J17" i="70"/>
  <c r="AC17" i="70" s="1"/>
  <c r="J19" i="70"/>
  <c r="AC19" i="70" s="1"/>
  <c r="J21" i="70"/>
  <c r="AC21" i="70" s="1"/>
  <c r="J23" i="70"/>
  <c r="AC23" i="70" s="1"/>
  <c r="J25" i="70"/>
  <c r="AC25" i="70" s="1"/>
  <c r="J26" i="70"/>
  <c r="AC26" i="70" s="1"/>
  <c r="J27" i="70"/>
  <c r="AC27" i="70" s="1"/>
  <c r="J28" i="70"/>
  <c r="AC28" i="70" s="1"/>
  <c r="J29" i="70"/>
  <c r="AC29" i="70" s="1"/>
  <c r="J30" i="70"/>
  <c r="AC30" i="70" s="1"/>
  <c r="J31" i="70"/>
  <c r="AC31" i="70" s="1"/>
  <c r="J33" i="70"/>
  <c r="AC33" i="70" s="1"/>
  <c r="J34" i="70"/>
  <c r="AC34" i="70" s="1"/>
  <c r="J35" i="70"/>
  <c r="AC35" i="70" s="1"/>
  <c r="J36" i="70"/>
  <c r="AC36" i="70" s="1"/>
  <c r="J37" i="70"/>
  <c r="AC37" i="70" s="1"/>
  <c r="J38" i="70"/>
  <c r="AC38" i="70" s="1"/>
  <c r="J39" i="70"/>
  <c r="AC39" i="70" s="1"/>
  <c r="J40" i="70"/>
  <c r="AC40" i="70" s="1"/>
  <c r="J41" i="70"/>
  <c r="AC41" i="70" s="1"/>
  <c r="J42" i="70"/>
  <c r="AC42" i="70" s="1"/>
  <c r="J43" i="70"/>
  <c r="AC43" i="70" s="1"/>
  <c r="J44" i="70"/>
  <c r="AC44" i="70" s="1"/>
  <c r="J45" i="70"/>
  <c r="AC45" i="70" s="1"/>
  <c r="J46" i="70"/>
  <c r="AC46" i="70" s="1"/>
  <c r="E9" i="12"/>
  <c r="R47" i="21"/>
  <c r="C7" i="21"/>
  <c r="C58" i="21" s="1"/>
  <c r="D58" i="21" s="1"/>
  <c r="F8" i="21"/>
  <c r="AA8" i="21" s="1"/>
  <c r="C63" i="21"/>
  <c r="F9" i="21" s="1"/>
  <c r="AA9" i="21"/>
  <c r="D66" i="21"/>
  <c r="F10" i="21"/>
  <c r="AA10" i="21" s="1"/>
  <c r="D69" i="21"/>
  <c r="E69" i="21"/>
  <c r="F11" i="21" s="1"/>
  <c r="AA11" i="21" s="1"/>
  <c r="B70" i="21"/>
  <c r="F12" i="21"/>
  <c r="AA12" i="21" s="1"/>
  <c r="B72" i="21"/>
  <c r="F13" i="21" s="1"/>
  <c r="AA13" i="21" s="1"/>
  <c r="B74" i="21"/>
  <c r="F14" i="21"/>
  <c r="AA14" i="21" s="1"/>
  <c r="D77" i="21"/>
  <c r="F15" i="21" s="1"/>
  <c r="AA15" i="21" s="1"/>
  <c r="D79" i="21"/>
  <c r="F17" i="21"/>
  <c r="AA17" i="21" s="1"/>
  <c r="D81" i="21"/>
  <c r="E81" i="21"/>
  <c r="F19" i="21" s="1"/>
  <c r="AA19" i="21"/>
  <c r="F21" i="21"/>
  <c r="AA21" i="21"/>
  <c r="D85" i="21"/>
  <c r="F23" i="21"/>
  <c r="AA23" i="21" s="1"/>
  <c r="F25" i="21"/>
  <c r="AA25" i="21"/>
  <c r="F26" i="21"/>
  <c r="AA26" i="21"/>
  <c r="B90" i="21"/>
  <c r="F27" i="21"/>
  <c r="AA27" i="21" s="1"/>
  <c r="B92" i="21"/>
  <c r="F28" i="21" s="1"/>
  <c r="AA28" i="21"/>
  <c r="B94" i="21"/>
  <c r="F29" i="21"/>
  <c r="AA29" i="21" s="1"/>
  <c r="B96" i="21"/>
  <c r="F30" i="21" s="1"/>
  <c r="AA30" i="21"/>
  <c r="B98" i="21"/>
  <c r="F31" i="21"/>
  <c r="AA31" i="21" s="1"/>
  <c r="F32" i="21"/>
  <c r="AA32" i="21" s="1"/>
  <c r="D104" i="21"/>
  <c r="E104" i="21" s="1"/>
  <c r="F104" i="21" s="1"/>
  <c r="G104" i="21" s="1"/>
  <c r="H104" i="21" s="1"/>
  <c r="F34" i="21"/>
  <c r="AA34" i="21"/>
  <c r="F35" i="21"/>
  <c r="AA35" i="21"/>
  <c r="F36" i="21"/>
  <c r="AA36" i="21"/>
  <c r="D113" i="21"/>
  <c r="E113" i="21"/>
  <c r="F113" i="21" s="1"/>
  <c r="G113" i="21"/>
  <c r="F37" i="21" s="1"/>
  <c r="AA37" i="21" s="1"/>
  <c r="F38" i="21"/>
  <c r="AA38" i="21"/>
  <c r="F39" i="21"/>
  <c r="AA39" i="21"/>
  <c r="F40" i="21"/>
  <c r="AA40" i="21"/>
  <c r="F41" i="21"/>
  <c r="AA41" i="21"/>
  <c r="D123" i="21"/>
  <c r="E123" i="21"/>
  <c r="F123" i="21" s="1"/>
  <c r="F42" i="21"/>
  <c r="AA42" i="21" s="1"/>
  <c r="D125" i="21"/>
  <c r="F43" i="21" s="1"/>
  <c r="AA43" i="21"/>
  <c r="B126" i="21"/>
  <c r="F44" i="21"/>
  <c r="AA44" i="21" s="1"/>
  <c r="B128" i="21"/>
  <c r="F45" i="21" s="1"/>
  <c r="AA45" i="21"/>
  <c r="B130" i="21"/>
  <c r="F46" i="21"/>
  <c r="AA46" i="21" s="1"/>
  <c r="T47" i="21"/>
  <c r="H8" i="21"/>
  <c r="AB8" i="21"/>
  <c r="H9" i="21"/>
  <c r="AB9" i="21"/>
  <c r="H10" i="21"/>
  <c r="AB10" i="21" s="1"/>
  <c r="H11" i="21"/>
  <c r="AB11" i="21" s="1"/>
  <c r="H12" i="21"/>
  <c r="AB12" i="21" s="1"/>
  <c r="H13" i="21"/>
  <c r="AB13" i="21" s="1"/>
  <c r="H14" i="21"/>
  <c r="AB14" i="21" s="1"/>
  <c r="H15" i="21"/>
  <c r="AB15" i="21" s="1"/>
  <c r="H17" i="21"/>
  <c r="AB17" i="21" s="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7" i="21"/>
  <c r="AB37" i="21" s="1"/>
  <c r="H38" i="21"/>
  <c r="AB38" i="21" s="1"/>
  <c r="H39" i="21"/>
  <c r="AB39" i="21" s="1"/>
  <c r="H40" i="21"/>
  <c r="AB40" i="21" s="1"/>
  <c r="H41" i="21"/>
  <c r="AB41" i="21" s="1"/>
  <c r="H42" i="21"/>
  <c r="AB42" i="21" s="1"/>
  <c r="H43" i="21"/>
  <c r="AB43" i="21" s="1"/>
  <c r="H44" i="21"/>
  <c r="AB44" i="21" s="1"/>
  <c r="H45" i="21"/>
  <c r="AB45" i="21" s="1"/>
  <c r="H46" i="21"/>
  <c r="AB46" i="21" s="1"/>
  <c r="I47" i="21"/>
  <c r="V47" i="21" s="1"/>
  <c r="J8" i="21"/>
  <c r="AC8" i="21" s="1"/>
  <c r="J9" i="21"/>
  <c r="AC9" i="21" s="1"/>
  <c r="J10" i="21"/>
  <c r="AC10" i="21" s="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D101" i="21"/>
  <c r="E101" i="21"/>
  <c r="J32" i="21" s="1"/>
  <c r="AC32" i="21" s="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9" i="12"/>
  <c r="F24" i="12"/>
  <c r="B24" i="1"/>
  <c r="B43" i="1"/>
  <c r="B41" i="1" s="1"/>
  <c r="F25" i="12"/>
  <c r="C25" i="12"/>
  <c r="C17" i="9"/>
  <c r="D17" i="9"/>
  <c r="A44" i="9"/>
  <c r="D107" i="9"/>
  <c r="A45" i="9"/>
  <c r="A46" i="9"/>
  <c r="D7" i="1"/>
  <c r="F7" i="1"/>
  <c r="G7" i="1" s="1"/>
  <c r="D9" i="1"/>
  <c r="J140" i="70"/>
  <c r="K145" i="70" s="1"/>
  <c r="C145" i="70"/>
  <c r="K139" i="70"/>
  <c r="K144" i="70"/>
  <c r="J142" i="70"/>
  <c r="E125" i="70"/>
  <c r="F125" i="70" s="1"/>
  <c r="G125" i="70" s="1"/>
  <c r="G123" i="70"/>
  <c r="H123" i="70"/>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H113" i="70"/>
  <c r="H111" i="70"/>
  <c r="G111" i="70"/>
  <c r="F111" i="70"/>
  <c r="E111" i="70"/>
  <c r="D111" i="70"/>
  <c r="C111" i="70"/>
  <c r="D110" i="70"/>
  <c r="E110" i="70"/>
  <c r="F110" i="70" s="1"/>
  <c r="G110" i="70" s="1"/>
  <c r="H110" i="70" s="1"/>
  <c r="I110" i="70" s="1"/>
  <c r="J110" i="70" s="1"/>
  <c r="K110" i="70" s="1"/>
  <c r="L110" i="70" s="1"/>
  <c r="M110" i="70" s="1"/>
  <c r="D108" i="70"/>
  <c r="E108" i="70"/>
  <c r="F108" i="70" s="1"/>
  <c r="G108" i="70" s="1"/>
  <c r="H108" i="70" s="1"/>
  <c r="I108" i="70" s="1"/>
  <c r="J108" i="70" s="1"/>
  <c r="K108" i="70" s="1"/>
  <c r="L108" i="70" s="1"/>
  <c r="M108" i="70" s="1"/>
  <c r="D106" i="70"/>
  <c r="E106" i="70"/>
  <c r="F106" i="70" s="1"/>
  <c r="G106" i="70" s="1"/>
  <c r="H106" i="70" s="1"/>
  <c r="I106" i="70" s="1"/>
  <c r="J106" i="70" s="1"/>
  <c r="K106" i="70" s="1"/>
  <c r="L106" i="70" s="1"/>
  <c r="M106" i="70" s="1"/>
  <c r="I104" i="70"/>
  <c r="M102" i="70"/>
  <c r="L102" i="70"/>
  <c r="K102" i="70"/>
  <c r="J102" i="70"/>
  <c r="I102" i="70"/>
  <c r="H102" i="70"/>
  <c r="G102" i="70"/>
  <c r="F102" i="70"/>
  <c r="E102" i="70"/>
  <c r="D102" i="70"/>
  <c r="C102" i="70"/>
  <c r="F101" i="70"/>
  <c r="G101" i="70"/>
  <c r="H101" i="70" s="1"/>
  <c r="I101" i="70" s="1"/>
  <c r="J101" i="70" s="1"/>
  <c r="K101" i="70" s="1"/>
  <c r="L101" i="70" s="1"/>
  <c r="M101" i="70" s="1"/>
  <c r="D89" i="70"/>
  <c r="E89" i="70"/>
  <c r="F89" i="70" s="1"/>
  <c r="G89" i="70" s="1"/>
  <c r="H89" i="70" s="1"/>
  <c r="I89" i="70" s="1"/>
  <c r="J89" i="70" s="1"/>
  <c r="K89" i="70" s="1"/>
  <c r="L89" i="70" s="1"/>
  <c r="M89" i="70" s="1"/>
  <c r="M87" i="70"/>
  <c r="L87" i="70"/>
  <c r="K87" i="70"/>
  <c r="J87" i="70"/>
  <c r="I87" i="70"/>
  <c r="H87" i="70"/>
  <c r="G87" i="70"/>
  <c r="F87" i="70"/>
  <c r="E87" i="70"/>
  <c r="D87" i="70"/>
  <c r="E85" i="70"/>
  <c r="F85" i="70"/>
  <c r="G85" i="70" s="1"/>
  <c r="D83" i="70"/>
  <c r="E83" i="70" s="1"/>
  <c r="F83" i="70" s="1"/>
  <c r="G83" i="70" s="1"/>
  <c r="F81" i="70"/>
  <c r="G81" i="70" s="1"/>
  <c r="E79" i="70"/>
  <c r="F79" i="70" s="1"/>
  <c r="G79" i="70" s="1"/>
  <c r="E77" i="70"/>
  <c r="F77" i="70"/>
  <c r="G77" i="70" s="1"/>
  <c r="F69" i="70"/>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I54" i="70"/>
  <c r="J54" i="70" s="1"/>
  <c r="G54" i="70"/>
  <c r="H54" i="70" s="1"/>
  <c r="E54" i="70"/>
  <c r="F54" i="70" s="1"/>
  <c r="P49" i="70"/>
  <c r="P48" i="70"/>
  <c r="P47" i="70"/>
  <c r="Q46" i="70"/>
  <c r="Z46" i="70"/>
  <c r="W46" i="70"/>
  <c r="U46" i="70"/>
  <c r="Q45" i="70"/>
  <c r="Z45" i="70" s="1"/>
  <c r="W45" i="70"/>
  <c r="U45" i="70"/>
  <c r="S45" i="70"/>
  <c r="Q44" i="70"/>
  <c r="Z44" i="70"/>
  <c r="W44" i="70"/>
  <c r="U44" i="70"/>
  <c r="Q43" i="70"/>
  <c r="Z43" i="70" s="1"/>
  <c r="W43" i="70"/>
  <c r="U43" i="70"/>
  <c r="S43" i="70"/>
  <c r="Q42" i="70"/>
  <c r="Z42" i="70"/>
  <c r="W42" i="70"/>
  <c r="Q41" i="70"/>
  <c r="Z41" i="70"/>
  <c r="W41" i="70"/>
  <c r="U41" i="70"/>
  <c r="S41" i="70"/>
  <c r="Q40" i="70"/>
  <c r="Z40" i="70" s="1"/>
  <c r="W40" i="70"/>
  <c r="U40" i="70"/>
  <c r="S40" i="70"/>
  <c r="Q39" i="70"/>
  <c r="Z39" i="70"/>
  <c r="W39" i="70"/>
  <c r="U39" i="70"/>
  <c r="S39" i="70"/>
  <c r="Q38" i="70"/>
  <c r="Z38" i="70" s="1"/>
  <c r="W38" i="70"/>
  <c r="U38" i="70"/>
  <c r="S38" i="70"/>
  <c r="Q37" i="70"/>
  <c r="Z37" i="70"/>
  <c r="W37" i="70"/>
  <c r="Q36" i="70"/>
  <c r="Z36" i="70" s="1"/>
  <c r="W36" i="70"/>
  <c r="U36" i="70"/>
  <c r="S36" i="70"/>
  <c r="Q35" i="70"/>
  <c r="Z35" i="70"/>
  <c r="W35" i="70"/>
  <c r="U35" i="70"/>
  <c r="S35" i="70"/>
  <c r="Q34" i="70"/>
  <c r="Z34" i="70" s="1"/>
  <c r="W34" i="70"/>
  <c r="U34" i="70"/>
  <c r="S34" i="70"/>
  <c r="Q33" i="70"/>
  <c r="Z33" i="70"/>
  <c r="W33" i="70"/>
  <c r="S33" i="70"/>
  <c r="Q32" i="70"/>
  <c r="Z32" i="70" s="1"/>
  <c r="Q31" i="70"/>
  <c r="Z31" i="70"/>
  <c r="W31" i="70"/>
  <c r="U31" i="70"/>
  <c r="S31" i="70"/>
  <c r="Q30" i="70"/>
  <c r="Z30" i="70" s="1"/>
  <c r="W30" i="70"/>
  <c r="U30" i="70"/>
  <c r="Q29" i="70"/>
  <c r="Z29" i="70"/>
  <c r="W29" i="70"/>
  <c r="U29" i="70"/>
  <c r="S29" i="70"/>
  <c r="Q28" i="70"/>
  <c r="Z28" i="70" s="1"/>
  <c r="W28" i="70"/>
  <c r="U28" i="70"/>
  <c r="Q27" i="70"/>
  <c r="Z27" i="70"/>
  <c r="W27" i="70"/>
  <c r="U27" i="70"/>
  <c r="S27" i="70"/>
  <c r="Q26" i="70"/>
  <c r="Z26" i="70" s="1"/>
  <c r="W26" i="70"/>
  <c r="U26" i="70"/>
  <c r="S26" i="70"/>
  <c r="Q25" i="70"/>
  <c r="Z25" i="70"/>
  <c r="W25" i="70"/>
  <c r="U25" i="70"/>
  <c r="S25" i="70"/>
  <c r="Q23" i="70"/>
  <c r="Z23" i="70" s="1"/>
  <c r="W23" i="70"/>
  <c r="U23" i="70"/>
  <c r="C23" i="70"/>
  <c r="Q21" i="70"/>
  <c r="Z21" i="70" s="1"/>
  <c r="W21" i="70"/>
  <c r="U21" i="70"/>
  <c r="S21" i="70"/>
  <c r="C21" i="70"/>
  <c r="Q19" i="70"/>
  <c r="Z19" i="70" s="1"/>
  <c r="W19" i="70"/>
  <c r="U19" i="70"/>
  <c r="C19" i="70"/>
  <c r="Q17" i="70"/>
  <c r="Z17" i="70" s="1"/>
  <c r="W17" i="70"/>
  <c r="U17" i="70"/>
  <c r="S17" i="70"/>
  <c r="C17" i="70"/>
  <c r="Q15" i="70"/>
  <c r="Z15" i="70" s="1"/>
  <c r="W15" i="70"/>
  <c r="U15" i="70"/>
  <c r="C15" i="70"/>
  <c r="Q14" i="70"/>
  <c r="Z14" i="70" s="1"/>
  <c r="W14" i="70"/>
  <c r="U14" i="70"/>
  <c r="S14" i="70"/>
  <c r="Q13" i="70"/>
  <c r="Z13" i="70"/>
  <c r="W13" i="70"/>
  <c r="U13" i="70"/>
  <c r="Q12" i="70"/>
  <c r="Z12" i="70" s="1"/>
  <c r="W12" i="70"/>
  <c r="U12" i="70"/>
  <c r="S12" i="70"/>
  <c r="Q11" i="70"/>
  <c r="Z11" i="70"/>
  <c r="W11" i="70"/>
  <c r="U11" i="70"/>
  <c r="Q10" i="70"/>
  <c r="Z10" i="70" s="1"/>
  <c r="Q9" i="70"/>
  <c r="Z9" i="70" s="1"/>
  <c r="W9" i="70"/>
  <c r="U9" i="70"/>
  <c r="S9" i="70"/>
  <c r="W8" i="70"/>
  <c r="U8" i="70"/>
  <c r="S8" i="70"/>
  <c r="D3" i="70"/>
  <c r="AL6" i="68"/>
  <c r="AL7" i="68"/>
  <c r="AL8" i="68"/>
  <c r="AL9" i="68"/>
  <c r="AL10" i="68"/>
  <c r="AL11" i="68"/>
  <c r="AL12" i="68"/>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 i="68"/>
  <c r="I8" i="1"/>
  <c r="H8" i="1"/>
  <c r="G1" i="15"/>
  <c r="N1" i="65"/>
  <c r="F33" i="15"/>
  <c r="L19" i="6"/>
  <c r="L22" i="6"/>
  <c r="B52" i="1"/>
  <c r="F34" i="15"/>
  <c r="S10" i="1"/>
  <c r="S11" i="1"/>
  <c r="S12" i="1"/>
  <c r="S13" i="1"/>
  <c r="T4" i="1"/>
  <c r="F15" i="15"/>
  <c r="F17" i="15"/>
  <c r="F18" i="15"/>
  <c r="F20" i="15"/>
  <c r="F23" i="15"/>
  <c r="F21" i="15"/>
  <c r="E19" i="4"/>
  <c r="F9" i="1" s="1"/>
  <c r="D19" i="4"/>
  <c r="F6" i="1"/>
  <c r="M47" i="15"/>
  <c r="J50" i="15"/>
  <c r="J51" i="15" s="1"/>
  <c r="AE6" i="1"/>
  <c r="AE9" i="1"/>
  <c r="L46" i="15"/>
  <c r="I7" i="39"/>
  <c r="G7" i="39"/>
  <c r="E7" i="39"/>
  <c r="F13" i="4"/>
  <c r="C11" i="4"/>
  <c r="B7" i="4"/>
  <c r="Q6" i="59"/>
  <c r="Q5" i="59"/>
  <c r="AB5" i="59" s="1"/>
  <c r="Q7" i="59"/>
  <c r="Q8" i="59"/>
  <c r="Q9" i="59"/>
  <c r="Q10" i="59"/>
  <c r="Q11" i="59"/>
  <c r="Q12" i="59"/>
  <c r="Q13" i="59"/>
  <c r="Q14" i="59"/>
  <c r="Q15" i="59"/>
  <c r="Q16" i="59"/>
  <c r="Q17" i="59"/>
  <c r="Q18" i="59"/>
  <c r="Q19" i="59"/>
  <c r="Q20" i="59"/>
  <c r="Q21" i="59"/>
  <c r="Q22" i="59"/>
  <c r="P6" i="59"/>
  <c r="P5" i="59"/>
  <c r="P7" i="59"/>
  <c r="E7" i="59" s="1"/>
  <c r="P8" i="59"/>
  <c r="P9" i="59"/>
  <c r="P10" i="59"/>
  <c r="P11" i="59"/>
  <c r="E11" i="59" s="1"/>
  <c r="P12" i="59"/>
  <c r="P13" i="59"/>
  <c r="P14" i="59"/>
  <c r="P15" i="59"/>
  <c r="P16" i="59"/>
  <c r="P17" i="59"/>
  <c r="P18" i="59"/>
  <c r="P19" i="59"/>
  <c r="P20" i="59"/>
  <c r="P21" i="59"/>
  <c r="P22" i="59"/>
  <c r="AA5" i="59"/>
  <c r="O6" i="59"/>
  <c r="O5" i="59"/>
  <c r="Y5" i="59" s="1"/>
  <c r="Z5" i="59" s="1"/>
  <c r="O7" i="59"/>
  <c r="O8" i="59"/>
  <c r="O9" i="59"/>
  <c r="O10" i="59"/>
  <c r="O11" i="59"/>
  <c r="O12" i="59"/>
  <c r="C13" i="59" s="1"/>
  <c r="O13" i="59"/>
  <c r="O14" i="59"/>
  <c r="O15" i="59"/>
  <c r="O16" i="59"/>
  <c r="C17" i="59" s="1"/>
  <c r="O17" i="59"/>
  <c r="O18" i="59"/>
  <c r="O19" i="59"/>
  <c r="O20" i="59"/>
  <c r="C21" i="59" s="1"/>
  <c r="O21" i="59"/>
  <c r="O22" i="59"/>
  <c r="N6" i="59"/>
  <c r="N5" i="59"/>
  <c r="X5" i="59" s="1"/>
  <c r="N7" i="59"/>
  <c r="N8" i="59"/>
  <c r="N9" i="59"/>
  <c r="N10" i="59"/>
  <c r="N11" i="59"/>
  <c r="N12" i="59"/>
  <c r="N13" i="59"/>
  <c r="N14" i="59"/>
  <c r="N15" i="59"/>
  <c r="N16" i="59"/>
  <c r="N17" i="59"/>
  <c r="N18" i="59"/>
  <c r="N19" i="59"/>
  <c r="N20" i="59"/>
  <c r="N21" i="59"/>
  <c r="N22" i="59"/>
  <c r="F7" i="59"/>
  <c r="F6" i="59" s="1"/>
  <c r="F5" i="59" s="1"/>
  <c r="C7" i="59"/>
  <c r="C6" i="59" s="1"/>
  <c r="B7" i="59"/>
  <c r="B6" i="59" s="1"/>
  <c r="B5" i="59" s="1"/>
  <c r="D7" i="59"/>
  <c r="D8" i="59"/>
  <c r="B11" i="59"/>
  <c r="B10" i="59" s="1"/>
  <c r="B9" i="59" s="1"/>
  <c r="C11" i="59"/>
  <c r="C10" i="59"/>
  <c r="C9" i="59" s="1"/>
  <c r="D9" i="59" s="1"/>
  <c r="F11" i="59"/>
  <c r="F10" i="59" s="1"/>
  <c r="F9" i="59" s="1"/>
  <c r="D11" i="59"/>
  <c r="D12" i="59"/>
  <c r="B13" i="59"/>
  <c r="B14" i="59" s="1"/>
  <c r="B15" i="59" s="1"/>
  <c r="S15" i="59" s="1"/>
  <c r="E13" i="59"/>
  <c r="F13" i="59"/>
  <c r="F14" i="59" s="1"/>
  <c r="F15" i="59" s="1"/>
  <c r="V15" i="59" s="1"/>
  <c r="E14" i="59"/>
  <c r="E15" i="59" s="1"/>
  <c r="U15" i="59" s="1"/>
  <c r="D16" i="59"/>
  <c r="B17" i="59"/>
  <c r="B18" i="59" s="1"/>
  <c r="B19" i="59" s="1"/>
  <c r="S19" i="59" s="1"/>
  <c r="E17" i="59"/>
  <c r="F17" i="59"/>
  <c r="F18" i="59" s="1"/>
  <c r="F19" i="59" s="1"/>
  <c r="V19" i="59" s="1"/>
  <c r="E18" i="59"/>
  <c r="E19" i="59" s="1"/>
  <c r="U19" i="59" s="1"/>
  <c r="D20" i="59"/>
  <c r="B21" i="59"/>
  <c r="B22" i="59" s="1"/>
  <c r="B23" i="59" s="1"/>
  <c r="S23" i="59" s="1"/>
  <c r="E21" i="59"/>
  <c r="F21" i="59"/>
  <c r="F22" i="59" s="1"/>
  <c r="F23" i="59" s="1"/>
  <c r="V23" i="59" s="1"/>
  <c r="E22" i="59"/>
  <c r="E23" i="59" s="1"/>
  <c r="U23" i="59" s="1"/>
  <c r="M19" i="46"/>
  <c r="G2" i="46"/>
  <c r="C6" i="46" s="1"/>
  <c r="G17" i="46"/>
  <c r="I17" i="46"/>
  <c r="C17" i="46"/>
  <c r="G20" i="46"/>
  <c r="J20" i="46"/>
  <c r="I20" i="46"/>
  <c r="C24" i="46"/>
  <c r="F38" i="46"/>
  <c r="D5" i="46"/>
  <c r="F35" i="46"/>
  <c r="G1" i="44"/>
  <c r="F10" i="1"/>
  <c r="M48" i="44"/>
  <c r="J51" i="44"/>
  <c r="J52" i="44"/>
  <c r="C18" i="46"/>
  <c r="F33" i="46"/>
  <c r="C10" i="46"/>
  <c r="C11" i="46" s="1"/>
  <c r="E15" i="46"/>
  <c r="E17" i="46"/>
  <c r="D47" i="46"/>
  <c r="D48" i="46"/>
  <c r="D49" i="46"/>
  <c r="E47" i="46" s="1"/>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c r="C99" i="46"/>
  <c r="C100" i="46"/>
  <c r="C108" i="46"/>
  <c r="D99" i="46"/>
  <c r="D100" i="46" s="1"/>
  <c r="D108" i="46"/>
  <c r="H113" i="46"/>
  <c r="AB6" i="59"/>
  <c r="AA6" i="59"/>
  <c r="Y6" i="59"/>
  <c r="Z6" i="59" s="1"/>
  <c r="X6" i="59"/>
  <c r="L4" i="9"/>
  <c r="M4" i="9"/>
  <c r="A30" i="64" s="1"/>
  <c r="A30" i="51"/>
  <c r="K59" i="15"/>
  <c r="P62" i="15"/>
  <c r="P75" i="15"/>
  <c r="Q74" i="44"/>
  <c r="Q61" i="44"/>
  <c r="Q60" i="44"/>
  <c r="Q53" i="44"/>
  <c r="A16" i="55"/>
  <c r="B67" i="63" s="1"/>
  <c r="A15" i="55"/>
  <c r="C43" i="9"/>
  <c r="K47" i="9" s="1"/>
  <c r="A14" i="55" s="1"/>
  <c r="L24" i="4"/>
  <c r="L25" i="4"/>
  <c r="L26" i="4"/>
  <c r="A11" i="55"/>
  <c r="A10" i="55"/>
  <c r="A9" i="55"/>
  <c r="B60" i="63" s="1"/>
  <c r="A8" i="55"/>
  <c r="A6" i="54"/>
  <c r="A8" i="54"/>
  <c r="A7" i="54"/>
  <c r="B51" i="63" s="1"/>
  <c r="C57" i="10"/>
  <c r="A28" i="51"/>
  <c r="N4" i="63" s="1"/>
  <c r="A27" i="51"/>
  <c r="AB7" i="59"/>
  <c r="Y7" i="59"/>
  <c r="Z7" i="59"/>
  <c r="X7" i="59"/>
  <c r="AA7" i="59"/>
  <c r="K75" i="9"/>
  <c r="K6" i="4"/>
  <c r="O76" i="9" s="1"/>
  <c r="L76" i="9"/>
  <c r="B22" i="31"/>
  <c r="E15" i="66"/>
  <c r="F15" i="66"/>
  <c r="E16" i="66"/>
  <c r="F16" i="66"/>
  <c r="E17" i="66"/>
  <c r="F17" i="66"/>
  <c r="E18" i="66"/>
  <c r="F18" i="66"/>
  <c r="E19" i="66"/>
  <c r="F19" i="66"/>
  <c r="E20" i="66"/>
  <c r="F20" i="66"/>
  <c r="E21" i="66"/>
  <c r="F21" i="66"/>
  <c r="E22" i="66"/>
  <c r="F22" i="66"/>
  <c r="E23" i="66"/>
  <c r="F23" i="66"/>
  <c r="B3" i="66"/>
  <c r="V11" i="59"/>
  <c r="T11" i="59"/>
  <c r="S11" i="59"/>
  <c r="V7" i="59"/>
  <c r="S7"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X20" i="59"/>
  <c r="Y20" i="59"/>
  <c r="Z20" i="59"/>
  <c r="AA20" i="59"/>
  <c r="AB20" i="59"/>
  <c r="AB21" i="59"/>
  <c r="AA21" i="59"/>
  <c r="Y21" i="59"/>
  <c r="X21" i="59"/>
  <c r="S2" i="31"/>
  <c r="M2" i="31"/>
  <c r="N2" i="31"/>
  <c r="O2" i="31"/>
  <c r="P2" i="31"/>
  <c r="Q2" i="31"/>
  <c r="R2" i="31"/>
  <c r="C3" i="65"/>
  <c r="T7"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A21" i="64"/>
  <c r="B75" i="63" s="1"/>
  <c r="B73" i="63"/>
  <c r="A28" i="64"/>
  <c r="A27" i="64"/>
  <c r="A15" i="64"/>
  <c r="A14" i="64"/>
  <c r="A11" i="64"/>
  <c r="A3" i="64"/>
  <c r="C56" i="10"/>
  <c r="C55" i="10"/>
  <c r="C54" i="10"/>
  <c r="B49" i="63"/>
  <c r="B44" i="63"/>
  <c r="B40" i="63"/>
  <c r="B30" i="63"/>
  <c r="B27" i="63"/>
  <c r="B25" i="63"/>
  <c r="A11" i="51"/>
  <c r="B10" i="63" s="1"/>
  <c r="A26" i="64"/>
  <c r="A26" i="51"/>
  <c r="K39" i="9"/>
  <c r="K40" i="9"/>
  <c r="B58" i="63"/>
  <c r="B53" i="63"/>
  <c r="K41" i="9"/>
  <c r="B8" i="63"/>
  <c r="A21" i="55"/>
  <c r="B71" i="63" s="1"/>
  <c r="A20" i="55"/>
  <c r="B69" i="63" s="1"/>
  <c r="B26" i="63"/>
  <c r="B28" i="63"/>
  <c r="B29" i="63"/>
  <c r="B31" i="63"/>
  <c r="B33" i="63"/>
  <c r="B35" i="63"/>
  <c r="B36" i="63"/>
  <c r="B37" i="63"/>
  <c r="B63" i="63"/>
  <c r="B64" i="63"/>
  <c r="B68" i="63"/>
  <c r="D51" i="10"/>
  <c r="B61" i="63"/>
  <c r="B59" i="63"/>
  <c r="B51" i="10"/>
  <c r="B20" i="63"/>
  <c r="B17" i="63"/>
  <c r="A15" i="51"/>
  <c r="B12" i="63"/>
  <c r="A14" i="51"/>
  <c r="B11" i="63"/>
  <c r="B66" i="63"/>
  <c r="A4" i="55"/>
  <c r="B57" i="63" s="1"/>
  <c r="B41" i="63"/>
  <c r="G5" i="54"/>
  <c r="B34" i="63" s="1"/>
  <c r="E5" i="54"/>
  <c r="B32" i="63" s="1"/>
  <c r="R2" i="54"/>
  <c r="B24" i="63" s="1"/>
  <c r="B19" i="63"/>
  <c r="B49" i="50"/>
  <c r="B5" i="63"/>
  <c r="B40" i="50"/>
  <c r="B3" i="63"/>
  <c r="B21" i="63"/>
  <c r="I19" i="46"/>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T51" i="59" s="1"/>
  <c r="B51" i="59"/>
  <c r="N51" i="59"/>
  <c r="F50" i="59"/>
  <c r="F49" i="59"/>
  <c r="Q49" i="59" s="1"/>
  <c r="B50" i="59"/>
  <c r="B49" i="59" s="1"/>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C34"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F26" i="59" s="1"/>
  <c r="F27" i="59" s="1"/>
  <c r="V27" i="59" s="1"/>
  <c r="P24" i="59"/>
  <c r="E25" i="59"/>
  <c r="E26" i="59" s="1"/>
  <c r="E27" i="59" s="1"/>
  <c r="U27" i="59" s="1"/>
  <c r="O24" i="59"/>
  <c r="C25" i="59" s="1"/>
  <c r="N24" i="59"/>
  <c r="B25" i="59" s="1"/>
  <c r="B26" i="59" s="1"/>
  <c r="B27" i="59" s="1"/>
  <c r="S27" i="59" s="1"/>
  <c r="D24" i="59"/>
  <c r="Q23" i="59"/>
  <c r="P23" i="59"/>
  <c r="O23" i="59"/>
  <c r="N23" i="59"/>
  <c r="AB22" i="59"/>
  <c r="Y22" i="59"/>
  <c r="Z22" i="59"/>
  <c r="X22"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E34" i="59"/>
  <c r="E35" i="59" s="1"/>
  <c r="U35" i="59" s="1"/>
  <c r="S51" i="59"/>
  <c r="Z21" i="59"/>
  <c r="AA22" i="59"/>
  <c r="C30" i="59"/>
  <c r="D30" i="59" s="1"/>
  <c r="D29" i="59"/>
  <c r="D33" i="59"/>
  <c r="D41" i="59"/>
  <c r="N50" i="59"/>
  <c r="Q50" i="59"/>
  <c r="O51" i="59"/>
  <c r="C50" i="59"/>
  <c r="C49" i="59" s="1"/>
  <c r="P51" i="59"/>
  <c r="U51" i="59"/>
  <c r="Q51" i="59"/>
  <c r="C54" i="59"/>
  <c r="C53" i="59" s="1"/>
  <c r="D53" i="59" s="1"/>
  <c r="C58" i="59"/>
  <c r="D58" i="59" s="1"/>
  <c r="E58" i="59"/>
  <c r="E57" i="59"/>
  <c r="D59" i="59"/>
  <c r="C62" i="59"/>
  <c r="D62" i="59" s="1"/>
  <c r="C66" i="59"/>
  <c r="C65" i="59" s="1"/>
  <c r="D65" i="59" s="1"/>
  <c r="U16" i="4"/>
  <c r="S16" i="4"/>
  <c r="Q16" i="4"/>
  <c r="O16" i="4"/>
  <c r="M16" i="4"/>
  <c r="L16" i="4" s="1"/>
  <c r="K16" i="4"/>
  <c r="C61" i="59"/>
  <c r="D61" i="59" s="1"/>
  <c r="D54" i="59"/>
  <c r="O50" i="59"/>
  <c r="D66" i="59"/>
  <c r="C57" i="59"/>
  <c r="D57" i="59" s="1"/>
  <c r="N16" i="4"/>
  <c r="O27" i="6"/>
  <c r="N27" i="6"/>
  <c r="P26" i="6"/>
  <c r="L26" i="6"/>
  <c r="P25" i="6"/>
  <c r="L25" i="6"/>
  <c r="P24" i="6"/>
  <c r="L24" i="6"/>
  <c r="P23" i="6"/>
  <c r="L23" i="6"/>
  <c r="P22" i="6"/>
  <c r="P21" i="6"/>
  <c r="L21" i="6"/>
  <c r="P20" i="6"/>
  <c r="P19" i="6"/>
  <c r="P27" i="6"/>
  <c r="Q18" i="36"/>
  <c r="Z18" i="36"/>
  <c r="C18" i="36"/>
  <c r="D66" i="36"/>
  <c r="E66" i="36" s="1"/>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F21" i="34"/>
  <c r="AA21" i="34"/>
  <c r="Q21" i="33"/>
  <c r="Z21" i="33"/>
  <c r="C21" i="33"/>
  <c r="D83" i="33"/>
  <c r="E83" i="33" s="1"/>
  <c r="F83" i="33" s="1"/>
  <c r="G83" i="33" s="1"/>
  <c r="Q21" i="21"/>
  <c r="Z21" i="21"/>
  <c r="D83" i="21"/>
  <c r="E83" i="21"/>
  <c r="C21" i="21"/>
  <c r="Q27" i="40"/>
  <c r="Z27" i="40" s="1"/>
  <c r="D96" i="40"/>
  <c r="E96" i="40" s="1"/>
  <c r="F27" i="40"/>
  <c r="AA27" i="40" s="1"/>
  <c r="Q31" i="39"/>
  <c r="Z31" i="39" s="1"/>
  <c r="D105" i="39"/>
  <c r="E105" i="39" s="1"/>
  <c r="G20" i="20"/>
  <c r="B85" i="46" s="1"/>
  <c r="C22" i="20"/>
  <c r="B65" i="46" s="1"/>
  <c r="S18" i="36"/>
  <c r="S18" i="35"/>
  <c r="S21" i="37"/>
  <c r="S21" i="34"/>
  <c r="S21" i="21"/>
  <c r="S31" i="39"/>
  <c r="C31" i="39"/>
  <c r="B74" i="46"/>
  <c r="H18" i="35"/>
  <c r="J18" i="35"/>
  <c r="H21" i="37"/>
  <c r="J21" i="37"/>
  <c r="E84" i="34"/>
  <c r="F84" i="34" s="1"/>
  <c r="G84" i="34" s="1"/>
  <c r="J21" i="34"/>
  <c r="H21" i="34"/>
  <c r="F21" i="33"/>
  <c r="H21" i="33"/>
  <c r="J21" i="33"/>
  <c r="F83" i="21"/>
  <c r="G83" i="21" s="1"/>
  <c r="F96" i="40"/>
  <c r="H27" i="40"/>
  <c r="F105" i="39"/>
  <c r="D22" i="15"/>
  <c r="G17" i="11"/>
  <c r="D23" i="15"/>
  <c r="F60" i="15"/>
  <c r="K2" i="4"/>
  <c r="K1" i="4"/>
  <c r="B1" i="4"/>
  <c r="B37" i="50"/>
  <c r="B2" i="63" s="1"/>
  <c r="C31" i="57"/>
  <c r="C32" i="57"/>
  <c r="I23" i="57"/>
  <c r="D20" i="57"/>
  <c r="I19" i="57"/>
  <c r="I18" i="57"/>
  <c r="I17" i="57"/>
  <c r="I20" i="57"/>
  <c r="E15" i="57"/>
  <c r="I14" i="57"/>
  <c r="I13" i="57"/>
  <c r="I12" i="57"/>
  <c r="I15" i="57" s="1"/>
  <c r="I9" i="57"/>
  <c r="I8" i="57"/>
  <c r="I7" i="57"/>
  <c r="I6" i="57"/>
  <c r="I5" i="57"/>
  <c r="I4" i="57"/>
  <c r="I3" i="57"/>
  <c r="I10" i="57" s="1"/>
  <c r="I21" i="57"/>
  <c r="C30" i="57"/>
  <c r="E26" i="57" s="1"/>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8" i="1"/>
  <c r="AP10" i="1"/>
  <c r="D10" i="1"/>
  <c r="R12" i="1"/>
  <c r="B13" i="1"/>
  <c r="E13" i="1" s="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F8" i="1"/>
  <c r="B2" i="52"/>
  <c r="E22" i="52" s="1"/>
  <c r="I2" i="46"/>
  <c r="N12" i="46" s="1"/>
  <c r="A7" i="46"/>
  <c r="F41" i="4"/>
  <c r="J52" i="40"/>
  <c r="H61" i="49"/>
  <c r="H39" i="46"/>
  <c r="H38" i="46"/>
  <c r="H37" i="46"/>
  <c r="H36" i="46"/>
  <c r="H35" i="46"/>
  <c r="H34" i="46"/>
  <c r="E32" i="6"/>
  <c r="D38" i="4"/>
  <c r="C39" i="4"/>
  <c r="C35" i="4"/>
  <c r="B65" i="63"/>
  <c r="I73" i="9"/>
  <c r="F73" i="9"/>
  <c r="P73"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U41" i="21"/>
  <c r="F83" i="39"/>
  <c r="G83" i="39" s="1"/>
  <c r="H83" i="39" s="1"/>
  <c r="I83" i="39" s="1"/>
  <c r="J83" i="39" s="1"/>
  <c r="K83" i="39" s="1"/>
  <c r="L83" i="39" s="1"/>
  <c r="M83" i="39" s="1"/>
  <c r="D78" i="40"/>
  <c r="F13" i="40"/>
  <c r="S13" i="40" s="1"/>
  <c r="B122" i="40"/>
  <c r="F42" i="40" s="1"/>
  <c r="AA42" i="40" s="1"/>
  <c r="B120" i="40"/>
  <c r="B118" i="40"/>
  <c r="F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s="1"/>
  <c r="I126" i="39" s="1"/>
  <c r="J126" i="39" s="1"/>
  <c r="K126" i="39" s="1"/>
  <c r="L126" i="39" s="1"/>
  <c r="M126" i="39" s="1"/>
  <c r="E122" i="39"/>
  <c r="F122" i="39"/>
  <c r="G122" i="39" s="1"/>
  <c r="H122" i="39" s="1"/>
  <c r="I122" i="39" s="1"/>
  <c r="J122" i="39" s="1"/>
  <c r="K122" i="39" s="1"/>
  <c r="L122" i="39" s="1"/>
  <c r="M122"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E124" i="39"/>
  <c r="F124" i="39" s="1"/>
  <c r="G124" i="39" s="1"/>
  <c r="H124" i="39" s="1"/>
  <c r="I124" i="39" s="1"/>
  <c r="J124" i="39" s="1"/>
  <c r="K124" i="39" s="1"/>
  <c r="L124" i="39" s="1"/>
  <c r="M124" i="39" s="1"/>
  <c r="E99" i="39"/>
  <c r="F99" i="39"/>
  <c r="G99" i="39" s="1"/>
  <c r="D95" i="39"/>
  <c r="E95" i="39" s="1"/>
  <c r="F95" i="39" s="1"/>
  <c r="G95" i="39" s="1"/>
  <c r="F91" i="39"/>
  <c r="G91"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G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F62" i="36" s="1"/>
  <c r="G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c r="AA31" i="33" s="1"/>
  <c r="B96" i="33"/>
  <c r="B94" i="33"/>
  <c r="B74" i="33"/>
  <c r="B72" i="33"/>
  <c r="F13" i="33" s="1"/>
  <c r="S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J12" i="33"/>
  <c r="W12" i="33" s="1"/>
  <c r="H12" i="33"/>
  <c r="U12" i="33"/>
  <c r="F12" i="33"/>
  <c r="S12" i="33" s="1"/>
  <c r="Q11" i="33"/>
  <c r="Z11" i="33" s="1"/>
  <c r="Q10" i="33"/>
  <c r="Z10" i="33"/>
  <c r="Q9" i="33"/>
  <c r="Z9" i="33"/>
  <c r="J9" i="33"/>
  <c r="AC9" i="33" s="1"/>
  <c r="H9" i="33"/>
  <c r="AB9" i="33" s="1"/>
  <c r="F9" i="33"/>
  <c r="AA9" i="33" s="1"/>
  <c r="J8" i="33"/>
  <c r="W8" i="33" s="1"/>
  <c r="H8" i="33"/>
  <c r="U8" i="33" s="1"/>
  <c r="F8" i="33"/>
  <c r="C7" i="33"/>
  <c r="C58" i="33"/>
  <c r="D58" i="33" s="1"/>
  <c r="M102" i="21"/>
  <c r="D102" i="21"/>
  <c r="E102" i="21"/>
  <c r="F102" i="21"/>
  <c r="G102" i="21"/>
  <c r="H102" i="21"/>
  <c r="I102" i="21"/>
  <c r="J102" i="21"/>
  <c r="K102" i="21"/>
  <c r="L102" i="21"/>
  <c r="C102" i="2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E125" i="21"/>
  <c r="G123" i="21"/>
  <c r="H123" i="2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F101" i="21"/>
  <c r="G101" i="2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E66" i="21"/>
  <c r="F66" i="21" s="1"/>
  <c r="G66" i="21" s="1"/>
  <c r="H66" i="21" s="1"/>
  <c r="I66" i="21" s="1"/>
  <c r="D111" i="21"/>
  <c r="E111" i="21"/>
  <c r="F111" i="21"/>
  <c r="C111" i="21"/>
  <c r="E79" i="21"/>
  <c r="F79" i="21"/>
  <c r="G79" i="21" s="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S40" i="33"/>
  <c r="S8" i="21"/>
  <c r="W8" i="21"/>
  <c r="H39" i="37"/>
  <c r="AB39" i="37" s="1"/>
  <c r="AB27" i="35"/>
  <c r="S10" i="40"/>
  <c r="W10" i="40"/>
  <c r="S11" i="40"/>
  <c r="U11" i="40"/>
  <c r="S36" i="40"/>
  <c r="U36" i="40"/>
  <c r="S36" i="39"/>
  <c r="S11" i="21"/>
  <c r="C23" i="39"/>
  <c r="U36" i="39"/>
  <c r="S42" i="39"/>
  <c r="U11" i="21"/>
  <c r="W11" i="2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E113" i="33"/>
  <c r="F37" i="33" s="1"/>
  <c r="J19" i="33"/>
  <c r="W19" i="33" s="1"/>
  <c r="S10" i="21"/>
  <c r="W40"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U14" i="21"/>
  <c r="U30" i="21"/>
  <c r="S30" i="21"/>
  <c r="U44" i="21"/>
  <c r="W46" i="21"/>
  <c r="H26" i="33"/>
  <c r="U26" i="33" s="1"/>
  <c r="H28" i="33"/>
  <c r="U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J29" i="33"/>
  <c r="W29" i="33" s="1"/>
  <c r="J31" i="33"/>
  <c r="AC31" i="33" s="1"/>
  <c r="H31" i="33"/>
  <c r="U31" i="33" s="1"/>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AC30" i="33" s="1"/>
  <c r="H44" i="33"/>
  <c r="U44" i="33" s="1"/>
  <c r="J44" i="33"/>
  <c r="AC44" i="33"/>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W14" i="21"/>
  <c r="W42" i="21"/>
  <c r="W31" i="34"/>
  <c r="S46" i="33"/>
  <c r="U36" i="37"/>
  <c r="AC13" i="36"/>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s="1"/>
  <c r="H17" i="37"/>
  <c r="U17" i="37" s="1"/>
  <c r="F23" i="37"/>
  <c r="S23" i="37" s="1"/>
  <c r="F79" i="37"/>
  <c r="G79" i="37" s="1"/>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J23" i="37"/>
  <c r="W23" i="37" s="1"/>
  <c r="F17" i="37"/>
  <c r="AA17" i="37" s="1"/>
  <c r="D3" i="21"/>
  <c r="AC33" i="36"/>
  <c r="AC12" i="35"/>
  <c r="AC23" i="37"/>
  <c r="S27" i="37"/>
  <c r="U39" i="37"/>
  <c r="AC8" i="37"/>
  <c r="S25" i="37"/>
  <c r="AC36" i="34"/>
  <c r="AB8" i="34"/>
  <c r="U19" i="21"/>
  <c r="F43" i="33"/>
  <c r="AA43" i="33" s="1"/>
  <c r="S10" i="35"/>
  <c r="G107" i="37"/>
  <c r="H107" i="37" s="1"/>
  <c r="I107" i="37" s="1"/>
  <c r="J107" i="37" s="1"/>
  <c r="K107" i="37" s="1"/>
  <c r="L107" i="37" s="1"/>
  <c r="M107" i="37" s="1"/>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J57" i="39"/>
  <c r="H13" i="40"/>
  <c r="U13" i="40"/>
  <c r="H12" i="48"/>
  <c r="I4" i="4"/>
  <c r="K141" i="21"/>
  <c r="K143" i="21"/>
  <c r="K144" i="21"/>
  <c r="I59" i="40"/>
  <c r="C59" i="40" s="1"/>
  <c r="I60" i="40"/>
  <c r="C60" i="40" s="1"/>
  <c r="W9" i="33"/>
  <c r="H7" i="48"/>
  <c r="H16" i="48"/>
  <c r="H9" i="48"/>
  <c r="H8" i="48"/>
  <c r="AB16" i="35"/>
  <c r="AB15" i="37"/>
  <c r="U43" i="21"/>
  <c r="AA13" i="40"/>
  <c r="E78" i="40"/>
  <c r="F78" i="40"/>
  <c r="G78" i="40" s="1"/>
  <c r="H78" i="40" s="1"/>
  <c r="I78" i="40" s="1"/>
  <c r="J78" i="40" s="1"/>
  <c r="K78" i="40" s="1"/>
  <c r="L78" i="40" s="1"/>
  <c r="M78" i="40" s="1"/>
  <c r="R16" i="4"/>
  <c r="P16" i="4"/>
  <c r="D3" i="35"/>
  <c r="G4" i="4"/>
  <c r="S37" i="34"/>
  <c r="J16" i="35"/>
  <c r="W16" i="35"/>
  <c r="U42" i="21"/>
  <c r="AC26" i="36"/>
  <c r="W25" i="35"/>
  <c r="AA36" i="35"/>
  <c r="H11" i="37"/>
  <c r="AB11" i="37"/>
  <c r="W37" i="37"/>
  <c r="AA36" i="37"/>
  <c r="AB17" i="37"/>
  <c r="AC29" i="33"/>
  <c r="AA45" i="33"/>
  <c r="AC11" i="36"/>
  <c r="AC10" i="36"/>
  <c r="AB45" i="34"/>
  <c r="AC14" i="37"/>
  <c r="AB35" i="35"/>
  <c r="S25" i="35"/>
  <c r="W44" i="33"/>
  <c r="AC29" i="37"/>
  <c r="W32" i="36"/>
  <c r="AC32" i="36"/>
  <c r="AB28" i="33"/>
  <c r="J33" i="34"/>
  <c r="AC33" i="34"/>
  <c r="AB36" i="34"/>
  <c r="J40" i="34"/>
  <c r="W40" i="34" s="1"/>
  <c r="F16" i="35"/>
  <c r="AA16" i="35" s="1"/>
  <c r="S24" i="36"/>
  <c r="J35" i="34"/>
  <c r="W35" i="34"/>
  <c r="S30" i="36"/>
  <c r="H16" i="36"/>
  <c r="AB16" i="36" s="1"/>
  <c r="G103" i="37"/>
  <c r="H103" i="37" s="1"/>
  <c r="I103" i="37" s="1"/>
  <c r="J103" i="37" s="1"/>
  <c r="K103" i="37" s="1"/>
  <c r="L103" i="37" s="1"/>
  <c r="M103" i="37" s="1"/>
  <c r="H35" i="37"/>
  <c r="AB35" i="37"/>
  <c r="S26" i="21"/>
  <c r="U32" i="21"/>
  <c r="U26" i="21"/>
  <c r="U39" i="21"/>
  <c r="W9" i="21"/>
  <c r="S17" i="21"/>
  <c r="U37" i="21"/>
  <c r="S40" i="2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U43" i="39"/>
  <c r="F99" i="37"/>
  <c r="AC27" i="37"/>
  <c r="U25" i="35"/>
  <c r="S45" i="34"/>
  <c r="U31" i="34"/>
  <c r="AC40" i="37"/>
  <c r="W40" i="37"/>
  <c r="S28" i="33"/>
  <c r="S14" i="21"/>
  <c r="AA44" i="34"/>
  <c r="AB29" i="35"/>
  <c r="U29" i="35"/>
  <c r="AC19" i="33"/>
  <c r="U43" i="34"/>
  <c r="AB43" i="34"/>
  <c r="AC34" i="37"/>
  <c r="S35" i="37"/>
  <c r="AA35" i="37"/>
  <c r="AB10" i="35"/>
  <c r="S32" i="21"/>
  <c r="U38" i="21"/>
  <c r="AB40" i="33"/>
  <c r="U40" i="33"/>
  <c r="AA35" i="34"/>
  <c r="S35" i="34"/>
  <c r="E90" i="34"/>
  <c r="F90" i="34" s="1"/>
  <c r="G90" i="34" s="1"/>
  <c r="H90" i="34" s="1"/>
  <c r="I90" i="34" s="1"/>
  <c r="J90" i="34" s="1"/>
  <c r="K90" i="34" s="1"/>
  <c r="L90" i="34" s="1"/>
  <c r="M90" i="34" s="1"/>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S21" i="39"/>
  <c r="W21" i="39"/>
  <c r="U33" i="39"/>
  <c r="S44" i="39"/>
  <c r="U44" i="39"/>
  <c r="W44" i="39"/>
  <c r="E128" i="39"/>
  <c r="F128" i="39"/>
  <c r="G128" i="39" s="1"/>
  <c r="H128" i="39" s="1"/>
  <c r="I128" i="39" s="1"/>
  <c r="J128" i="39" s="1"/>
  <c r="K128" i="39" s="1"/>
  <c r="L128" i="39" s="1"/>
  <c r="M128" i="39" s="1"/>
  <c r="S46" i="39"/>
  <c r="U46" i="39"/>
  <c r="W46" i="39"/>
  <c r="F103" i="39"/>
  <c r="G103" i="39"/>
  <c r="J29" i="35"/>
  <c r="AC29" i="35" s="1"/>
  <c r="F29" i="35"/>
  <c r="S29" i="35" s="1"/>
  <c r="W30" i="36"/>
  <c r="AC30" i="36"/>
  <c r="S37" i="39"/>
  <c r="U37" i="39"/>
  <c r="W37" i="39"/>
  <c r="F36" i="44"/>
  <c r="F114" i="34"/>
  <c r="G114" i="34" s="1"/>
  <c r="H114" i="34" s="1"/>
  <c r="I114" i="34" s="1"/>
  <c r="J114" i="34" s="1"/>
  <c r="K114" i="34" s="1"/>
  <c r="L114" i="34" s="1"/>
  <c r="M114" i="34" s="1"/>
  <c r="H38" i="34"/>
  <c r="U38" i="34" s="1"/>
  <c r="H30" i="40"/>
  <c r="AB30" i="40" s="1"/>
  <c r="J30" i="40"/>
  <c r="AC30" i="40"/>
  <c r="F38" i="40"/>
  <c r="AA38" i="40"/>
  <c r="AA36" i="34"/>
  <c r="W12" i="21"/>
  <c r="S35" i="21"/>
  <c r="U8" i="21"/>
  <c r="S34" i="21"/>
  <c r="AB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c r="G72" i="35" s="1"/>
  <c r="H22" i="35"/>
  <c r="AB22" i="35" s="1"/>
  <c r="H23" i="35"/>
  <c r="AB23" i="35" s="1"/>
  <c r="F23" i="35"/>
  <c r="AA23" i="35"/>
  <c r="W12" i="36"/>
  <c r="AC12" i="36"/>
  <c r="U31" i="36"/>
  <c r="S8" i="37"/>
  <c r="AA8" i="37"/>
  <c r="U16" i="39"/>
  <c r="F15" i="40"/>
  <c r="AA15" i="40"/>
  <c r="J15" i="40"/>
  <c r="H15" i="40"/>
  <c r="AB15" i="40" s="1"/>
  <c r="E92" i="40"/>
  <c r="F92" i="40" s="1"/>
  <c r="G92" i="40" s="1"/>
  <c r="H23" i="40"/>
  <c r="U23" i="40" s="1"/>
  <c r="H41" i="40"/>
  <c r="AB41" i="40" s="1"/>
  <c r="F41" i="40"/>
  <c r="AA41" i="40" s="1"/>
  <c r="J41" i="40"/>
  <c r="W41" i="40" s="1"/>
  <c r="H37" i="34"/>
  <c r="U15" i="39"/>
  <c r="U25" i="39"/>
  <c r="U45" i="39"/>
  <c r="W47" i="39"/>
  <c r="E94" i="40"/>
  <c r="F94" i="40" s="1"/>
  <c r="G94" i="40" s="1"/>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C27" i="43" s="1"/>
  <c r="F66" i="9"/>
  <c r="P72" i="9"/>
  <c r="F71" i="9"/>
  <c r="F72" i="9"/>
  <c r="AC14" i="40"/>
  <c r="W35" i="40"/>
  <c r="S33" i="40"/>
  <c r="AB32" i="40"/>
  <c r="S47" i="39"/>
  <c r="U37" i="34"/>
  <c r="AB37" i="34"/>
  <c r="AC41" i="40"/>
  <c r="U41" i="40"/>
  <c r="J23" i="40"/>
  <c r="AC23" i="40"/>
  <c r="F23" i="40"/>
  <c r="S23" i="40" s="1"/>
  <c r="AC15" i="40"/>
  <c r="W15" i="40"/>
  <c r="W27" i="39"/>
  <c r="W14" i="39"/>
  <c r="U23" i="35"/>
  <c r="H20" i="35"/>
  <c r="U20" i="35" s="1"/>
  <c r="F20" i="35"/>
  <c r="S20" i="35"/>
  <c r="H15" i="34"/>
  <c r="AB15" i="34"/>
  <c r="F78" i="34"/>
  <c r="G78" i="34"/>
  <c r="J15" i="34"/>
  <c r="H41" i="33"/>
  <c r="U41" i="33" s="1"/>
  <c r="F30" i="40"/>
  <c r="AA30" i="40" s="1"/>
  <c r="AB38" i="34"/>
  <c r="U39" i="39"/>
  <c r="AA11" i="36"/>
  <c r="S14" i="35"/>
  <c r="G99" i="37"/>
  <c r="F33" i="37"/>
  <c r="S33" i="37" s="1"/>
  <c r="AC30" i="34"/>
  <c r="W12" i="34"/>
  <c r="U17" i="34"/>
  <c r="AA11" i="34"/>
  <c r="H15" i="33"/>
  <c r="U15" i="33" s="1"/>
  <c r="U17" i="21"/>
  <c r="U16" i="40"/>
  <c r="AB34" i="40"/>
  <c r="AB42" i="40"/>
  <c r="U42" i="40"/>
  <c r="AC16" i="40"/>
  <c r="W32" i="40"/>
  <c r="H25" i="40"/>
  <c r="AB25" i="40"/>
  <c r="U47" i="39"/>
  <c r="W15" i="39"/>
  <c r="J37" i="34"/>
  <c r="AC37" i="34"/>
  <c r="AB23" i="40"/>
  <c r="U27" i="39"/>
  <c r="S16" i="39"/>
  <c r="AA15" i="34"/>
  <c r="F106" i="33"/>
  <c r="G106" i="33" s="1"/>
  <c r="H106" i="33" s="1"/>
  <c r="I106" i="33" s="1"/>
  <c r="J106" i="33" s="1"/>
  <c r="K106" i="33" s="1"/>
  <c r="L106" i="33" s="1"/>
  <c r="M106" i="33" s="1"/>
  <c r="J34" i="33"/>
  <c r="AC34" i="33" s="1"/>
  <c r="W29" i="35"/>
  <c r="W39" i="39"/>
  <c r="S39" i="39"/>
  <c r="U34" i="39"/>
  <c r="W33" i="39"/>
  <c r="S33" i="39"/>
  <c r="S17" i="39"/>
  <c r="U11" i="36"/>
  <c r="F80" i="35"/>
  <c r="G80" i="35" s="1"/>
  <c r="H80" i="35" s="1"/>
  <c r="I80" i="35" s="1"/>
  <c r="J80" i="35" s="1"/>
  <c r="K80" i="35" s="1"/>
  <c r="L80" i="35" s="1"/>
  <c r="M80" i="35" s="1"/>
  <c r="W14" i="35"/>
  <c r="F27" i="34"/>
  <c r="S27" i="34"/>
  <c r="W43" i="39"/>
  <c r="S43" i="39"/>
  <c r="G96" i="37"/>
  <c r="H96" i="37"/>
  <c r="I96" i="37" s="1"/>
  <c r="J96" i="37" s="1"/>
  <c r="K96" i="37" s="1"/>
  <c r="L96" i="37" s="1"/>
  <c r="M96" i="37" s="1"/>
  <c r="F32" i="37"/>
  <c r="S32" i="37" s="1"/>
  <c r="U11" i="35"/>
  <c r="S46" i="34"/>
  <c r="U14" i="34"/>
  <c r="U12" i="34"/>
  <c r="F17" i="34"/>
  <c r="AA17" i="34" s="1"/>
  <c r="J17" i="34"/>
  <c r="AC17" i="34" s="1"/>
  <c r="H11" i="34"/>
  <c r="AB11" i="34" s="1"/>
  <c r="J35" i="33"/>
  <c r="W35" i="33" s="1"/>
  <c r="AC15" i="33"/>
  <c r="H11" i="33"/>
  <c r="U11" i="33" s="1"/>
  <c r="H10" i="33"/>
  <c r="U10" i="33" s="1"/>
  <c r="J10" i="33"/>
  <c r="AC10" i="33" s="1"/>
  <c r="U40" i="21"/>
  <c r="U11" i="37"/>
  <c r="AC16" i="35"/>
  <c r="AC13" i="40"/>
  <c r="J11" i="34"/>
  <c r="W11" i="34"/>
  <c r="F25" i="40"/>
  <c r="AA25" i="40" s="1"/>
  <c r="J11" i="33"/>
  <c r="W11" i="33" s="1"/>
  <c r="H33" i="37"/>
  <c r="AB33" i="37"/>
  <c r="W15" i="34"/>
  <c r="AC15" i="34"/>
  <c r="AB20" i="35"/>
  <c r="W23" i="40"/>
  <c r="AP11" i="1"/>
  <c r="B11" i="1"/>
  <c r="E11" i="1"/>
  <c r="B9" i="1"/>
  <c r="E9" i="1" s="1"/>
  <c r="B7" i="1"/>
  <c r="E7" i="1" s="1"/>
  <c r="C20" i="43"/>
  <c r="AP6" i="1"/>
  <c r="G11" i="1"/>
  <c r="M22" i="44"/>
  <c r="F70" i="9"/>
  <c r="D86" i="9"/>
  <c r="M20" i="44"/>
  <c r="F31" i="43"/>
  <c r="F30" i="44"/>
  <c r="C30" i="44"/>
  <c r="C31" i="43"/>
  <c r="AC25" i="36"/>
  <c r="S23" i="36"/>
  <c r="S8" i="36"/>
  <c r="AA26" i="36"/>
  <c r="AA28" i="36"/>
  <c r="U25" i="36"/>
  <c r="H20" i="36"/>
  <c r="U20" i="36"/>
  <c r="F68" i="36"/>
  <c r="G68" i="36"/>
  <c r="J20" i="36"/>
  <c r="AC20" i="36"/>
  <c r="F20" i="36"/>
  <c r="S20" i="36"/>
  <c r="J14" i="36"/>
  <c r="H14" i="36"/>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AA33" i="37"/>
  <c r="U32" i="37"/>
  <c r="AA32" i="37"/>
  <c r="J33" i="37"/>
  <c r="W33" i="37"/>
  <c r="H99" i="37"/>
  <c r="I99" i="37"/>
  <c r="J99" i="37" s="1"/>
  <c r="K99" i="37" s="1"/>
  <c r="L99" i="37" s="1"/>
  <c r="M99" i="37" s="1"/>
  <c r="S29" i="37"/>
  <c r="J19" i="37"/>
  <c r="AC19" i="37" s="1"/>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S35" i="33"/>
  <c r="AC12" i="33"/>
  <c r="W31" i="33"/>
  <c r="U46" i="33"/>
  <c r="W39" i="33"/>
  <c r="U35" i="33"/>
  <c r="W26" i="33"/>
  <c r="AB26" i="33"/>
  <c r="H25" i="33"/>
  <c r="AB25" i="33" s="1"/>
  <c r="J25" i="33"/>
  <c r="W25" i="33" s="1"/>
  <c r="F25" i="33"/>
  <c r="S25" i="33" s="1"/>
  <c r="J23" i="33"/>
  <c r="W23" i="33" s="1"/>
  <c r="F23" i="33"/>
  <c r="AA23" i="33" s="1"/>
  <c r="H23" i="33"/>
  <c r="U23" i="33" s="1"/>
  <c r="F17" i="33"/>
  <c r="S17" i="33" s="1"/>
  <c r="H17" i="33"/>
  <c r="AB17" i="33" s="1"/>
  <c r="J17" i="33"/>
  <c r="AC17" i="33" s="1"/>
  <c r="S14" i="33"/>
  <c r="AC21" i="33"/>
  <c r="W21" i="33"/>
  <c r="AB21" i="33"/>
  <c r="U21" i="33"/>
  <c r="AA21" i="33"/>
  <c r="S21" i="33"/>
  <c r="AA44" i="33"/>
  <c r="S44" i="21"/>
  <c r="W39" i="21"/>
  <c r="W32" i="21"/>
  <c r="U35" i="21"/>
  <c r="W43" i="21"/>
  <c r="S42" i="21"/>
  <c r="W28" i="21"/>
  <c r="F85" i="21"/>
  <c r="G85" i="21"/>
  <c r="W23" i="21"/>
  <c r="W17" i="21"/>
  <c r="S15" i="21"/>
  <c r="F77" i="21"/>
  <c r="G77" i="21" s="1"/>
  <c r="W13" i="21"/>
  <c r="W21" i="21"/>
  <c r="W44" i="21"/>
  <c r="W10" i="21"/>
  <c r="U21" i="21"/>
  <c r="W33" i="40"/>
  <c r="U33" i="40"/>
  <c r="S35" i="40"/>
  <c r="U15" i="40"/>
  <c r="S14" i="40"/>
  <c r="S15" i="40"/>
  <c r="AB13" i="40"/>
  <c r="S16" i="40"/>
  <c r="W11" i="40"/>
  <c r="AA21" i="40"/>
  <c r="U21" i="40"/>
  <c r="W25" i="40"/>
  <c r="U25" i="40"/>
  <c r="W42" i="40"/>
  <c r="U35" i="40"/>
  <c r="F37" i="40"/>
  <c r="S37" i="40" s="1"/>
  <c r="J37" i="40"/>
  <c r="AC37" i="40"/>
  <c r="H37" i="40"/>
  <c r="F39" i="40"/>
  <c r="S38" i="40"/>
  <c r="H39" i="40"/>
  <c r="J39" i="40"/>
  <c r="W39" i="40" s="1"/>
  <c r="W38" i="40"/>
  <c r="F29" i="40"/>
  <c r="S29" i="40" s="1"/>
  <c r="H29" i="40"/>
  <c r="J29" i="40"/>
  <c r="W29" i="40" s="1"/>
  <c r="S25" i="40"/>
  <c r="AA23" i="40"/>
  <c r="F19" i="40"/>
  <c r="S19" i="40" s="1"/>
  <c r="H19" i="40"/>
  <c r="J19" i="40"/>
  <c r="AC19" i="40" s="1"/>
  <c r="W17" i="40"/>
  <c r="AC17" i="40"/>
  <c r="F17" i="40"/>
  <c r="AA17" i="40"/>
  <c r="H17" i="40"/>
  <c r="AB17" i="40"/>
  <c r="W21" i="40"/>
  <c r="AB40" i="40"/>
  <c r="U10" i="40"/>
  <c r="U27" i="40"/>
  <c r="AB27" i="40"/>
  <c r="S11" i="39"/>
  <c r="S27" i="39"/>
  <c r="S14" i="39"/>
  <c r="U11" i="39"/>
  <c r="U41" i="39"/>
  <c r="U31" i="39"/>
  <c r="S25" i="39"/>
  <c r="S38" i="39"/>
  <c r="S22" i="31"/>
  <c r="B20" i="31" s="1"/>
  <c r="B22" i="63"/>
  <c r="M20" i="15"/>
  <c r="D96" i="9"/>
  <c r="M18" i="15"/>
  <c r="A18" i="64"/>
  <c r="B74" i="63"/>
  <c r="C53" i="10"/>
  <c r="A25" i="64"/>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B6" i="63" s="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AP8" i="1"/>
  <c r="G8" i="1"/>
  <c r="L5" i="54"/>
  <c r="B39" i="63" s="1"/>
  <c r="K5" i="54"/>
  <c r="T41" i="4"/>
  <c r="A17" i="64" s="1"/>
  <c r="B46" i="50"/>
  <c r="B4" i="63" s="1"/>
  <c r="C46" i="36"/>
  <c r="C59" i="34"/>
  <c r="C48" i="35"/>
  <c r="D48" i="35"/>
  <c r="C52" i="37"/>
  <c r="D52" i="37"/>
  <c r="C67" i="40"/>
  <c r="D65" i="40"/>
  <c r="D67" i="40" s="1"/>
  <c r="P24" i="46"/>
  <c r="B68" i="40"/>
  <c r="P23" i="46"/>
  <c r="P21" i="46"/>
  <c r="P22" i="46"/>
  <c r="O19" i="46"/>
  <c r="H77" i="46"/>
  <c r="H73" i="46"/>
  <c r="H69" i="46"/>
  <c r="H74" i="46"/>
  <c r="H86" i="46"/>
  <c r="H82" i="46"/>
  <c r="H63" i="46"/>
  <c r="H59" i="46"/>
  <c r="H64" i="46"/>
  <c r="H60" i="46"/>
  <c r="H10" i="48"/>
  <c r="H87" i="46"/>
  <c r="H85" i="46"/>
  <c r="H83" i="46"/>
  <c r="R11" i="1"/>
  <c r="R13" i="1"/>
  <c r="B6" i="1"/>
  <c r="E6" i="1" s="1"/>
  <c r="B10" i="1"/>
  <c r="E10" i="1" s="1"/>
  <c r="B8" i="1"/>
  <c r="E8" i="1" s="1"/>
  <c r="B12" i="1"/>
  <c r="E12" i="1" s="1"/>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14" i="33"/>
  <c r="AB12" i="33"/>
  <c r="S9" i="33"/>
  <c r="S39" i="21"/>
  <c r="W25" i="21"/>
  <c r="U27" i="21"/>
  <c r="W31" i="21"/>
  <c r="S27" i="21"/>
  <c r="W29" i="21"/>
  <c r="G96" i="40"/>
  <c r="J27" i="40"/>
  <c r="W27" i="40" s="1"/>
  <c r="W37" i="40"/>
  <c r="S17" i="40"/>
  <c r="W30" i="40"/>
  <c r="S34" i="40"/>
  <c r="U17" i="40"/>
  <c r="U38" i="40"/>
  <c r="S42" i="40"/>
  <c r="G105" i="39"/>
  <c r="S45" i="39"/>
  <c r="W41" i="39"/>
  <c r="S34" i="39"/>
  <c r="W42" i="39"/>
  <c r="W36"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AG6" i="1"/>
  <c r="G6" i="1"/>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17" i="33"/>
  <c r="U23" i="21"/>
  <c r="S23" i="21"/>
  <c r="U15" i="21"/>
  <c r="W15" i="21"/>
  <c r="AB39" i="40"/>
  <c r="U39" i="40"/>
  <c r="AC39" i="40"/>
  <c r="AA39" i="40"/>
  <c r="S39" i="40"/>
  <c r="U37" i="40"/>
  <c r="AB37" i="40"/>
  <c r="AA37" i="40"/>
  <c r="U29" i="40"/>
  <c r="AB29" i="40"/>
  <c r="AC29" i="40"/>
  <c r="AA29" i="40"/>
  <c r="W19" i="40"/>
  <c r="AA19" i="40"/>
  <c r="AB19" i="40"/>
  <c r="U19" i="40"/>
  <c r="AC27" i="40"/>
  <c r="W31" i="39"/>
  <c r="R22" i="31"/>
  <c r="B21" i="31" s="1"/>
  <c r="A17" i="51"/>
  <c r="B13" i="63" s="1"/>
  <c r="G30" i="6"/>
  <c r="G31" i="6" s="1"/>
  <c r="H70" i="46"/>
  <c r="H72" i="46"/>
  <c r="A9" i="64"/>
  <c r="A9" i="51"/>
  <c r="B9" i="63" s="1"/>
  <c r="A25" i="51"/>
  <c r="B18" i="63"/>
  <c r="E48" i="35"/>
  <c r="F48" i="35" s="1"/>
  <c r="G48" i="35"/>
  <c r="H48" i="35" s="1"/>
  <c r="I48" i="35" s="1"/>
  <c r="J48" i="35" s="1"/>
  <c r="K48" i="35" s="1"/>
  <c r="L48" i="35" s="1"/>
  <c r="M48" i="35" s="1"/>
  <c r="N48" i="35" s="1"/>
  <c r="O48" i="35" s="1"/>
  <c r="E65" i="40"/>
  <c r="E67" i="40" s="1"/>
  <c r="J18" i="36"/>
  <c r="AE8" i="1"/>
  <c r="AE7" i="1"/>
  <c r="F33" i="44"/>
  <c r="F31" i="15"/>
  <c r="F58" i="15"/>
  <c r="M17" i="15"/>
  <c r="M19" i="44"/>
  <c r="W18" i="36"/>
  <c r="AC18" i="36"/>
  <c r="D12" i="11"/>
  <c r="C12" i="11" s="1"/>
  <c r="L20" i="6"/>
  <c r="K15" i="1"/>
  <c r="F65" i="40"/>
  <c r="G65" i="40" s="1"/>
  <c r="F67" i="40"/>
  <c r="C45" i="9"/>
  <c r="H14" i="66"/>
  <c r="B7" i="66" s="1"/>
  <c r="O40" i="9"/>
  <c r="R7" i="54" s="1"/>
  <c r="B52" i="63" s="1"/>
  <c r="D77" i="9"/>
  <c r="N75" i="9"/>
  <c r="K31" i="9"/>
  <c r="K32" i="9"/>
  <c r="N76" i="9"/>
  <c r="F14" i="67"/>
  <c r="F45" i="44"/>
  <c r="F10" i="67"/>
  <c r="F8" i="67"/>
  <c r="F38" i="15"/>
  <c r="F12" i="67"/>
  <c r="F28" i="44"/>
  <c r="B10" i="67"/>
  <c r="B9" i="67"/>
  <c r="J17" i="44"/>
  <c r="F43" i="44"/>
  <c r="M28" i="44"/>
  <c r="F6" i="15"/>
  <c r="N3" i="65"/>
  <c r="F15" i="44"/>
  <c r="I3" i="65"/>
  <c r="C19" i="44"/>
  <c r="F46" i="44"/>
  <c r="E8" i="67"/>
  <c r="M25" i="44"/>
  <c r="M11" i="44"/>
  <c r="M28" i="15"/>
  <c r="B8" i="67"/>
  <c r="F16" i="15"/>
  <c r="M24" i="44"/>
  <c r="F11" i="67"/>
  <c r="B13" i="67"/>
  <c r="F40" i="15"/>
  <c r="F9" i="44"/>
  <c r="L48" i="44"/>
  <c r="J3" i="65"/>
  <c r="N5" i="65"/>
  <c r="B11" i="67"/>
  <c r="E14" i="67"/>
  <c r="E9" i="67"/>
  <c r="M10" i="44"/>
  <c r="M29" i="15"/>
  <c r="E11" i="67"/>
  <c r="F40" i="44"/>
  <c r="E10" i="67"/>
  <c r="N4" i="65"/>
  <c r="M8" i="15"/>
  <c r="F18" i="44"/>
  <c r="F9" i="15"/>
  <c r="F36" i="15"/>
  <c r="F8" i="44"/>
  <c r="N6" i="65"/>
  <c r="L49" i="44"/>
  <c r="J36" i="15"/>
  <c r="L47" i="15"/>
  <c r="F26" i="15"/>
  <c r="M22" i="15"/>
  <c r="J4" i="65"/>
  <c r="F13" i="15"/>
  <c r="E12" i="67"/>
  <c r="B12" i="67"/>
  <c r="M23" i="15"/>
  <c r="F8" i="15"/>
  <c r="N7" i="65"/>
  <c r="M26" i="15"/>
  <c r="M29" i="44"/>
  <c r="M9" i="15"/>
  <c r="J7" i="65"/>
  <c r="F39" i="44"/>
  <c r="M26" i="44"/>
  <c r="F43" i="15"/>
  <c r="B14" i="67"/>
  <c r="M6" i="15"/>
  <c r="E13" i="67"/>
  <c r="F42" i="15"/>
  <c r="F38" i="44"/>
  <c r="I7" i="65"/>
  <c r="F13" i="67"/>
  <c r="F9" i="67"/>
  <c r="F7" i="15"/>
  <c r="J5" i="65"/>
  <c r="M24" i="15"/>
  <c r="J6" i="65"/>
  <c r="I4" i="65"/>
  <c r="F37" i="44"/>
  <c r="M30" i="44"/>
  <c r="M23" i="44"/>
  <c r="J15" i="15"/>
  <c r="F11" i="44"/>
  <c r="M31" i="44"/>
  <c r="M27" i="15"/>
  <c r="M8" i="44"/>
  <c r="I5" i="65"/>
  <c r="F41" i="15"/>
  <c r="I6" i="65"/>
  <c r="F37" i="15"/>
  <c r="F10" i="44"/>
  <c r="L48" i="15"/>
  <c r="G67" i="40" l="1"/>
  <c r="H65" i="40"/>
  <c r="H7" i="35"/>
  <c r="J7" i="35"/>
  <c r="E52" i="37"/>
  <c r="F7" i="35"/>
  <c r="D46" i="36"/>
  <c r="AA28" i="34"/>
  <c r="S28" i="34"/>
  <c r="U45" i="33"/>
  <c r="AB45" i="33"/>
  <c r="W23" i="35"/>
  <c r="AC23" i="35"/>
  <c r="AB36" i="35"/>
  <c r="U36" i="35"/>
  <c r="W39" i="37"/>
  <c r="AC39" i="37"/>
  <c r="S40" i="40"/>
  <c r="AA40" i="40"/>
  <c r="J26" i="35"/>
  <c r="H26" i="35"/>
  <c r="F26" i="35"/>
  <c r="D59" i="34"/>
  <c r="B38" i="63"/>
  <c r="A3" i="55"/>
  <c r="B56" i="63" s="1"/>
  <c r="E58" i="33"/>
  <c r="AC24" i="36"/>
  <c r="W24" i="36"/>
  <c r="AB34" i="36"/>
  <c r="U34" i="36"/>
  <c r="U14" i="37"/>
  <c r="AB14" i="37"/>
  <c r="W26" i="37"/>
  <c r="AC26" i="37"/>
  <c r="D1" i="57"/>
  <c r="E10" i="57" s="1"/>
  <c r="C35" i="59"/>
  <c r="D34" i="59"/>
  <c r="C5" i="59"/>
  <c r="D5" i="59" s="1"/>
  <c r="D6" i="59"/>
  <c r="D21" i="59"/>
  <c r="C22" i="59"/>
  <c r="D17" i="59"/>
  <c r="C18" i="59"/>
  <c r="D13" i="59"/>
  <c r="C14" i="59"/>
  <c r="E10" i="59"/>
  <c r="E9" i="59" s="1"/>
  <c r="U11" i="59"/>
  <c r="E6" i="59"/>
  <c r="E5" i="59" s="1"/>
  <c r="U7" i="59"/>
  <c r="U17" i="33"/>
  <c r="AB23" i="33"/>
  <c r="S30" i="40"/>
  <c r="U11" i="34"/>
  <c r="W17" i="34"/>
  <c r="U22" i="35"/>
  <c r="S17" i="34"/>
  <c r="AC14" i="34"/>
  <c r="U32" i="34"/>
  <c r="U30" i="40"/>
  <c r="S41" i="40"/>
  <c r="W34" i="40"/>
  <c r="U29" i="33"/>
  <c r="AA14" i="34"/>
  <c r="U46" i="34"/>
  <c r="AB33" i="36"/>
  <c r="AA29" i="35"/>
  <c r="AB14" i="40"/>
  <c r="AB44" i="33"/>
  <c r="AA23" i="37"/>
  <c r="S39" i="33"/>
  <c r="AC45" i="33"/>
  <c r="AC41" i="34"/>
  <c r="J37" i="33"/>
  <c r="W37" i="33" s="1"/>
  <c r="H37" i="33"/>
  <c r="C29" i="39"/>
  <c r="S33" i="33"/>
  <c r="F9" i="36"/>
  <c r="H9" i="36"/>
  <c r="H24" i="36"/>
  <c r="O49" i="59"/>
  <c r="O48" i="59"/>
  <c r="D49" i="59"/>
  <c r="C26" i="59"/>
  <c r="D25" i="59"/>
  <c r="D37" i="59"/>
  <c r="C38" i="59"/>
  <c r="D42" i="59"/>
  <c r="C43" i="59"/>
  <c r="D45" i="59"/>
  <c r="C46" i="59"/>
  <c r="N48" i="59"/>
  <c r="N49" i="59"/>
  <c r="E9" i="46"/>
  <c r="E11" i="46"/>
  <c r="E8" i="46"/>
  <c r="E10" i="46"/>
  <c r="F29" i="12"/>
  <c r="F28" i="15"/>
  <c r="C28" i="15" s="1"/>
  <c r="F32" i="15"/>
  <c r="F59" i="15" s="1"/>
  <c r="F33" i="21"/>
  <c r="H33" i="21"/>
  <c r="I104" i="21"/>
  <c r="J33" i="21"/>
  <c r="E58" i="21"/>
  <c r="F58" i="21" s="1"/>
  <c r="G58" i="21" s="1"/>
  <c r="H58" i="21" s="1"/>
  <c r="I58" i="21" s="1"/>
  <c r="J58" i="21" s="1"/>
  <c r="K58" i="21" s="1"/>
  <c r="L58" i="21" s="1"/>
  <c r="M58" i="21" s="1"/>
  <c r="N58" i="21" s="1"/>
  <c r="O58" i="21" s="1"/>
  <c r="B54" i="46"/>
  <c r="C27" i="40"/>
  <c r="S27" i="40"/>
  <c r="L27" i="6"/>
  <c r="D50" i="59"/>
  <c r="C70" i="59"/>
  <c r="D63" i="59"/>
  <c r="E62" i="59"/>
  <c r="E61" i="59" s="1"/>
  <c r="D55" i="59"/>
  <c r="E54" i="59"/>
  <c r="E53" i="59" s="1"/>
  <c r="D51" i="59"/>
  <c r="E49" i="59"/>
  <c r="Q48" i="59"/>
  <c r="AA12" i="46"/>
  <c r="AE12" i="46"/>
  <c r="AI12" i="46"/>
  <c r="K76" i="9"/>
  <c r="K77" i="9" s="1"/>
  <c r="K79" i="9" s="1"/>
  <c r="K81" i="9" s="1"/>
  <c r="F34" i="46"/>
  <c r="F36" i="46"/>
  <c r="F37" i="46"/>
  <c r="F39" i="46"/>
  <c r="C20" i="46"/>
  <c r="J17" i="46"/>
  <c r="H17" i="46"/>
  <c r="C16" i="46" s="1"/>
  <c r="C5" i="46" s="1"/>
  <c r="D10" i="59"/>
  <c r="K141" i="70"/>
  <c r="K143" i="70"/>
  <c r="F7" i="21"/>
  <c r="H32" i="70"/>
  <c r="J32" i="70"/>
  <c r="F32" i="70"/>
  <c r="H29" i="39"/>
  <c r="J29" i="39"/>
  <c r="F29" i="39"/>
  <c r="C72" i="39"/>
  <c r="D70" i="39"/>
  <c r="H7" i="21"/>
  <c r="H42" i="70"/>
  <c r="U42" i="70" s="1"/>
  <c r="F42" i="70"/>
  <c r="H37" i="70"/>
  <c r="F37" i="70"/>
  <c r="D58" i="70"/>
  <c r="E58" i="70" s="1"/>
  <c r="F58" i="70" s="1"/>
  <c r="G58" i="70" s="1"/>
  <c r="H58" i="70" s="1"/>
  <c r="I58" i="70" s="1"/>
  <c r="J58" i="70" s="1"/>
  <c r="K58" i="70" s="1"/>
  <c r="L58" i="70" s="1"/>
  <c r="M58" i="70" s="1"/>
  <c r="N58" i="70" s="1"/>
  <c r="O58" i="70" s="1"/>
  <c r="F7" i="70"/>
  <c r="P25" i="46"/>
  <c r="B73" i="39" s="1"/>
  <c r="F46" i="70"/>
  <c r="F44" i="70"/>
  <c r="F30" i="70"/>
  <c r="F28" i="70"/>
  <c r="F23" i="70"/>
  <c r="F19" i="70"/>
  <c r="F15" i="70"/>
  <c r="F13" i="70"/>
  <c r="F11" i="70"/>
  <c r="H33" i="70"/>
  <c r="K9" i="1"/>
  <c r="M9" i="1" s="1"/>
  <c r="K8" i="1"/>
  <c r="G37" i="3"/>
  <c r="G36" i="3"/>
  <c r="BL321" i="3"/>
  <c r="AZ321" i="3" s="1"/>
  <c r="AZ139" i="3"/>
  <c r="AZ131" i="3"/>
  <c r="BL141" i="3"/>
  <c r="AZ141" i="3" s="1"/>
  <c r="BL139" i="3"/>
  <c r="BL137" i="3"/>
  <c r="AZ137" i="3" s="1"/>
  <c r="BL135" i="3"/>
  <c r="AZ135" i="3" s="1"/>
  <c r="BL133" i="3"/>
  <c r="AZ133" i="3" s="1"/>
  <c r="BL131" i="3"/>
  <c r="BL129" i="3"/>
  <c r="AZ129" i="3" s="1"/>
  <c r="BL127" i="3"/>
  <c r="AZ127" i="3" s="1"/>
  <c r="BL125" i="3"/>
  <c r="AZ125" i="3" s="1"/>
  <c r="AZ52" i="3"/>
  <c r="AZ44" i="3"/>
  <c r="AZ34" i="3"/>
  <c r="AZ26" i="3"/>
  <c r="BL89" i="3"/>
  <c r="AZ89" i="3" s="1"/>
  <c r="BL87" i="3"/>
  <c r="AZ87" i="3" s="1"/>
  <c r="BL85" i="3"/>
  <c r="AZ85" i="3" s="1"/>
  <c r="BL83" i="3"/>
  <c r="AZ83" i="3" s="1"/>
  <c r="BL81" i="3"/>
  <c r="AZ81" i="3" s="1"/>
  <c r="BL79" i="3"/>
  <c r="AZ79" i="3" s="1"/>
  <c r="BL77" i="3"/>
  <c r="AZ77" i="3" s="1"/>
  <c r="BL75" i="3"/>
  <c r="AZ75" i="3" s="1"/>
  <c r="BL73" i="3"/>
  <c r="AZ73" i="3" s="1"/>
  <c r="BL71" i="3"/>
  <c r="AZ71" i="3" s="1"/>
  <c r="BL69" i="3"/>
  <c r="AZ69" i="3" s="1"/>
  <c r="BL67" i="3"/>
  <c r="AZ67" i="3" s="1"/>
  <c r="BL65" i="3"/>
  <c r="AZ65" i="3" s="1"/>
  <c r="BL63" i="3"/>
  <c r="AZ63" i="3" s="1"/>
  <c r="BL61" i="3"/>
  <c r="AZ61" i="3" s="1"/>
  <c r="BL59" i="3"/>
  <c r="AZ59" i="3" s="1"/>
  <c r="BL57" i="3"/>
  <c r="AZ57" i="3" s="1"/>
  <c r="BL55" i="3"/>
  <c r="AZ55" i="3" s="1"/>
  <c r="BL54" i="3"/>
  <c r="AZ54" i="3"/>
  <c r="BL52" i="3"/>
  <c r="BL50" i="3"/>
  <c r="AZ50" i="3" s="1"/>
  <c r="BL48" i="3"/>
  <c r="AZ48" i="3" s="1"/>
  <c r="BL46" i="3"/>
  <c r="AZ46" i="3" s="1"/>
  <c r="BL44" i="3"/>
  <c r="BL42" i="3"/>
  <c r="AZ42" i="3" s="1"/>
  <c r="BL40" i="3"/>
  <c r="AZ40" i="3" s="1"/>
  <c r="BL38" i="3"/>
  <c r="AZ38" i="3" s="1"/>
  <c r="BL34" i="3"/>
  <c r="BL32" i="3"/>
  <c r="AZ32" i="3" s="1"/>
  <c r="BL30" i="3"/>
  <c r="AZ30" i="3" s="1"/>
  <c r="BL28" i="3"/>
  <c r="AZ28" i="3" s="1"/>
  <c r="BL26" i="3"/>
  <c r="BL24" i="3"/>
  <c r="AZ24" i="3" s="1"/>
  <c r="BL22" i="3"/>
  <c r="AZ22" i="3" s="1"/>
  <c r="F28" i="6"/>
  <c r="BL36" i="3"/>
  <c r="AZ36" i="3" s="1"/>
  <c r="BE5" i="3"/>
  <c r="C18" i="9"/>
  <c r="D18" i="9" s="1"/>
  <c r="M44" i="9" s="1"/>
  <c r="AB42" i="70"/>
  <c r="AC10" i="70"/>
  <c r="AA10" i="70"/>
  <c r="U10" i="70"/>
  <c r="B4" i="52"/>
  <c r="B23" i="52"/>
  <c r="E11" i="52"/>
  <c r="E4" i="4" s="1"/>
  <c r="B21" i="55" s="1"/>
  <c r="B72" i="63" s="1"/>
  <c r="H5" i="3"/>
  <c r="AZ37" i="3"/>
  <c r="BL5" i="3"/>
  <c r="E28" i="6"/>
  <c r="F30" i="6"/>
  <c r="I4" i="6"/>
  <c r="G3" i="46" s="1"/>
  <c r="E22" i="46" s="1"/>
  <c r="G5" i="3"/>
  <c r="B3" i="3" s="1"/>
  <c r="J42" i="33"/>
  <c r="G123" i="33"/>
  <c r="H123" i="33" s="1"/>
  <c r="I123" i="33" s="1"/>
  <c r="J123" i="33" s="1"/>
  <c r="K123" i="33" s="1"/>
  <c r="L123" i="33" s="1"/>
  <c r="M123" i="33" s="1"/>
  <c r="H42" i="33"/>
  <c r="F42" i="33"/>
  <c r="AA42" i="33" s="1"/>
  <c r="AC25" i="33"/>
  <c r="U38" i="33"/>
  <c r="AB41" i="33"/>
  <c r="AC23" i="33"/>
  <c r="W38" i="33"/>
  <c r="W27" i="33"/>
  <c r="U25" i="33"/>
  <c r="B6" i="52"/>
  <c r="E9" i="52"/>
  <c r="B10" i="52"/>
  <c r="E5" i="52"/>
  <c r="B16" i="52"/>
  <c r="E10" i="52"/>
  <c r="B8" i="52"/>
  <c r="B9" i="52"/>
  <c r="B7" i="52"/>
  <c r="U19" i="33"/>
  <c r="W17" i="33"/>
  <c r="AA37" i="33"/>
  <c r="S37" i="33"/>
  <c r="F36" i="33"/>
  <c r="H36" i="33"/>
  <c r="AB36" i="33" s="1"/>
  <c r="J36" i="33"/>
  <c r="W36" i="33" s="1"/>
  <c r="H111" i="33"/>
  <c r="I111" i="33" s="1"/>
  <c r="J111" i="33" s="1"/>
  <c r="K111" i="33" s="1"/>
  <c r="L111" i="33" s="1"/>
  <c r="M111" i="33" s="1"/>
  <c r="F101" i="33"/>
  <c r="G101" i="33" s="1"/>
  <c r="H101" i="33" s="1"/>
  <c r="I101" i="33" s="1"/>
  <c r="J101" i="33" s="1"/>
  <c r="K101" i="33" s="1"/>
  <c r="L101" i="33" s="1"/>
  <c r="M101" i="33" s="1"/>
  <c r="H32" i="33"/>
  <c r="AB32" i="33" s="1"/>
  <c r="J32" i="33"/>
  <c r="F32" i="33"/>
  <c r="AA25" i="33"/>
  <c r="F19" i="33"/>
  <c r="F81" i="33"/>
  <c r="G81" i="33" s="1"/>
  <c r="F77" i="33"/>
  <c r="G77" i="33" s="1"/>
  <c r="F15" i="33"/>
  <c r="AB15" i="33"/>
  <c r="AB10" i="33"/>
  <c r="S10" i="33"/>
  <c r="E4" i="52"/>
  <c r="E16" i="52"/>
  <c r="B11" i="52"/>
  <c r="E8" i="52"/>
  <c r="B5" i="52"/>
  <c r="B13" i="52"/>
  <c r="B22" i="52"/>
  <c r="E21" i="52"/>
  <c r="C4" i="4" s="1"/>
  <c r="B20" i="55" s="1"/>
  <c r="B70" i="63" s="1"/>
  <c r="B14" i="52"/>
  <c r="E6" i="52"/>
  <c r="E7" i="52"/>
  <c r="W14" i="33"/>
  <c r="AB13" i="33"/>
  <c r="AC13" i="33"/>
  <c r="AC28" i="33"/>
  <c r="S26" i="33"/>
  <c r="AB27" i="33"/>
  <c r="AB11" i="33"/>
  <c r="AA11" i="33"/>
  <c r="W30" i="33"/>
  <c r="AB31" i="33"/>
  <c r="AC11" i="33"/>
  <c r="AC37" i="33"/>
  <c r="W46" i="33"/>
  <c r="AB43" i="33"/>
  <c r="AA13" i="33"/>
  <c r="AA27" i="33"/>
  <c r="AA41" i="33"/>
  <c r="S23" i="33"/>
  <c r="AC35" i="33"/>
  <c r="AB34" i="33"/>
  <c r="W43" i="33"/>
  <c r="S29" i="33"/>
  <c r="W34" i="33"/>
  <c r="AC36" i="33"/>
  <c r="AA34" i="33"/>
  <c r="S42" i="33"/>
  <c r="AA30" i="33"/>
  <c r="U30" i="33"/>
  <c r="S38" i="33"/>
  <c r="W33" i="33"/>
  <c r="U33" i="33"/>
  <c r="W10" i="33"/>
  <c r="U9" i="33"/>
  <c r="U21" i="39"/>
  <c r="F23" i="39"/>
  <c r="H23" i="39"/>
  <c r="J23" i="39"/>
  <c r="F97" i="39"/>
  <c r="G97" i="39" s="1"/>
  <c r="F19" i="39"/>
  <c r="H19" i="39"/>
  <c r="J19" i="39"/>
  <c r="F93" i="39"/>
  <c r="G93" i="39" s="1"/>
  <c r="AB17" i="39"/>
  <c r="U17" i="39"/>
  <c r="J17" i="39"/>
  <c r="G9" i="1"/>
  <c r="AP9" i="1"/>
  <c r="G16" i="1"/>
  <c r="H12" i="39" s="1"/>
  <c r="AB12" i="39" s="1"/>
  <c r="K17" i="4"/>
  <c r="A22" i="51" s="1"/>
  <c r="B16" i="63" s="1"/>
  <c r="O7" i="1"/>
  <c r="P7" i="1" s="1"/>
  <c r="M8" i="1"/>
  <c r="Q16" i="1"/>
  <c r="H16" i="1"/>
  <c r="AP16" i="1"/>
  <c r="F22" i="11" s="1"/>
  <c r="E8" i="6"/>
  <c r="E10" i="6"/>
  <c r="E11" i="6"/>
  <c r="E12" i="6"/>
  <c r="E14" i="6"/>
  <c r="E15" i="6"/>
  <c r="E13" i="6"/>
  <c r="O13" i="1"/>
  <c r="P13" i="1" s="1"/>
  <c r="O12" i="1"/>
  <c r="P12" i="1" s="1"/>
  <c r="O11" i="1"/>
  <c r="P11" i="1" s="1"/>
  <c r="O10" i="1"/>
  <c r="P10" i="1" s="1"/>
  <c r="O9" i="1"/>
  <c r="P9" i="1" s="1"/>
  <c r="O6" i="1"/>
  <c r="J22" i="44"/>
  <c r="C36" i="44"/>
  <c r="L58" i="15"/>
  <c r="L59" i="15"/>
  <c r="Q72" i="15"/>
  <c r="L60" i="44"/>
  <c r="L59" i="44"/>
  <c r="F65" i="15"/>
  <c r="F64" i="15"/>
  <c r="F63" i="15"/>
  <c r="C27" i="15"/>
  <c r="E20" i="46"/>
  <c r="F70" i="15"/>
  <c r="F50" i="15"/>
  <c r="Q73" i="44"/>
  <c r="M9" i="44"/>
  <c r="J8" i="44" s="1"/>
  <c r="C8" i="44"/>
  <c r="C29" i="44"/>
  <c r="J1" i="65"/>
  <c r="J54" i="44"/>
  <c r="I55" i="44"/>
  <c r="J60" i="44"/>
  <c r="L57" i="44"/>
  <c r="J58" i="44"/>
  <c r="J56" i="44" s="1"/>
  <c r="J59" i="44" s="1"/>
  <c r="Q52" i="44" s="1"/>
  <c r="J61" i="44"/>
  <c r="Q50" i="44" s="1"/>
  <c r="F68" i="15"/>
  <c r="J53" i="15"/>
  <c r="I54" i="15"/>
  <c r="L56" i="15"/>
  <c r="L57" i="15"/>
  <c r="J57" i="15"/>
  <c r="J55" i="15" s="1"/>
  <c r="J58" i="15" s="1"/>
  <c r="Q51" i="15" s="1"/>
  <c r="L60" i="15"/>
  <c r="F67" i="15"/>
  <c r="C4" i="65"/>
  <c r="B39" i="1" s="1"/>
  <c r="M7" i="15"/>
  <c r="J6" i="15" s="1"/>
  <c r="F49" i="15"/>
  <c r="C6" i="15"/>
  <c r="I1" i="65"/>
  <c r="E2" i="65"/>
  <c r="C18" i="44"/>
  <c r="C16" i="15"/>
  <c r="E3" i="65"/>
  <c r="AA11" i="70" l="1"/>
  <c r="S11" i="70"/>
  <c r="AA15" i="70"/>
  <c r="S15" i="70"/>
  <c r="AA23" i="70"/>
  <c r="S23" i="70"/>
  <c r="AA30" i="70"/>
  <c r="S30" i="70"/>
  <c r="AA46" i="70"/>
  <c r="S46" i="70"/>
  <c r="AA7" i="70"/>
  <c r="S7" i="70"/>
  <c r="AB37" i="70"/>
  <c r="U37" i="70"/>
  <c r="AC29" i="39"/>
  <c r="W29" i="39"/>
  <c r="AC32" i="70"/>
  <c r="W32" i="70"/>
  <c r="AA7" i="21"/>
  <c r="S7" i="21"/>
  <c r="AA33" i="21"/>
  <c r="S33" i="21"/>
  <c r="C47" i="59"/>
  <c r="D46" i="59"/>
  <c r="D43" i="59"/>
  <c r="T43" i="59"/>
  <c r="C39" i="59"/>
  <c r="D38" i="59"/>
  <c r="U24" i="36"/>
  <c r="AB24" i="36"/>
  <c r="S9" i="36"/>
  <c r="AA9" i="36"/>
  <c r="D14" i="59"/>
  <c r="C15" i="59"/>
  <c r="D18" i="59"/>
  <c r="C19" i="59"/>
  <c r="D22" i="59"/>
  <c r="C23" i="59"/>
  <c r="D35" i="59"/>
  <c r="T35" i="59"/>
  <c r="E59" i="34"/>
  <c r="U26" i="35"/>
  <c r="AB26" i="35"/>
  <c r="AA7" i="35"/>
  <c r="R38" i="35" s="1"/>
  <c r="S7" i="35"/>
  <c r="AC7" i="35"/>
  <c r="V38" i="35" s="1"/>
  <c r="I38" i="35" s="1"/>
  <c r="W7" i="35"/>
  <c r="H67" i="40"/>
  <c r="I65" i="40"/>
  <c r="U36" i="33"/>
  <c r="U32" i="33"/>
  <c r="AZ5" i="3"/>
  <c r="E3" i="6" s="1"/>
  <c r="L38" i="9" s="1"/>
  <c r="B14" i="66" s="1"/>
  <c r="B1" i="66" s="1"/>
  <c r="C7" i="66" s="1"/>
  <c r="AB33" i="70"/>
  <c r="U33" i="70"/>
  <c r="AA13" i="70"/>
  <c r="R48" i="70" s="1"/>
  <c r="S13" i="70"/>
  <c r="AA19" i="70"/>
  <c r="S19" i="70"/>
  <c r="AA28" i="70"/>
  <c r="S28" i="70"/>
  <c r="AA44" i="70"/>
  <c r="S44" i="70"/>
  <c r="J7" i="70"/>
  <c r="H7" i="70"/>
  <c r="AA37" i="70"/>
  <c r="S37" i="70"/>
  <c r="AA42" i="70"/>
  <c r="S42" i="70"/>
  <c r="AB7" i="21"/>
  <c r="T48" i="21" s="1"/>
  <c r="G48" i="21" s="1"/>
  <c r="U7" i="21"/>
  <c r="D72" i="39"/>
  <c r="E70" i="39"/>
  <c r="AA29" i="39"/>
  <c r="S29" i="39"/>
  <c r="AB29" i="39"/>
  <c r="U29" i="39"/>
  <c r="AA32" i="70"/>
  <c r="S32" i="70"/>
  <c r="AB32" i="70"/>
  <c r="U32" i="70"/>
  <c r="P48" i="59"/>
  <c r="P49" i="59"/>
  <c r="D70" i="59"/>
  <c r="C69" i="59"/>
  <c r="D69" i="59" s="1"/>
  <c r="J7" i="21"/>
  <c r="AC33" i="21"/>
  <c r="W33" i="21"/>
  <c r="AB33" i="21"/>
  <c r="U33" i="21"/>
  <c r="C7" i="46"/>
  <c r="C27" i="59"/>
  <c r="D26" i="59"/>
  <c r="U9" i="36"/>
  <c r="AB9" i="36"/>
  <c r="AB37" i="33"/>
  <c r="U37" i="33"/>
  <c r="F58" i="33"/>
  <c r="AA26" i="35"/>
  <c r="S26" i="35"/>
  <c r="W26" i="35"/>
  <c r="AC26" i="35"/>
  <c r="E46" i="36"/>
  <c r="F52" i="37"/>
  <c r="AB7" i="35"/>
  <c r="T38" i="35" s="1"/>
  <c r="G38" i="35" s="1"/>
  <c r="U7" i="35"/>
  <c r="M43" i="9"/>
  <c r="AJ11" i="46"/>
  <c r="AJ13" i="46" s="1"/>
  <c r="N104" i="45"/>
  <c r="G22" i="46"/>
  <c r="J22" i="46"/>
  <c r="E6" i="6"/>
  <c r="AF11" i="46"/>
  <c r="AF13" i="46" s="1"/>
  <c r="S6" i="46"/>
  <c r="D16" i="12"/>
  <c r="Y11" i="46"/>
  <c r="Y13" i="46" s="1"/>
  <c r="N101" i="46"/>
  <c r="N106" i="46" s="1"/>
  <c r="Z11" i="46"/>
  <c r="Z13" i="46" s="1"/>
  <c r="H101" i="46"/>
  <c r="AH11" i="46"/>
  <c r="AH13" i="46" s="1"/>
  <c r="G101" i="46"/>
  <c r="D16" i="43"/>
  <c r="C16" i="43" s="1"/>
  <c r="D45" i="9"/>
  <c r="C21" i="4"/>
  <c r="O5" i="54" s="1"/>
  <c r="B45" i="63" s="1"/>
  <c r="D10" i="11"/>
  <c r="AY6" i="3"/>
  <c r="E23" i="3"/>
  <c r="AN6" i="3"/>
  <c r="E280" i="3"/>
  <c r="E59" i="3"/>
  <c r="E270" i="3"/>
  <c r="E464" i="3"/>
  <c r="E157" i="3"/>
  <c r="E209" i="3"/>
  <c r="E161" i="3"/>
  <c r="E450" i="3"/>
  <c r="E492" i="3"/>
  <c r="E149" i="3"/>
  <c r="E295" i="3"/>
  <c r="E249" i="3"/>
  <c r="E89" i="3"/>
  <c r="E549" i="3"/>
  <c r="E201" i="3"/>
  <c r="E460" i="3"/>
  <c r="E170" i="3"/>
  <c r="I3" i="6"/>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297" i="3"/>
  <c r="E411" i="3"/>
  <c r="E250" i="3"/>
  <c r="E443" i="3"/>
  <c r="E265" i="3"/>
  <c r="E194" i="3"/>
  <c r="AM6" i="3"/>
  <c r="E78" i="3"/>
  <c r="E337" i="3"/>
  <c r="E561" i="3"/>
  <c r="E395" i="3"/>
  <c r="E156" i="3"/>
  <c r="E381" i="3"/>
  <c r="E49" i="3"/>
  <c r="E427" i="3"/>
  <c r="E193" i="3"/>
  <c r="E278" i="3"/>
  <c r="E104" i="3"/>
  <c r="E94" i="3"/>
  <c r="E534"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192" i="3"/>
  <c r="E41" i="3"/>
  <c r="E132" i="3"/>
  <c r="E437" i="3"/>
  <c r="E282" i="3"/>
  <c r="E457" i="3"/>
  <c r="E391" i="3"/>
  <c r="E83" i="3"/>
  <c r="AD6" i="3"/>
  <c r="E215" i="3"/>
  <c r="E430" i="3"/>
  <c r="E200" i="3"/>
  <c r="E454" i="3"/>
  <c r="E552" i="3"/>
  <c r="E143" i="3"/>
  <c r="E205" i="3"/>
  <c r="E426" i="3"/>
  <c r="E80" i="3"/>
  <c r="E357" i="3"/>
  <c r="J6" i="3"/>
  <c r="E34" i="3"/>
  <c r="E383" i="3"/>
  <c r="E363" i="3"/>
  <c r="E85" i="3"/>
  <c r="E245" i="3"/>
  <c r="E102" i="3"/>
  <c r="E556" i="3"/>
  <c r="E305" i="3"/>
  <c r="E43" i="3"/>
  <c r="E248" i="3"/>
  <c r="Y6" i="3"/>
  <c r="E477" i="3"/>
  <c r="E513" i="3"/>
  <c r="E281" i="3"/>
  <c r="E239" i="3"/>
  <c r="E331" i="3"/>
  <c r="E559" i="3"/>
  <c r="E554" i="3"/>
  <c r="E502" i="3"/>
  <c r="E325" i="3"/>
  <c r="E50" i="3"/>
  <c r="E320" i="3"/>
  <c r="E373" i="3"/>
  <c r="E339" i="3"/>
  <c r="E531" i="3"/>
  <c r="E315" i="3"/>
  <c r="E338" i="3"/>
  <c r="E351" i="3"/>
  <c r="E532" i="3"/>
  <c r="E566" i="3"/>
  <c r="E516" i="3"/>
  <c r="E352" i="3"/>
  <c r="S6" i="3"/>
  <c r="E341" i="3"/>
  <c r="E301" i="3"/>
  <c r="E541" i="3"/>
  <c r="E503" i="3"/>
  <c r="E241" i="3"/>
  <c r="E69" i="3"/>
  <c r="E93" i="3"/>
  <c r="E459" i="3"/>
  <c r="E238" i="3"/>
  <c r="E528" i="3"/>
  <c r="E535" i="3"/>
  <c r="E147" i="3"/>
  <c r="E418" i="3"/>
  <c r="E91" i="3"/>
  <c r="E221" i="3"/>
  <c r="E195" i="3"/>
  <c r="E409" i="3"/>
  <c r="AA6" i="3"/>
  <c r="E266" i="3"/>
  <c r="E135" i="3"/>
  <c r="E206" i="3"/>
  <c r="E152" i="3"/>
  <c r="E55" i="3"/>
  <c r="E231" i="3"/>
  <c r="E158" i="3"/>
  <c r="E202" i="3"/>
  <c r="E186" i="3"/>
  <c r="E253" i="3"/>
  <c r="E304" i="3"/>
  <c r="E82" i="3"/>
  <c r="E54" i="3"/>
  <c r="E404" i="3"/>
  <c r="E101" i="3"/>
  <c r="E343" i="3"/>
  <c r="E218" i="3"/>
  <c r="E447" i="3"/>
  <c r="E109" i="3"/>
  <c r="E174" i="3"/>
  <c r="E500" i="3"/>
  <c r="E412" i="3"/>
  <c r="E398" i="3"/>
  <c r="E113" i="3"/>
  <c r="E111" i="3"/>
  <c r="AT6" i="3"/>
  <c r="O6" i="3"/>
  <c r="E288" i="3"/>
  <c r="E486" i="3"/>
  <c r="E196" i="3"/>
  <c r="E220" i="3"/>
  <c r="V6" i="3"/>
  <c r="E96" i="3"/>
  <c r="E162" i="3"/>
  <c r="E419" i="3"/>
  <c r="E87" i="3"/>
  <c r="E191" i="3"/>
  <c r="E188" i="3"/>
  <c r="E491" i="3"/>
  <c r="E558" i="3"/>
  <c r="E246" i="3"/>
  <c r="AJ6" i="3"/>
  <c r="E432" i="3"/>
  <c r="E498" i="3"/>
  <c r="E42" i="3"/>
  <c r="E169" i="3"/>
  <c r="E208" i="3"/>
  <c r="E506" i="3"/>
  <c r="E342" i="3"/>
  <c r="E330" i="3"/>
  <c r="E310" i="3"/>
  <c r="E494" i="3"/>
  <c r="E406" i="3"/>
  <c r="E328" i="3"/>
  <c r="E268" i="3"/>
  <c r="E382" i="3"/>
  <c r="E523" i="3"/>
  <c r="M6" i="3"/>
  <c r="E348" i="3"/>
  <c r="E439" i="3"/>
  <c r="E92" i="3"/>
  <c r="E359" i="3"/>
  <c r="E375" i="3"/>
  <c r="X6" i="3"/>
  <c r="E127" i="3"/>
  <c r="E222" i="3"/>
  <c r="E327" i="3"/>
  <c r="E548" i="3"/>
  <c r="E77" i="3"/>
  <c r="E389" i="3"/>
  <c r="AK6" i="3"/>
  <c r="E463" i="3"/>
  <c r="E367" i="3"/>
  <c r="E478" i="3"/>
  <c r="E75" i="3"/>
  <c r="E141" i="3"/>
  <c r="AS6" i="3"/>
  <c r="E438" i="3"/>
  <c r="E550" i="3"/>
  <c r="E568" i="3"/>
  <c r="E401" i="3"/>
  <c r="E139" i="3"/>
  <c r="E451" i="3"/>
  <c r="E258" i="3"/>
  <c r="E527" i="3"/>
  <c r="E126" i="3"/>
  <c r="E370" i="3"/>
  <c r="AR6" i="3"/>
  <c r="E51" i="3"/>
  <c r="E134" i="3"/>
  <c r="E72" i="3"/>
  <c r="AF6" i="3"/>
  <c r="E128" i="3"/>
  <c r="E150" i="3"/>
  <c r="E324" i="3"/>
  <c r="K6" i="3"/>
  <c r="E286" i="3"/>
  <c r="E216" i="3"/>
  <c r="E474" i="3"/>
  <c r="E284" i="3"/>
  <c r="E106" i="3"/>
  <c r="E122" i="3"/>
  <c r="E219" i="3"/>
  <c r="E364" i="3"/>
  <c r="E366" i="3"/>
  <c r="E384" i="3"/>
  <c r="E515" i="3"/>
  <c r="E504" i="3"/>
  <c r="E461" i="3"/>
  <c r="E112" i="3"/>
  <c r="E240" i="3"/>
  <c r="E544" i="3"/>
  <c r="E20" i="3"/>
  <c r="E476" i="3"/>
  <c r="E475" i="3"/>
  <c r="E114" i="3"/>
  <c r="E22" i="3"/>
  <c r="E408" i="3"/>
  <c r="E115" i="3"/>
  <c r="E414" i="3"/>
  <c r="E470" i="3"/>
  <c r="E471" i="3"/>
  <c r="E44" i="3"/>
  <c r="E124" i="3"/>
  <c r="E424" i="3"/>
  <c r="E164" i="3"/>
  <c r="E520" i="3"/>
  <c r="E223" i="3"/>
  <c r="E410" i="3"/>
  <c r="E63" i="3"/>
  <c r="E129" i="3"/>
  <c r="E407" i="3"/>
  <c r="E136" i="3"/>
  <c r="E257" i="3"/>
  <c r="E107" i="3"/>
  <c r="E393" i="3"/>
  <c r="E276" i="3"/>
  <c r="E526" i="3"/>
  <c r="AG6" i="3"/>
  <c r="E133" i="3"/>
  <c r="E458" i="3"/>
  <c r="E228" i="3"/>
  <c r="E334" i="3"/>
  <c r="E436" i="3"/>
  <c r="E95" i="3"/>
  <c r="E354" i="3"/>
  <c r="E118" i="3"/>
  <c r="E485" i="3"/>
  <c r="AL6" i="3"/>
  <c r="E510" i="3"/>
  <c r="AB6" i="3"/>
  <c r="E519" i="3"/>
  <c r="E175" i="3"/>
  <c r="E557" i="3"/>
  <c r="E446" i="3"/>
  <c r="E31" i="3"/>
  <c r="E131" i="3"/>
  <c r="I6" i="3"/>
  <c r="Z6" i="3"/>
  <c r="E452" i="3"/>
  <c r="E490" i="3"/>
  <c r="E442" i="3"/>
  <c r="E28" i="3"/>
  <c r="E168" i="3"/>
  <c r="AE6" i="3"/>
  <c r="E560" i="3"/>
  <c r="E261" i="3"/>
  <c r="E25" i="3"/>
  <c r="E479" i="3"/>
  <c r="E264" i="3"/>
  <c r="E416" i="3"/>
  <c r="E160" i="3"/>
  <c r="E290" i="3"/>
  <c r="E40" i="3"/>
  <c r="E355" i="3"/>
  <c r="E551" i="3"/>
  <c r="E16" i="3"/>
  <c r="E45" i="3"/>
  <c r="E298" i="3"/>
  <c r="E495" i="3"/>
  <c r="E335" i="3"/>
  <c r="E497" i="3"/>
  <c r="E521" i="3"/>
  <c r="E542" i="3"/>
  <c r="E511" i="3"/>
  <c r="E358" i="3"/>
  <c r="E481" i="3"/>
  <c r="E333" i="3"/>
  <c r="E296" i="3"/>
  <c r="E311" i="3"/>
  <c r="E537" i="3"/>
  <c r="E100" i="3"/>
  <c r="E374" i="3"/>
  <c r="E441" i="3"/>
  <c r="E415" i="3"/>
  <c r="Q6" i="3"/>
  <c r="E27" i="3"/>
  <c r="E469" i="3"/>
  <c r="E79" i="3"/>
  <c r="E272" i="3"/>
  <c r="E67" i="3"/>
  <c r="E449" i="3"/>
  <c r="E259" i="3"/>
  <c r="E466" i="3"/>
  <c r="E198" i="3"/>
  <c r="E229" i="3"/>
  <c r="E287" i="3"/>
  <c r="E306" i="3"/>
  <c r="E489" i="3"/>
  <c r="E183" i="3"/>
  <c r="E15" i="3"/>
  <c r="E56" i="3"/>
  <c r="E269" i="3"/>
  <c r="E159" i="3"/>
  <c r="E522" i="3"/>
  <c r="E553" i="3"/>
  <c r="E563" i="3"/>
  <c r="E137" i="3"/>
  <c r="E318" i="3"/>
  <c r="E13" i="3"/>
  <c r="E283" i="3"/>
  <c r="E394" i="3"/>
  <c r="E349" i="3"/>
  <c r="E237" i="3"/>
  <c r="E428" i="3"/>
  <c r="E62" i="3"/>
  <c r="E230" i="3"/>
  <c r="E32" i="3"/>
  <c r="E468" i="3"/>
  <c r="E185" i="3"/>
  <c r="E48" i="3"/>
  <c r="E455" i="3"/>
  <c r="E37" i="3"/>
  <c r="E166" i="3"/>
  <c r="E204" i="3"/>
  <c r="E73" i="3"/>
  <c r="E211" i="3"/>
  <c r="E453" i="3"/>
  <c r="E505" i="3"/>
  <c r="E302" i="3"/>
  <c r="E362" i="3"/>
  <c r="E314" i="3"/>
  <c r="E456" i="3"/>
  <c r="E260" i="3"/>
  <c r="E153" i="3"/>
  <c r="T6" i="3"/>
  <c r="E226" i="3"/>
  <c r="E562" i="3"/>
  <c r="E167" i="3"/>
  <c r="E496" i="3"/>
  <c r="E488" i="3"/>
  <c r="E155" i="3"/>
  <c r="E484" i="3"/>
  <c r="E68" i="3"/>
  <c r="E46" i="3"/>
  <c r="E321" i="3"/>
  <c r="E299" i="3"/>
  <c r="E103" i="3"/>
  <c r="E99" i="3"/>
  <c r="E435" i="3"/>
  <c r="E142" i="3"/>
  <c r="E60" i="3"/>
  <c r="E178" i="3"/>
  <c r="E98" i="3"/>
  <c r="E289" i="3"/>
  <c r="E425" i="3"/>
  <c r="E52" i="3"/>
  <c r="U6" i="3"/>
  <c r="E88" i="3"/>
  <c r="E369" i="3"/>
  <c r="E105" i="3"/>
  <c r="E345" i="3"/>
  <c r="E440" i="3"/>
  <c r="E29" i="3"/>
  <c r="E499" i="3"/>
  <c r="E173" i="3"/>
  <c r="E236" i="3"/>
  <c r="E171" i="3"/>
  <c r="E14" i="3"/>
  <c r="E378" i="3"/>
  <c r="E483" i="3"/>
  <c r="E368" i="3"/>
  <c r="E487" i="3"/>
  <c r="E138" i="3"/>
  <c r="E252" i="3"/>
  <c r="E565" i="3"/>
  <c r="E413" i="3"/>
  <c r="E86" i="3"/>
  <c r="E117" i="3"/>
  <c r="E472" i="3"/>
  <c r="E263" i="3"/>
  <c r="E199" i="3"/>
  <c r="E423" i="3"/>
  <c r="E57" i="3"/>
  <c r="E292" i="3"/>
  <c r="E110" i="3"/>
  <c r="E119" i="3"/>
  <c r="E97" i="3"/>
  <c r="E247" i="3"/>
  <c r="E539" i="3"/>
  <c r="E39" i="3"/>
  <c r="E214" i="3"/>
  <c r="E543" i="3"/>
  <c r="E336" i="3"/>
  <c r="E65" i="3"/>
  <c r="E242" i="3"/>
  <c r="E120" i="3"/>
  <c r="E555" i="3"/>
  <c r="E525" i="3"/>
  <c r="E353" i="3"/>
  <c r="E385" i="3"/>
  <c r="E210" i="3"/>
  <c r="E361" i="3"/>
  <c r="E344" i="3"/>
  <c r="E571" i="3"/>
  <c r="AO6" i="3"/>
  <c r="E390" i="3"/>
  <c r="E36" i="3"/>
  <c r="E225" i="3"/>
  <c r="E146" i="3"/>
  <c r="E434" i="3"/>
  <c r="E30" i="3"/>
  <c r="E547" i="3"/>
  <c r="E33" i="3"/>
  <c r="E179" i="3"/>
  <c r="E444" i="3"/>
  <c r="E293" i="3"/>
  <c r="E303" i="3"/>
  <c r="E467" i="3"/>
  <c r="E291" i="3"/>
  <c r="E365" i="3"/>
  <c r="E308" i="3"/>
  <c r="AQ6" i="3"/>
  <c r="E235" i="3"/>
  <c r="E234" i="3"/>
  <c r="E176" i="3"/>
  <c r="E180" i="3"/>
  <c r="E569" i="3"/>
  <c r="E546" i="3"/>
  <c r="E251" i="3"/>
  <c r="E181" i="3"/>
  <c r="E323" i="3"/>
  <c r="E501" i="3"/>
  <c r="E572" i="3"/>
  <c r="E273" i="3"/>
  <c r="E244" i="3"/>
  <c r="E316" i="3"/>
  <c r="E380" i="3"/>
  <c r="E421" i="3"/>
  <c r="E570" i="3"/>
  <c r="E187" i="3"/>
  <c r="E388" i="3"/>
  <c r="E165" i="3"/>
  <c r="E262" i="3"/>
  <c r="E274" i="3"/>
  <c r="E399" i="3"/>
  <c r="E317" i="3"/>
  <c r="E148" i="3"/>
  <c r="E422" i="3"/>
  <c r="E533" i="3"/>
  <c r="E332" i="3"/>
  <c r="E445" i="3"/>
  <c r="E207" i="3"/>
  <c r="E480" i="3"/>
  <c r="E517" i="3"/>
  <c r="E540" i="3"/>
  <c r="AI6" i="3"/>
  <c r="E386" i="3"/>
  <c r="E256" i="3"/>
  <c r="E319" i="3"/>
  <c r="E396" i="3"/>
  <c r="E392" i="3"/>
  <c r="E360" i="3"/>
  <c r="E144" i="3"/>
  <c r="E163" i="3"/>
  <c r="E518" i="3"/>
  <c r="E350" i="3"/>
  <c r="E227" i="3"/>
  <c r="E71" i="3"/>
  <c r="E346" i="3"/>
  <c r="E356" i="3"/>
  <c r="E340" i="3"/>
  <c r="E130" i="3"/>
  <c r="E254" i="3"/>
  <c r="E377" i="3"/>
  <c r="E326" i="3"/>
  <c r="D22" i="12"/>
  <c r="C22" i="12" s="1"/>
  <c r="D13" i="11"/>
  <c r="C13" i="11" s="1"/>
  <c r="C101" i="46"/>
  <c r="AA11" i="46"/>
  <c r="AA13" i="46" s="1"/>
  <c r="AD11" i="46"/>
  <c r="AD13" i="46" s="1"/>
  <c r="L101" i="46"/>
  <c r="L106" i="46" s="1"/>
  <c r="H22" i="46"/>
  <c r="F22" i="46"/>
  <c r="D22" i="46" s="1"/>
  <c r="Z7" i="46"/>
  <c r="S5" i="46"/>
  <c r="S3" i="46"/>
  <c r="K101" i="46"/>
  <c r="K106" i="46" s="1"/>
  <c r="F101" i="46"/>
  <c r="F105" i="46" s="1"/>
  <c r="S7" i="46"/>
  <c r="S4" i="46"/>
  <c r="M101" i="46"/>
  <c r="M105" i="46" s="1"/>
  <c r="AE11" i="46"/>
  <c r="AE13" i="46" s="1"/>
  <c r="B113" i="46"/>
  <c r="I117" i="46" s="1"/>
  <c r="J117" i="46" s="1"/>
  <c r="K117" i="46" s="1"/>
  <c r="L117" i="46" s="1"/>
  <c r="M117" i="46" s="1"/>
  <c r="AC11" i="46"/>
  <c r="AC13" i="46" s="1"/>
  <c r="AB11" i="46"/>
  <c r="AB13" i="46" s="1"/>
  <c r="AI11" i="46"/>
  <c r="AI13" i="46" s="1"/>
  <c r="J101" i="46"/>
  <c r="J103" i="46" s="1"/>
  <c r="E101" i="46"/>
  <c r="E103" i="46" s="1"/>
  <c r="C23" i="46"/>
  <c r="C21" i="46" s="1"/>
  <c r="AG11" i="46"/>
  <c r="AG13" i="46" s="1"/>
  <c r="D101" i="46"/>
  <c r="D109" i="46" s="1"/>
  <c r="S2" i="46"/>
  <c r="I101" i="46"/>
  <c r="I107" i="46" s="1"/>
  <c r="K14" i="1"/>
  <c r="E30" i="6"/>
  <c r="U42" i="33"/>
  <c r="AB42" i="33"/>
  <c r="AC42" i="33"/>
  <c r="W42" i="33"/>
  <c r="AA36" i="33"/>
  <c r="S36" i="33"/>
  <c r="AA32" i="33"/>
  <c r="S32" i="33"/>
  <c r="AC32" i="33"/>
  <c r="W32" i="33"/>
  <c r="S19" i="33"/>
  <c r="AA19" i="33"/>
  <c r="AA15" i="33"/>
  <c r="S15" i="33"/>
  <c r="AC19" i="39"/>
  <c r="W19" i="39"/>
  <c r="AB19" i="39"/>
  <c r="U19" i="39"/>
  <c r="AB23" i="39"/>
  <c r="U23" i="39"/>
  <c r="AC17" i="39"/>
  <c r="W17" i="39"/>
  <c r="S19" i="39"/>
  <c r="AA19" i="39"/>
  <c r="AC23" i="39"/>
  <c r="W23" i="39"/>
  <c r="AA23" i="39"/>
  <c r="S23" i="39"/>
  <c r="F12" i="40"/>
  <c r="AA12" i="40" s="1"/>
  <c r="J12" i="39"/>
  <c r="W12" i="39" s="1"/>
  <c r="U12" i="39"/>
  <c r="F12" i="39"/>
  <c r="AA12" i="39" s="1"/>
  <c r="H12" i="40"/>
  <c r="AB12" i="40" s="1"/>
  <c r="J12" i="40"/>
  <c r="AC12" i="40" s="1"/>
  <c r="E67" i="39"/>
  <c r="E62" i="40"/>
  <c r="E64" i="39"/>
  <c r="E59" i="40"/>
  <c r="E16" i="6"/>
  <c r="C15" i="43"/>
  <c r="L102" i="46"/>
  <c r="L103" i="46"/>
  <c r="L104" i="46"/>
  <c r="J105" i="46"/>
  <c r="J106" i="46"/>
  <c r="J107" i="46"/>
  <c r="H102" i="46"/>
  <c r="H103" i="46"/>
  <c r="H104" i="46"/>
  <c r="H105" i="46"/>
  <c r="H106" i="46"/>
  <c r="H107" i="46"/>
  <c r="H109" i="46"/>
  <c r="L47" i="44"/>
  <c r="O8" i="1"/>
  <c r="P8" i="1" s="1"/>
  <c r="E60" i="40"/>
  <c r="E65" i="39"/>
  <c r="E61" i="40"/>
  <c r="E66" i="39"/>
  <c r="E58" i="40"/>
  <c r="E63" i="39"/>
  <c r="F27" i="6"/>
  <c r="E58" i="39"/>
  <c r="E53" i="40"/>
  <c r="F33" i="12"/>
  <c r="C34" i="12" s="1"/>
  <c r="D33" i="12" s="1"/>
  <c r="F18" i="11"/>
  <c r="F24" i="43"/>
  <c r="C26" i="43" s="1"/>
  <c r="D24" i="43" s="1"/>
  <c r="D102" i="46"/>
  <c r="D103" i="46"/>
  <c r="D107" i="46"/>
  <c r="D105" i="46"/>
  <c r="M103" i="46"/>
  <c r="M104" i="46"/>
  <c r="M107" i="46"/>
  <c r="M109" i="46"/>
  <c r="M102" i="46"/>
  <c r="K109" i="46"/>
  <c r="K102" i="46"/>
  <c r="I103" i="46"/>
  <c r="G103" i="46"/>
  <c r="G104" i="46"/>
  <c r="G105" i="46"/>
  <c r="G106" i="46"/>
  <c r="G107" i="46"/>
  <c r="G109" i="46"/>
  <c r="G102" i="46"/>
  <c r="F103" i="46"/>
  <c r="F109" i="46"/>
  <c r="P6" i="1"/>
  <c r="C103" i="46"/>
  <c r="C105" i="46"/>
  <c r="C107" i="46"/>
  <c r="C109" i="46"/>
  <c r="C102" i="46"/>
  <c r="C106" i="46"/>
  <c r="C104" i="46"/>
  <c r="D115" i="46"/>
  <c r="E115" i="46" s="1"/>
  <c r="F115" i="46" s="1"/>
  <c r="G115" i="46" s="1"/>
  <c r="H115" i="46" s="1"/>
  <c r="B115" i="46"/>
  <c r="B117" i="46"/>
  <c r="C117" i="46" s="1"/>
  <c r="I115" i="46"/>
  <c r="J115" i="46" s="1"/>
  <c r="K115" i="46" s="1"/>
  <c r="L115" i="46" s="1"/>
  <c r="M115" i="46" s="1"/>
  <c r="D116" i="46"/>
  <c r="E116" i="46" s="1"/>
  <c r="F116" i="46" s="1"/>
  <c r="G116" i="46" s="1"/>
  <c r="H116" i="46" s="1"/>
  <c r="D118" i="46"/>
  <c r="E118" i="46" s="1"/>
  <c r="F118" i="46" s="1"/>
  <c r="B116" i="46"/>
  <c r="C116" i="46" s="1"/>
  <c r="B118" i="46"/>
  <c r="C118" i="46" s="1"/>
  <c r="G118" i="46"/>
  <c r="H118" i="46" s="1"/>
  <c r="I118" i="46"/>
  <c r="J118" i="46" s="1"/>
  <c r="K118" i="46" s="1"/>
  <c r="L118" i="46" s="1"/>
  <c r="M118" i="46" s="1"/>
  <c r="F17" i="11"/>
  <c r="B40" i="1"/>
  <c r="Q67" i="15"/>
  <c r="Q58" i="15"/>
  <c r="F1" i="15"/>
  <c r="Q53" i="15"/>
  <c r="Q54" i="44"/>
  <c r="F1" i="44"/>
  <c r="Q75" i="44"/>
  <c r="Q62" i="44"/>
  <c r="Q75" i="15"/>
  <c r="Q62" i="15"/>
  <c r="F11" i="15"/>
  <c r="C52" i="15" s="1"/>
  <c r="M11" i="15"/>
  <c r="J10" i="15" s="1"/>
  <c r="J5" i="15" s="1"/>
  <c r="F13" i="44"/>
  <c r="C12" i="44" s="1"/>
  <c r="C7" i="44" s="1"/>
  <c r="M13" i="44"/>
  <c r="J12" i="44" s="1"/>
  <c r="J7" i="44" s="1"/>
  <c r="C48" i="15"/>
  <c r="O17" i="46"/>
  <c r="M17" i="46"/>
  <c r="P17" i="46"/>
  <c r="N17" i="46"/>
  <c r="Q63" i="44"/>
  <c r="Q76" i="44"/>
  <c r="Q74" i="15"/>
  <c r="Q61" i="15"/>
  <c r="E48" i="70" l="1"/>
  <c r="M20" i="46"/>
  <c r="C19" i="46" s="1"/>
  <c r="T2" i="46" s="1"/>
  <c r="V2" i="46" s="1"/>
  <c r="F46" i="36"/>
  <c r="E72" i="39"/>
  <c r="F70" i="39"/>
  <c r="AB7" i="70"/>
  <c r="T48" i="70" s="1"/>
  <c r="G48" i="70" s="1"/>
  <c r="U7" i="70"/>
  <c r="I67" i="40"/>
  <c r="J65" i="40"/>
  <c r="D23" i="59"/>
  <c r="T23" i="59"/>
  <c r="D19" i="59"/>
  <c r="T19" i="59"/>
  <c r="D15" i="59"/>
  <c r="T15" i="59"/>
  <c r="T4" i="46"/>
  <c r="V4" i="46" s="1"/>
  <c r="AC12" i="39"/>
  <c r="F107" i="46"/>
  <c r="C29" i="46"/>
  <c r="T5" i="46"/>
  <c r="V5" i="46" s="1"/>
  <c r="G42" i="35"/>
  <c r="H42" i="35" s="1"/>
  <c r="G43" i="35"/>
  <c r="H43" i="35" s="1"/>
  <c r="G52" i="37"/>
  <c r="H52" i="37" s="1"/>
  <c r="I52" i="37" s="1"/>
  <c r="J52" i="37" s="1"/>
  <c r="K52" i="37" s="1"/>
  <c r="L52" i="37" s="1"/>
  <c r="M52" i="37" s="1"/>
  <c r="N52" i="37" s="1"/>
  <c r="O52" i="37" s="1"/>
  <c r="H7" i="37"/>
  <c r="G58" i="33"/>
  <c r="D27" i="59"/>
  <c r="T27" i="59"/>
  <c r="AC7" i="21"/>
  <c r="V48" i="21" s="1"/>
  <c r="I48" i="21" s="1"/>
  <c r="W7" i="21"/>
  <c r="G52" i="21"/>
  <c r="H52" i="21" s="1"/>
  <c r="G53" i="21"/>
  <c r="H53" i="21" s="1"/>
  <c r="AC7" i="70"/>
  <c r="V48" i="70" s="1"/>
  <c r="I48" i="70" s="1"/>
  <c r="I52" i="70" s="1"/>
  <c r="J52" i="70" s="1"/>
  <c r="W7" i="70"/>
  <c r="I42" i="35"/>
  <c r="J42" i="35" s="1"/>
  <c r="R39" i="35"/>
  <c r="E38" i="35"/>
  <c r="F59" i="34"/>
  <c r="D39" i="59"/>
  <c r="T39" i="59"/>
  <c r="D47" i="59"/>
  <c r="T47" i="59"/>
  <c r="R48" i="21"/>
  <c r="E52" i="70"/>
  <c r="F52" i="70" s="1"/>
  <c r="E53" i="70"/>
  <c r="F53" i="70" s="1"/>
  <c r="N105" i="46"/>
  <c r="J102" i="46"/>
  <c r="L109" i="46"/>
  <c r="L107" i="46"/>
  <c r="L105" i="46"/>
  <c r="N104" i="46"/>
  <c r="K103" i="46"/>
  <c r="N102" i="46"/>
  <c r="H6" i="3"/>
  <c r="N109" i="46"/>
  <c r="I106" i="46"/>
  <c r="J109" i="46"/>
  <c r="N107" i="46"/>
  <c r="N103" i="46"/>
  <c r="W12" i="40"/>
  <c r="I105" i="46"/>
  <c r="K105" i="46"/>
  <c r="I116" i="46"/>
  <c r="J116" i="46" s="1"/>
  <c r="K116" i="46" s="1"/>
  <c r="L116" i="46" s="1"/>
  <c r="M116" i="46" s="1"/>
  <c r="D117" i="46"/>
  <c r="E117" i="46" s="1"/>
  <c r="F117" i="46" s="1"/>
  <c r="G117" i="46" s="1"/>
  <c r="H117" i="46" s="1"/>
  <c r="I109" i="46"/>
  <c r="K104" i="46"/>
  <c r="C16" i="12"/>
  <c r="D19" i="12"/>
  <c r="C19" i="12" s="1"/>
  <c r="I104" i="46"/>
  <c r="S12" i="39"/>
  <c r="I102" i="46"/>
  <c r="K107" i="46"/>
  <c r="M106" i="46"/>
  <c r="J104" i="46"/>
  <c r="D106" i="46"/>
  <c r="D104" i="46"/>
  <c r="B29" i="1"/>
  <c r="H20" i="12"/>
  <c r="AC6" i="3"/>
  <c r="E105" i="46"/>
  <c r="M14" i="1"/>
  <c r="K16" i="1"/>
  <c r="F106" i="46"/>
  <c r="F102" i="46"/>
  <c r="F104" i="46"/>
  <c r="E109" i="46"/>
  <c r="E104" i="46"/>
  <c r="E102" i="46"/>
  <c r="E107" i="46"/>
  <c r="E106" i="46"/>
  <c r="U12" i="40"/>
  <c r="D3" i="6"/>
  <c r="AY504" i="3"/>
  <c r="AY100" i="3"/>
  <c r="AY83" i="3"/>
  <c r="AY47" i="3"/>
  <c r="AY182" i="3"/>
  <c r="AY126" i="3"/>
  <c r="AY45" i="3"/>
  <c r="AY106" i="3"/>
  <c r="AY217" i="3"/>
  <c r="BL6" i="3"/>
  <c r="AY69" i="3"/>
  <c r="AY73" i="3"/>
  <c r="AY203" i="3"/>
  <c r="AY204" i="3"/>
  <c r="AY77" i="3"/>
  <c r="AY274"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82" i="3"/>
  <c r="AY21" i="3"/>
  <c r="AY109" i="3"/>
  <c r="AY159" i="3"/>
  <c r="AY515" i="3"/>
  <c r="AY104" i="3"/>
  <c r="AY136" i="3"/>
  <c r="AY246" i="3"/>
  <c r="AY216" i="3"/>
  <c r="AY333" i="3"/>
  <c r="AY432" i="3"/>
  <c r="AY408" i="3"/>
  <c r="AY28" i="3"/>
  <c r="AY117" i="3"/>
  <c r="AY280" i="3"/>
  <c r="AY374" i="3"/>
  <c r="AY311" i="3"/>
  <c r="AY123" i="3"/>
  <c r="AY172" i="3"/>
  <c r="AY183" i="3"/>
  <c r="AY257" i="3"/>
  <c r="AY337" i="3"/>
  <c r="BS6" i="3"/>
  <c r="AY25" i="3"/>
  <c r="AY254" i="3"/>
  <c r="AY341" i="3"/>
  <c r="AY394" i="3"/>
  <c r="AY197" i="3"/>
  <c r="AY103" i="3"/>
  <c r="AY97" i="3"/>
  <c r="AY58" i="3"/>
  <c r="AY160" i="3"/>
  <c r="AY529" i="3"/>
  <c r="AY57" i="3"/>
  <c r="AY150" i="3"/>
  <c r="AY234" i="3"/>
  <c r="AY209" i="3"/>
  <c r="AY317" i="3"/>
  <c r="AY416" i="3"/>
  <c r="AY402" i="3"/>
  <c r="AY55" i="3"/>
  <c r="AY181" i="3"/>
  <c r="AY250" i="3"/>
  <c r="AY87" i="3"/>
  <c r="AY41" i="3"/>
  <c r="AY144" i="3"/>
  <c r="AY75" i="3"/>
  <c r="AY293" i="3"/>
  <c r="AY290" i="3"/>
  <c r="AY472" i="3"/>
  <c r="AY422" i="3"/>
  <c r="AY149" i="3"/>
  <c r="AY271" i="3"/>
  <c r="AY326" i="3"/>
  <c r="AY44" i="3"/>
  <c r="AY200" i="3"/>
  <c r="AY294" i="3"/>
  <c r="AY318" i="3"/>
  <c r="AY111" i="3"/>
  <c r="AY269" i="3"/>
  <c r="AY561" i="3"/>
  <c r="AY85" i="3"/>
  <c r="AY302" i="3"/>
  <c r="AY76" i="3"/>
  <c r="AY272" i="3"/>
  <c r="AY562" i="3"/>
  <c r="AY438" i="3"/>
  <c r="AY378" i="3"/>
  <c r="AY323" i="3"/>
  <c r="AY543" i="3"/>
  <c r="AY86" i="3"/>
  <c r="AY99" i="3"/>
  <c r="AY498" i="3"/>
  <c r="AY428" i="3"/>
  <c r="AY552" i="3"/>
  <c r="AY140" i="3"/>
  <c r="AY527" i="3"/>
  <c r="AY461" i="3"/>
  <c r="AY519" i="3"/>
  <c r="AY66" i="3"/>
  <c r="AY325" i="3"/>
  <c r="AY186" i="3"/>
  <c r="BF6" i="3"/>
  <c r="AY222" i="3"/>
  <c r="AY390" i="3"/>
  <c r="AY540" i="3"/>
  <c r="AY484" i="3"/>
  <c r="AY505" i="3"/>
  <c r="AY17" i="3"/>
  <c r="AY563" i="3"/>
  <c r="AY68" i="3"/>
  <c r="AY357" i="3"/>
  <c r="AY133" i="3"/>
  <c r="AY84" i="3"/>
  <c r="AY468" i="3"/>
  <c r="AY80" i="3"/>
  <c r="AY52" i="3"/>
  <c r="AY128" i="3"/>
  <c r="AY36" i="3"/>
  <c r="AY259" i="3"/>
  <c r="AY383" i="3"/>
  <c r="AY448" i="3"/>
  <c r="AY414" i="3"/>
  <c r="AY176" i="3"/>
  <c r="AY365" i="3"/>
  <c r="AY560" i="3"/>
  <c r="AY39" i="3"/>
  <c r="AY138" i="3"/>
  <c r="AY310" i="3"/>
  <c r="AY315" i="3"/>
  <c r="AY29" i="3"/>
  <c r="AY226" i="3"/>
  <c r="AY464" i="3"/>
  <c r="AY166" i="3"/>
  <c r="AY359" i="3"/>
  <c r="AY101" i="3"/>
  <c r="AY211" i="3"/>
  <c r="AY16" i="3"/>
  <c r="AY430" i="3"/>
  <c r="AY151" i="3"/>
  <c r="AY64" i="3"/>
  <c r="AY42" i="3"/>
  <c r="AY142" i="3"/>
  <c r="AY31" i="3"/>
  <c r="AY262" i="3"/>
  <c r="AY386" i="3"/>
  <c r="AY443" i="3"/>
  <c r="AY96" i="3"/>
  <c r="AY146" i="3"/>
  <c r="AY379" i="3"/>
  <c r="AY569" i="3"/>
  <c r="AY38" i="3"/>
  <c r="AY135" i="3"/>
  <c r="AY371" i="3"/>
  <c r="AY558" i="3"/>
  <c r="AY62" i="3"/>
  <c r="AY283" i="3"/>
  <c r="AY424" i="3"/>
  <c r="AY155" i="3"/>
  <c r="AY340" i="3"/>
  <c r="AY22" i="3"/>
  <c r="AY279" i="3"/>
  <c r="AY14" i="3"/>
  <c r="BT6" i="3"/>
  <c r="BC6" i="3"/>
  <c r="BH6" i="3"/>
  <c r="AY572" i="3"/>
  <c r="AY127" i="3"/>
  <c r="AY124" i="3"/>
  <c r="BN6" i="3"/>
  <c r="AY485" i="3"/>
  <c r="AY565" i="3"/>
  <c r="AY13" i="3"/>
  <c r="AY53" i="3"/>
  <c r="AY26" i="3"/>
  <c r="AY179" i="3"/>
  <c r="AY34" i="3"/>
  <c r="AY218" i="3"/>
  <c r="AY368" i="3"/>
  <c r="AY427" i="3"/>
  <c r="AY49" i="3"/>
  <c r="AY114" i="3"/>
  <c r="AY343" i="3"/>
  <c r="AY476" i="3"/>
  <c r="AY131" i="3"/>
  <c r="AY265" i="3"/>
  <c r="AY366" i="3"/>
  <c r="AY520" i="3"/>
  <c r="AY50" i="3"/>
  <c r="AY256" i="3"/>
  <c r="AY453" i="3"/>
  <c r="AY161" i="3"/>
  <c r="AY380" i="3"/>
  <c r="AY194" i="3"/>
  <c r="AY229" i="3"/>
  <c r="BQ6" i="3"/>
  <c r="AY412" i="3"/>
  <c r="AY544" i="3"/>
  <c r="AY43" i="3"/>
  <c r="AY245" i="3"/>
  <c r="AY35" i="3"/>
  <c r="AY530" i="3"/>
  <c r="AY37" i="3"/>
  <c r="AY74" i="3"/>
  <c r="AY98" i="3"/>
  <c r="AY175" i="3"/>
  <c r="AY291" i="3"/>
  <c r="AY349" i="3"/>
  <c r="AY411" i="3"/>
  <c r="AY46" i="3"/>
  <c r="AY233" i="3"/>
  <c r="AY356" i="3"/>
  <c r="AY445" i="3"/>
  <c r="AY178" i="3"/>
  <c r="AY288" i="3"/>
  <c r="AY335" i="3"/>
  <c r="AY550" i="3"/>
  <c r="AY147" i="3"/>
  <c r="AY224" i="3"/>
  <c r="AY389" i="3"/>
  <c r="AY162" i="3"/>
  <c r="AY342" i="3"/>
  <c r="AY156" i="3"/>
  <c r="AY319" i="3"/>
  <c r="AY457" i="3"/>
  <c r="AY465" i="3"/>
  <c r="AY442" i="3"/>
  <c r="AY303" i="3"/>
  <c r="AY352" i="3"/>
  <c r="AY27" i="3"/>
  <c r="AY388" i="3"/>
  <c r="AY273" i="3"/>
  <c r="AY500" i="3"/>
  <c r="AY107" i="3"/>
  <c r="AY458" i="3"/>
  <c r="AY152" i="3"/>
  <c r="AY489" i="3"/>
  <c r="AY546" i="3"/>
  <c r="AY242" i="3"/>
  <c r="AY417" i="3"/>
  <c r="AY287" i="3"/>
  <c r="AY163" i="3"/>
  <c r="AY385" i="3"/>
  <c r="AY492" i="3"/>
  <c r="AY15" i="3"/>
  <c r="AY355" i="3"/>
  <c r="AY220" i="3"/>
  <c r="BR6" i="3"/>
  <c r="AY497" i="3"/>
  <c r="AY285" i="3"/>
  <c r="AY404" i="3"/>
  <c r="AY327" i="3"/>
  <c r="AY213" i="3"/>
  <c r="AY549" i="3"/>
  <c r="AY154" i="3"/>
  <c r="AY198" i="3"/>
  <c r="AY92" i="3"/>
  <c r="AY118" i="3"/>
  <c r="AY248" i="3"/>
  <c r="AY361" i="3"/>
  <c r="AY397" i="3"/>
  <c r="AY187" i="3"/>
  <c r="AY219" i="3"/>
  <c r="AY304" i="3"/>
  <c r="AY463" i="3"/>
  <c r="AY148" i="3"/>
  <c r="AY227" i="3"/>
  <c r="AY372" i="3"/>
  <c r="BA6" i="3"/>
  <c r="AY120" i="3"/>
  <c r="AY376" i="3"/>
  <c r="AY446" i="3"/>
  <c r="AY266" i="3"/>
  <c r="AY413" i="3"/>
  <c r="AY122" i="3"/>
  <c r="AY321" i="3"/>
  <c r="AY405" i="3"/>
  <c r="AY406" i="3"/>
  <c r="AY336" i="3"/>
  <c r="AY193" i="3"/>
  <c r="AY370" i="3"/>
  <c r="AY91" i="3"/>
  <c r="AY431" i="3"/>
  <c r="AY207" i="3"/>
  <c r="AY518" i="3"/>
  <c r="AY537" i="3"/>
  <c r="AY88" i="3"/>
  <c r="AY129" i="3"/>
  <c r="AY105" i="3"/>
  <c r="AY158" i="3"/>
  <c r="AY232" i="3"/>
  <c r="AY556" i="3"/>
  <c r="AY392" i="3"/>
  <c r="AY171" i="3"/>
  <c r="AY214" i="3"/>
  <c r="AY329" i="3"/>
  <c r="AY65" i="3"/>
  <c r="AY116" i="3"/>
  <c r="AY206" i="3"/>
  <c r="AY350" i="3"/>
  <c r="AY548" i="3"/>
  <c r="AY249" i="3"/>
  <c r="AY67" i="3"/>
  <c r="AY381" i="3"/>
  <c r="AY367" i="3"/>
  <c r="AY184" i="3"/>
  <c r="AY221" i="3"/>
  <c r="AY501" i="3"/>
  <c r="AY137" i="3"/>
  <c r="AY566" i="3"/>
  <c r="AY415" i="3"/>
  <c r="AY436" i="3"/>
  <c r="AY568" i="3"/>
  <c r="AY208" i="3"/>
  <c r="AY192" i="3"/>
  <c r="AY54" i="3"/>
  <c r="AY447" i="3"/>
  <c r="AY410" i="3"/>
  <c r="AY312" i="3"/>
  <c r="AY483" i="3"/>
  <c r="AY512" i="3"/>
  <c r="AY134" i="3"/>
  <c r="AY60" i="3"/>
  <c r="AY125" i="3"/>
  <c r="AY426" i="3"/>
  <c r="AY373" i="3"/>
  <c r="AY301" i="3"/>
  <c r="AY466" i="3"/>
  <c r="AY496" i="3"/>
  <c r="AY474" i="3"/>
  <c r="AY482" i="3"/>
  <c r="AY441" i="3"/>
  <c r="AY491" i="3"/>
  <c r="AY191" i="3"/>
  <c r="AY324" i="3"/>
  <c r="AY346" i="3"/>
  <c r="AY282" i="3"/>
  <c r="AY314" i="3"/>
  <c r="AY531" i="3"/>
  <c r="AY239" i="3"/>
  <c r="AY40" i="3"/>
  <c r="AY19" i="3"/>
  <c r="AY399" i="3"/>
  <c r="AY322" i="3"/>
  <c r="AY347" i="3"/>
  <c r="AY174" i="3"/>
  <c r="AY189" i="3"/>
  <c r="AY470" i="3"/>
  <c r="AY328" i="3"/>
  <c r="BO6" i="3"/>
  <c r="AY533" i="3"/>
  <c r="AY71" i="3"/>
  <c r="AY210" i="3"/>
  <c r="AY102" i="3"/>
  <c r="AY195" i="3"/>
  <c r="AY502" i="3"/>
  <c r="AY110" i="3"/>
  <c r="AY298" i="3"/>
  <c r="AY403" i="3"/>
  <c r="AY514" i="3"/>
  <c r="AY454" i="3"/>
  <c r="AY499" i="3"/>
  <c r="AY391" i="3"/>
  <c r="AY507" i="3"/>
  <c r="AY517" i="3"/>
  <c r="AY95" i="3"/>
  <c r="AY471" i="3"/>
  <c r="AY400" i="3"/>
  <c r="AY307" i="3"/>
  <c r="AY201" i="3"/>
  <c r="AY24" i="3"/>
  <c r="AY456" i="3"/>
  <c r="AY112" i="3"/>
  <c r="AY538" i="3"/>
  <c r="BB6" i="3"/>
  <c r="AY20" i="3"/>
  <c r="AY557" i="3"/>
  <c r="AY296" i="3"/>
  <c r="AY153" i="3"/>
  <c r="AY418" i="3"/>
  <c r="AY338" i="3"/>
  <c r="AY559" i="3"/>
  <c r="AY289" i="3"/>
  <c r="AY79" i="3"/>
  <c r="AY240" i="3"/>
  <c r="AY130" i="3"/>
  <c r="AY243" i="3"/>
  <c r="AY462" i="3"/>
  <c r="AY51" i="3"/>
  <c r="AY94" i="3"/>
  <c r="AY511" i="3"/>
  <c r="AY536" i="3"/>
  <c r="BJ6" i="3"/>
  <c r="AY535" i="3"/>
  <c r="AY523" i="3"/>
  <c r="AY145" i="3"/>
  <c r="AY141" i="3"/>
  <c r="AY81" i="3"/>
  <c r="AY305" i="3"/>
  <c r="AY253" i="3"/>
  <c r="AY32" i="3"/>
  <c r="AY407" i="3"/>
  <c r="AY48" i="3"/>
  <c r="BP6" i="3"/>
  <c r="AY495" i="3"/>
  <c r="AY61" i="3"/>
  <c r="AY480" i="3"/>
  <c r="AY363" i="3"/>
  <c r="AY237" i="3"/>
  <c r="AY358" i="3"/>
  <c r="AY339" i="3"/>
  <c r="AY59" i="3"/>
  <c r="AY223" i="3"/>
  <c r="AY547" i="3"/>
  <c r="AY306" i="3"/>
  <c r="AY235" i="3"/>
  <c r="AY332" i="3"/>
  <c r="AY331" i="3"/>
  <c r="AY270" i="3"/>
  <c r="AY487" i="3"/>
  <c r="AY571" i="3"/>
  <c r="AY509" i="3"/>
  <c r="AY554" i="3"/>
  <c r="AY539" i="3"/>
  <c r="AY532" i="3"/>
  <c r="AY564" i="3"/>
  <c r="AY275" i="3"/>
  <c r="AY258" i="3"/>
  <c r="AY295" i="3"/>
  <c r="AY437" i="3"/>
  <c r="AY360" i="3"/>
  <c r="AY268" i="3"/>
  <c r="AY494" i="3"/>
  <c r="AY276" i="3"/>
  <c r="AY488" i="3"/>
  <c r="AY503" i="3"/>
  <c r="AY113" i="3"/>
  <c r="AY451" i="3"/>
  <c r="AY299" i="3"/>
  <c r="AY387" i="3"/>
  <c r="AY460" i="3"/>
  <c r="AY185" i="3"/>
  <c r="AY56" i="3"/>
  <c r="AY444" i="3"/>
  <c r="AY108" i="3"/>
  <c r="AY313" i="3"/>
  <c r="AY261" i="3"/>
  <c r="AY334" i="3"/>
  <c r="AY196" i="3"/>
  <c r="AY165" i="3"/>
  <c r="AY570" i="3"/>
  <c r="AY255" i="3"/>
  <c r="AY521" i="3"/>
  <c r="AY354" i="3"/>
  <c r="BE6" i="3"/>
  <c r="AY121" i="3"/>
  <c r="AY508" i="3"/>
  <c r="AY177" i="3"/>
  <c r="AY231" i="3"/>
  <c r="AY541" i="3"/>
  <c r="AY439" i="3"/>
  <c r="AY477" i="3"/>
  <c r="AY309" i="3"/>
  <c r="AY316" i="3"/>
  <c r="AY225" i="3"/>
  <c r="AY396" i="3"/>
  <c r="AY493" i="3"/>
  <c r="AY449" i="3"/>
  <c r="AY510" i="3"/>
  <c r="AY244" i="3"/>
  <c r="AY281" i="3"/>
  <c r="AY513" i="3"/>
  <c r="AY199" i="3"/>
  <c r="AY395" i="3"/>
  <c r="AY345" i="3"/>
  <c r="AY351" i="3"/>
  <c r="AY393" i="3"/>
  <c r="AY119" i="3"/>
  <c r="AY63" i="3"/>
  <c r="AY490" i="3"/>
  <c r="AY89" i="3"/>
  <c r="AY440" i="3"/>
  <c r="AY297" i="3"/>
  <c r="BG6" i="3"/>
  <c r="AY377" i="3"/>
  <c r="BI6" i="3"/>
  <c r="AY164" i="3"/>
  <c r="AY469" i="3"/>
  <c r="AY263" i="3"/>
  <c r="AY524" i="3"/>
  <c r="AY300" i="3"/>
  <c r="AY292" i="3"/>
  <c r="AY409" i="3"/>
  <c r="AY459" i="3"/>
  <c r="AY369" i="3"/>
  <c r="AY429" i="3"/>
  <c r="AY320" i="3"/>
  <c r="AY481" i="3"/>
  <c r="AY526" i="3"/>
  <c r="AY212" i="3"/>
  <c r="AY247" i="3"/>
  <c r="AY534" i="3"/>
  <c r="AY251" i="3"/>
  <c r="AY78" i="3"/>
  <c r="AY478" i="3"/>
  <c r="AY353" i="3"/>
  <c r="AY375" i="3"/>
  <c r="AY434" i="3"/>
  <c r="AY284" i="3"/>
  <c r="AY506" i="3"/>
  <c r="AY93" i="3"/>
  <c r="AY419" i="3"/>
  <c r="AY475" i="3"/>
  <c r="AY473" i="3"/>
  <c r="AY551" i="3"/>
  <c r="AY167" i="3"/>
  <c r="AY180" i="3"/>
  <c r="AY452" i="3"/>
  <c r="AY486" i="3"/>
  <c r="AY170" i="3"/>
  <c r="AY168" i="3"/>
  <c r="AY450" i="3"/>
  <c r="AY278" i="3"/>
  <c r="AY330" i="3"/>
  <c r="AY525" i="3"/>
  <c r="AY567" i="3"/>
  <c r="AY401" i="3"/>
  <c r="AY215" i="3"/>
  <c r="AY553" i="3"/>
  <c r="AY267" i="3"/>
  <c r="AY23" i="3"/>
  <c r="AY90" i="3"/>
  <c r="AY545" i="3"/>
  <c r="AY173" i="3"/>
  <c r="AY344" i="3"/>
  <c r="AY433" i="3"/>
  <c r="AY522" i="3"/>
  <c r="AY190" i="3"/>
  <c r="AY455" i="3"/>
  <c r="AY33" i="3"/>
  <c r="AY421" i="3"/>
  <c r="AY362" i="3"/>
  <c r="AY205" i="3"/>
  <c r="AY252" i="3"/>
  <c r="BM6" i="3"/>
  <c r="AY260" i="3"/>
  <c r="AY423" i="3"/>
  <c r="AY228" i="3"/>
  <c r="AY18" i="3"/>
  <c r="S12" i="40"/>
  <c r="F31" i="6"/>
  <c r="E27" i="6"/>
  <c r="C47" i="15"/>
  <c r="C65" i="15" s="1"/>
  <c r="C115" i="46"/>
  <c r="D113" i="46" s="1"/>
  <c r="C10" i="15"/>
  <c r="C5" i="15" s="1"/>
  <c r="C38" i="15" s="1"/>
  <c r="C15" i="12"/>
  <c r="C30" i="46"/>
  <c r="E30" i="46" s="1"/>
  <c r="E29" i="46"/>
  <c r="J26" i="44"/>
  <c r="J20" i="44"/>
  <c r="J28" i="44"/>
  <c r="J31" i="44" s="1"/>
  <c r="J26" i="15"/>
  <c r="J29" i="15" s="1"/>
  <c r="J24" i="15"/>
  <c r="J18" i="15"/>
  <c r="C40" i="44"/>
  <c r="C34" i="44"/>
  <c r="F24" i="15"/>
  <c r="C24" i="15" s="1"/>
  <c r="F26" i="44"/>
  <c r="C26" i="44" s="1"/>
  <c r="F21" i="43"/>
  <c r="F26" i="12"/>
  <c r="L52" i="44"/>
  <c r="E48" i="21" l="1"/>
  <c r="R49" i="21"/>
  <c r="G59" i="34"/>
  <c r="C38" i="35"/>
  <c r="C39" i="35"/>
  <c r="B3" i="35" s="1"/>
  <c r="B2" i="35" s="1"/>
  <c r="I52" i="21"/>
  <c r="J52" i="21" s="1"/>
  <c r="I53" i="21"/>
  <c r="J53" i="21" s="1"/>
  <c r="H58" i="33"/>
  <c r="F7" i="37"/>
  <c r="T6" i="46"/>
  <c r="V6" i="46" s="1"/>
  <c r="T7" i="46"/>
  <c r="V7" i="46" s="1"/>
  <c r="T3" i="46"/>
  <c r="V3" i="46" s="1"/>
  <c r="G52" i="70"/>
  <c r="H52" i="70" s="1"/>
  <c r="G53" i="70"/>
  <c r="H53" i="70" s="1"/>
  <c r="G46" i="36"/>
  <c r="J7" i="37"/>
  <c r="I53" i="70"/>
  <c r="J53" i="70" s="1"/>
  <c r="E43" i="35"/>
  <c r="F43" i="35" s="1"/>
  <c r="E42" i="35"/>
  <c r="F42" i="35" s="1"/>
  <c r="I43" i="35"/>
  <c r="J43" i="35" s="1"/>
  <c r="AB7" i="37"/>
  <c r="T42" i="37" s="1"/>
  <c r="G42" i="37" s="1"/>
  <c r="U7" i="37"/>
  <c r="J67" i="40"/>
  <c r="K65" i="40"/>
  <c r="F72" i="39"/>
  <c r="G70" i="39"/>
  <c r="C33" i="46"/>
  <c r="C34" i="46"/>
  <c r="C35" i="46"/>
  <c r="C36" i="46"/>
  <c r="C37" i="46"/>
  <c r="T14" i="46"/>
  <c r="V14" i="46" s="1"/>
  <c r="T13" i="46"/>
  <c r="V13" i="46" s="1"/>
  <c r="T8" i="46"/>
  <c r="V8" i="46" s="1"/>
  <c r="T16" i="46"/>
  <c r="V16" i="46" s="1"/>
  <c r="T15" i="46"/>
  <c r="V15" i="46" s="1"/>
  <c r="C38" i="46"/>
  <c r="T10" i="46"/>
  <c r="V10" i="46" s="1"/>
  <c r="T9" i="46"/>
  <c r="V9" i="46" s="1"/>
  <c r="C39" i="46"/>
  <c r="T12" i="46"/>
  <c r="V12" i="46" s="1"/>
  <c r="T11" i="46"/>
  <c r="V11" i="46" s="1"/>
  <c r="R49" i="70"/>
  <c r="E6" i="3"/>
  <c r="C106" i="9"/>
  <c r="C107" i="9" s="1"/>
  <c r="C105" i="9" s="1"/>
  <c r="K38" i="9"/>
  <c r="C14" i="66" s="1"/>
  <c r="B2" i="66" s="1"/>
  <c r="D7" i="66" s="1"/>
  <c r="E45" i="9"/>
  <c r="F45" i="9"/>
  <c r="C22" i="4"/>
  <c r="D6" i="6"/>
  <c r="D9" i="6"/>
  <c r="D5" i="6"/>
  <c r="E68" i="39"/>
  <c r="E63" i="40"/>
  <c r="D11" i="6"/>
  <c r="D22" i="6"/>
  <c r="D21" i="6"/>
  <c r="D28" i="6"/>
  <c r="D23" i="6"/>
  <c r="D29" i="6"/>
  <c r="D19" i="6"/>
  <c r="D20" i="6"/>
  <c r="D24" i="6"/>
  <c r="C40" i="39"/>
  <c r="D25" i="6"/>
  <c r="D26" i="6"/>
  <c r="D10" i="6"/>
  <c r="D13" i="6"/>
  <c r="D12" i="6"/>
  <c r="D8" i="6"/>
  <c r="D15" i="6"/>
  <c r="D14" i="6"/>
  <c r="C11" i="11"/>
  <c r="C10" i="11" s="1"/>
  <c r="C20" i="12"/>
  <c r="O14" i="1"/>
  <c r="M16" i="1"/>
  <c r="C59" i="15"/>
  <c r="C32" i="15"/>
  <c r="C60" i="15"/>
  <c r="C33" i="15"/>
  <c r="K19" i="6"/>
  <c r="K22" i="6"/>
  <c r="K21" i="6"/>
  <c r="K26" i="6"/>
  <c r="M26" i="6" s="1"/>
  <c r="I26" i="6" s="1"/>
  <c r="K24" i="6"/>
  <c r="M24" i="6" s="1"/>
  <c r="I24" i="6" s="1"/>
  <c r="K23" i="6"/>
  <c r="M23" i="6" s="1"/>
  <c r="I23" i="6" s="1"/>
  <c r="K25" i="6"/>
  <c r="M25" i="6" s="1"/>
  <c r="I25" i="6" s="1"/>
  <c r="K20" i="6"/>
  <c r="E31" i="6"/>
  <c r="Q69" i="44"/>
  <c r="L58" i="44"/>
  <c r="L61" i="44" s="1"/>
  <c r="C23" i="43"/>
  <c r="D21" i="43" s="1"/>
  <c r="Q49" i="44"/>
  <c r="Q55" i="44" s="1"/>
  <c r="Q58" i="44"/>
  <c r="Q67" i="44"/>
  <c r="C27" i="12"/>
  <c r="D26" i="12" s="1"/>
  <c r="C32" i="12" s="1"/>
  <c r="D30" i="12" s="1"/>
  <c r="C48" i="70" l="1"/>
  <c r="C49" i="70"/>
  <c r="B3" i="70" s="1"/>
  <c r="G39" i="46"/>
  <c r="I39" i="46" s="1"/>
  <c r="E39" i="46"/>
  <c r="G36" i="46"/>
  <c r="I36" i="46" s="1"/>
  <c r="E36" i="46"/>
  <c r="G34" i="46"/>
  <c r="I34" i="46" s="1"/>
  <c r="E34" i="46"/>
  <c r="G72" i="39"/>
  <c r="H70" i="39"/>
  <c r="K67" i="40"/>
  <c r="L65" i="40"/>
  <c r="AC7" i="37"/>
  <c r="V42" i="37" s="1"/>
  <c r="I42" i="37" s="1"/>
  <c r="W7" i="37"/>
  <c r="H46" i="36"/>
  <c r="S7" i="37"/>
  <c r="AA7" i="37"/>
  <c r="R42" i="37" s="1"/>
  <c r="I58" i="33"/>
  <c r="H59" i="34"/>
  <c r="E52" i="21"/>
  <c r="F52" i="21" s="1"/>
  <c r="E53" i="21"/>
  <c r="F53" i="21" s="1"/>
  <c r="D30" i="6"/>
  <c r="E38" i="46"/>
  <c r="G38" i="46"/>
  <c r="I38" i="46" s="1"/>
  <c r="G37" i="46"/>
  <c r="I37" i="46" s="1"/>
  <c r="E37" i="46"/>
  <c r="G35" i="46"/>
  <c r="I35" i="46" s="1"/>
  <c r="E35" i="46"/>
  <c r="E33" i="46"/>
  <c r="G33" i="46"/>
  <c r="I33" i="46" s="1"/>
  <c r="C27" i="46" s="1"/>
  <c r="G46" i="37"/>
  <c r="H46" i="37" s="1"/>
  <c r="G47" i="37"/>
  <c r="H47" i="37" s="1"/>
  <c r="C48" i="21"/>
  <c r="C49" i="21"/>
  <c r="B3" i="21" s="1"/>
  <c r="D27" i="6"/>
  <c r="D31" i="6" s="1"/>
  <c r="I6" i="6" s="1"/>
  <c r="C13" i="39" s="1"/>
  <c r="N16" i="1"/>
  <c r="C29" i="43" s="1"/>
  <c r="L16" i="1"/>
  <c r="C13" i="43"/>
  <c r="D16" i="6"/>
  <c r="P14" i="1"/>
  <c r="P16" i="1" s="1"/>
  <c r="C13" i="12" s="1"/>
  <c r="O16" i="1"/>
  <c r="C18" i="11"/>
  <c r="C17" i="11"/>
  <c r="A6" i="51"/>
  <c r="B7" i="63" s="1"/>
  <c r="N5" i="54"/>
  <c r="B43" i="63" s="1"/>
  <c r="A20" i="64"/>
  <c r="A20" i="51"/>
  <c r="B15" i="63" s="1"/>
  <c r="A6" i="64"/>
  <c r="H40" i="39"/>
  <c r="F40" i="39"/>
  <c r="J40" i="39"/>
  <c r="S25" i="6"/>
  <c r="H25" i="6"/>
  <c r="R25" i="6" s="1"/>
  <c r="H24" i="6"/>
  <c r="R24" i="6" s="1"/>
  <c r="S24" i="6"/>
  <c r="S8" i="1"/>
  <c r="M21" i="6"/>
  <c r="I21" i="6" s="1"/>
  <c r="K27" i="6"/>
  <c r="M19" i="6"/>
  <c r="S6" i="1"/>
  <c r="S7" i="1"/>
  <c r="M20" i="6"/>
  <c r="I20" i="6" s="1"/>
  <c r="S23" i="6"/>
  <c r="H23" i="6"/>
  <c r="R23" i="6" s="1"/>
  <c r="H26" i="6"/>
  <c r="R26" i="6" s="1"/>
  <c r="S26" i="6"/>
  <c r="M22" i="6"/>
  <c r="I22" i="6" s="1"/>
  <c r="S9" i="1"/>
  <c r="Q59" i="44"/>
  <c r="Q64" i="44" s="1"/>
  <c r="Q68" i="44"/>
  <c r="Q77" i="44" s="1"/>
  <c r="F7" i="67"/>
  <c r="C17" i="15"/>
  <c r="E4" i="67" l="1"/>
  <c r="E42" i="37"/>
  <c r="R43" i="37"/>
  <c r="L67" i="40"/>
  <c r="M65" i="40"/>
  <c r="H72" i="39"/>
  <c r="I70" i="39"/>
  <c r="E8" i="12"/>
  <c r="E10" i="12" s="1"/>
  <c r="B2" i="70"/>
  <c r="C8" i="12"/>
  <c r="C10" i="12" s="1"/>
  <c r="B2" i="21"/>
  <c r="C26" i="46"/>
  <c r="I59" i="34"/>
  <c r="J58" i="33"/>
  <c r="I46" i="36"/>
  <c r="I46" i="37"/>
  <c r="J46" i="37" s="1"/>
  <c r="I47" i="37"/>
  <c r="J47" i="37" s="1"/>
  <c r="C19" i="11"/>
  <c r="C20" i="11" s="1"/>
  <c r="C21" i="11" s="1"/>
  <c r="C22" i="11" s="1"/>
  <c r="C23" i="11" s="1"/>
  <c r="B2" i="11" s="1"/>
  <c r="B5" i="11" s="1"/>
  <c r="I5" i="6"/>
  <c r="C14" i="12"/>
  <c r="C17" i="12"/>
  <c r="C14" i="43"/>
  <c r="C17" i="43"/>
  <c r="W40" i="39"/>
  <c r="AC40" i="39"/>
  <c r="AA40" i="39"/>
  <c r="S40" i="39"/>
  <c r="AB40" i="39"/>
  <c r="U40" i="39"/>
  <c r="J13" i="39"/>
  <c r="H13" i="39"/>
  <c r="F13" i="39"/>
  <c r="H20" i="6"/>
  <c r="R20" i="6" s="1"/>
  <c r="R7" i="1" s="1"/>
  <c r="S20" i="6"/>
  <c r="S16" i="1"/>
  <c r="T8" i="1" s="1"/>
  <c r="S22" i="6"/>
  <c r="H22" i="6"/>
  <c r="R22" i="6" s="1"/>
  <c r="R9" i="1" s="1"/>
  <c r="M27" i="6"/>
  <c r="I19" i="6"/>
  <c r="H21" i="6"/>
  <c r="R21" i="6" s="1"/>
  <c r="R8" i="1" s="1"/>
  <c r="S21" i="6"/>
  <c r="E7" i="67"/>
  <c r="M21" i="15"/>
  <c r="F35" i="15"/>
  <c r="E3" i="67" l="1"/>
  <c r="K58" i="33"/>
  <c r="L58" i="33" s="1"/>
  <c r="M58" i="33" s="1"/>
  <c r="N58" i="33" s="1"/>
  <c r="O58" i="33" s="1"/>
  <c r="J7" i="33" s="1"/>
  <c r="F7" i="33"/>
  <c r="B2" i="46"/>
  <c r="E47" i="37"/>
  <c r="F47" i="37" s="1"/>
  <c r="E46" i="37"/>
  <c r="F46" i="37" s="1"/>
  <c r="J46" i="36"/>
  <c r="H7" i="33"/>
  <c r="J59" i="34"/>
  <c r="K59" i="34" s="1"/>
  <c r="L59" i="34" s="1"/>
  <c r="M59" i="34" s="1"/>
  <c r="N59" i="34" s="1"/>
  <c r="O59" i="34" s="1"/>
  <c r="F7" i="34"/>
  <c r="I72" i="39"/>
  <c r="J70" i="39"/>
  <c r="N65" i="40"/>
  <c r="N67" i="40" s="1"/>
  <c r="F9" i="40" s="1"/>
  <c r="M67" i="40"/>
  <c r="J9" i="40" s="1"/>
  <c r="C43" i="37"/>
  <c r="B3" i="37" s="1"/>
  <c r="B2" i="37" s="1"/>
  <c r="C42" i="37"/>
  <c r="B3" i="11"/>
  <c r="C18" i="12"/>
  <c r="C109" i="9" s="1"/>
  <c r="C110" i="9" s="1"/>
  <c r="B4" i="11"/>
  <c r="C18" i="43"/>
  <c r="AB13" i="39"/>
  <c r="U13" i="39"/>
  <c r="AC13" i="39"/>
  <c r="W13" i="39"/>
  <c r="AA13" i="39"/>
  <c r="S13" i="39"/>
  <c r="J20" i="15"/>
  <c r="C34" i="15"/>
  <c r="C31" i="15" s="1"/>
  <c r="F62" i="15"/>
  <c r="C61" i="15" s="1"/>
  <c r="C58" i="15" s="1"/>
  <c r="T13" i="1"/>
  <c r="T11" i="1"/>
  <c r="T10" i="1"/>
  <c r="T12" i="1"/>
  <c r="I27" i="6"/>
  <c r="S19" i="6"/>
  <c r="S27" i="6" s="1"/>
  <c r="H19" i="6"/>
  <c r="T7" i="1"/>
  <c r="T6" i="1"/>
  <c r="T9" i="1"/>
  <c r="C16" i="44"/>
  <c r="C14" i="15"/>
  <c r="B7" i="67"/>
  <c r="B2" i="67" l="1"/>
  <c r="AC9" i="40"/>
  <c r="V44" i="40" s="1"/>
  <c r="I44" i="40" s="1"/>
  <c r="W9" i="40"/>
  <c r="AA9" i="40"/>
  <c r="R44" i="40" s="1"/>
  <c r="S9" i="40"/>
  <c r="J72" i="39"/>
  <c r="K70" i="39"/>
  <c r="AA7" i="34"/>
  <c r="R49" i="34" s="1"/>
  <c r="S7" i="34"/>
  <c r="U7" i="33"/>
  <c r="AB7" i="33"/>
  <c r="T48" i="33" s="1"/>
  <c r="G48" i="33" s="1"/>
  <c r="K46" i="36"/>
  <c r="H9" i="40"/>
  <c r="D4" i="46"/>
  <c r="B4" i="46"/>
  <c r="B3" i="46"/>
  <c r="AC7" i="33"/>
  <c r="V48" i="33" s="1"/>
  <c r="I48" i="33" s="1"/>
  <c r="I52" i="33" s="1"/>
  <c r="J52" i="33" s="1"/>
  <c r="W7" i="33"/>
  <c r="H7" i="34"/>
  <c r="J7" i="34"/>
  <c r="AA7" i="33"/>
  <c r="R48" i="33" s="1"/>
  <c r="S7" i="33"/>
  <c r="C23" i="12"/>
  <c r="C19" i="43"/>
  <c r="C25" i="43" s="1"/>
  <c r="C24" i="43" s="1"/>
  <c r="C20" i="44"/>
  <c r="C17" i="44"/>
  <c r="C15" i="15"/>
  <c r="C18" i="15"/>
  <c r="R19" i="6"/>
  <c r="H27" i="6"/>
  <c r="T16" i="1"/>
  <c r="AC7" i="34" l="1"/>
  <c r="V49" i="34" s="1"/>
  <c r="I49" i="34" s="1"/>
  <c r="W7" i="34"/>
  <c r="R49" i="33"/>
  <c r="E48" i="33"/>
  <c r="AB7" i="34"/>
  <c r="T49" i="34" s="1"/>
  <c r="G49" i="34" s="1"/>
  <c r="U7" i="34"/>
  <c r="L46" i="36"/>
  <c r="R50" i="34"/>
  <c r="E49" i="34"/>
  <c r="E44" i="40"/>
  <c r="R45" i="40"/>
  <c r="I49" i="40"/>
  <c r="J49" i="40" s="1"/>
  <c r="I48" i="40"/>
  <c r="J48" i="40" s="1"/>
  <c r="AB9" i="40"/>
  <c r="T44" i="40" s="1"/>
  <c r="G44" i="40" s="1"/>
  <c r="U9" i="40"/>
  <c r="G52" i="33"/>
  <c r="H52" i="33" s="1"/>
  <c r="G53" i="33"/>
  <c r="H53" i="33" s="1"/>
  <c r="K72" i="39"/>
  <c r="L70" i="39"/>
  <c r="B4" i="67"/>
  <c r="B3" i="67"/>
  <c r="C22" i="43"/>
  <c r="C21" i="43" s="1"/>
  <c r="C28" i="43" s="1"/>
  <c r="C30" i="43" s="1"/>
  <c r="C32" i="43" s="1"/>
  <c r="B2" i="43" s="1"/>
  <c r="C21" i="44"/>
  <c r="C22" i="44" s="1"/>
  <c r="C25" i="44" s="1"/>
  <c r="C19" i="15"/>
  <c r="C20" i="15" s="1"/>
  <c r="C26" i="15" s="1"/>
  <c r="R6" i="1"/>
  <c r="R16" i="1" s="1"/>
  <c r="R27" i="6"/>
  <c r="G49" i="40" l="1"/>
  <c r="H49" i="40" s="1"/>
  <c r="G48" i="40"/>
  <c r="H48" i="40" s="1"/>
  <c r="E49" i="40"/>
  <c r="F49" i="40" s="1"/>
  <c r="E48" i="40"/>
  <c r="F48" i="40" s="1"/>
  <c r="C49" i="34"/>
  <c r="C50" i="34"/>
  <c r="B3" i="34" s="1"/>
  <c r="B2" i="34" s="1"/>
  <c r="M46" i="36"/>
  <c r="N46" i="36" s="1"/>
  <c r="O46" i="36" s="1"/>
  <c r="F7" i="36" s="1"/>
  <c r="J7" i="36"/>
  <c r="H7" i="36"/>
  <c r="G53" i="34"/>
  <c r="H53" i="34" s="1"/>
  <c r="G54" i="34"/>
  <c r="H54" i="34" s="1"/>
  <c r="C49" i="33"/>
  <c r="B3" i="33" s="1"/>
  <c r="C48" i="33"/>
  <c r="L72" i="39"/>
  <c r="M70" i="39"/>
  <c r="C45" i="40"/>
  <c r="C44" i="40"/>
  <c r="E54" i="34"/>
  <c r="F54" i="34" s="1"/>
  <c r="E53" i="34"/>
  <c r="F53" i="34" s="1"/>
  <c r="I53" i="33"/>
  <c r="J53" i="33" s="1"/>
  <c r="E52" i="33"/>
  <c r="F52" i="33" s="1"/>
  <c r="E53" i="33"/>
  <c r="F53" i="33" s="1"/>
  <c r="I53" i="34"/>
  <c r="J53" i="34" s="1"/>
  <c r="I54" i="34"/>
  <c r="J54" i="34" s="1"/>
  <c r="B5" i="43"/>
  <c r="B4" i="43"/>
  <c r="B3" i="43"/>
  <c r="C23" i="15"/>
  <c r="C29" i="15" s="1"/>
  <c r="C36" i="15" s="1"/>
  <c r="C28" i="44"/>
  <c r="C31" i="44" s="1"/>
  <c r="B57" i="40" l="1"/>
  <c r="F57" i="40" s="1"/>
  <c r="B59" i="40"/>
  <c r="F59" i="40" s="1"/>
  <c r="B61" i="40"/>
  <c r="F61" i="40" s="1"/>
  <c r="B53" i="40"/>
  <c r="F53" i="40" s="1"/>
  <c r="B58" i="40"/>
  <c r="F58" i="40" s="1"/>
  <c r="B55" i="40"/>
  <c r="F55" i="40" s="1"/>
  <c r="B60" i="40"/>
  <c r="F60" i="40" s="1"/>
  <c r="B62" i="40"/>
  <c r="F62" i="40" s="1"/>
  <c r="B54" i="40"/>
  <c r="F54" i="40" s="1"/>
  <c r="B56" i="40"/>
  <c r="F56" i="40" s="1"/>
  <c r="F63" i="40"/>
  <c r="B2" i="40" s="1"/>
  <c r="F8" i="12"/>
  <c r="B2" i="33"/>
  <c r="F10" i="12" s="1"/>
  <c r="C6" i="12" s="1"/>
  <c r="W7" i="36"/>
  <c r="AC7" i="36"/>
  <c r="V36" i="36" s="1"/>
  <c r="I36" i="36" s="1"/>
  <c r="M72" i="39"/>
  <c r="N70" i="39"/>
  <c r="N72" i="39" s="1"/>
  <c r="AB7" i="36"/>
  <c r="T36" i="36" s="1"/>
  <c r="G36" i="36" s="1"/>
  <c r="U7" i="36"/>
  <c r="AA7" i="36"/>
  <c r="R36" i="36" s="1"/>
  <c r="S7" i="36"/>
  <c r="J59" i="15"/>
  <c r="J60" i="15" s="1"/>
  <c r="Q49" i="15" s="1"/>
  <c r="J14" i="15"/>
  <c r="J13" i="15" s="1"/>
  <c r="J23" i="15" s="1"/>
  <c r="J19" i="15"/>
  <c r="J17" i="15" s="1"/>
  <c r="Q50" i="15"/>
  <c r="C13" i="15"/>
  <c r="J35" i="15" s="1"/>
  <c r="C56" i="15"/>
  <c r="C63" i="15" s="1"/>
  <c r="C35" i="44"/>
  <c r="C33" i="44" s="1"/>
  <c r="Q51" i="44"/>
  <c r="J16" i="44"/>
  <c r="C15" i="44"/>
  <c r="J21" i="44"/>
  <c r="J19" i="44" s="1"/>
  <c r="C38" i="44"/>
  <c r="E36" i="36" l="1"/>
  <c r="R37" i="36"/>
  <c r="G41" i="36"/>
  <c r="H41" i="36" s="1"/>
  <c r="G40" i="36"/>
  <c r="H40" i="36" s="1"/>
  <c r="H9" i="39"/>
  <c r="J9" i="39"/>
  <c r="F9" i="39"/>
  <c r="I40" i="36"/>
  <c r="J40" i="36" s="1"/>
  <c r="I41" i="36"/>
  <c r="J41" i="36" s="1"/>
  <c r="C29" i="12"/>
  <c r="C24" i="12"/>
  <c r="B5" i="40"/>
  <c r="B4" i="40"/>
  <c r="B3" i="40"/>
  <c r="J22" i="15"/>
  <c r="J16" i="15" s="1"/>
  <c r="J25" i="15" s="1"/>
  <c r="C37" i="15"/>
  <c r="C30" i="15" s="1"/>
  <c r="C39" i="15" s="1"/>
  <c r="Q70" i="15" s="1"/>
  <c r="C55" i="15"/>
  <c r="C64" i="15" s="1"/>
  <c r="C57" i="15" s="1"/>
  <c r="C66" i="15" s="1"/>
  <c r="C67" i="15" s="1"/>
  <c r="C70" i="15" s="1"/>
  <c r="Q71" i="15"/>
  <c r="Q72" i="44"/>
  <c r="C39" i="44"/>
  <c r="C32" i="44" s="1"/>
  <c r="C42" i="44" s="1"/>
  <c r="C43" i="44"/>
  <c r="J24" i="44"/>
  <c r="J15" i="44"/>
  <c r="J25" i="44" s="1"/>
  <c r="C28" i="12" l="1"/>
  <c r="C26" i="12" s="1"/>
  <c r="C31" i="12" s="1"/>
  <c r="C30" i="12" s="1"/>
  <c r="C35" i="12"/>
  <c r="C33" i="12" s="1"/>
  <c r="AC9" i="39"/>
  <c r="V49" i="39" s="1"/>
  <c r="I49" i="39" s="1"/>
  <c r="W9" i="39"/>
  <c r="C37" i="36"/>
  <c r="B3" i="36" s="1"/>
  <c r="B2" i="36" s="1"/>
  <c r="C36" i="36"/>
  <c r="AA9" i="39"/>
  <c r="R49" i="39" s="1"/>
  <c r="S9" i="39"/>
  <c r="AB9" i="39"/>
  <c r="T49" i="39" s="1"/>
  <c r="G49" i="39" s="1"/>
  <c r="U9" i="39"/>
  <c r="E40" i="36"/>
  <c r="F40" i="36" s="1"/>
  <c r="E41" i="36"/>
  <c r="F41" i="36" s="1"/>
  <c r="J39" i="15"/>
  <c r="J40" i="15" s="1"/>
  <c r="C40" i="15"/>
  <c r="B2" i="15" s="1"/>
  <c r="B3" i="15" s="1"/>
  <c r="Q69" i="15"/>
  <c r="J18" i="44"/>
  <c r="J27" i="44" s="1"/>
  <c r="C44" i="44"/>
  <c r="C45" i="44" s="1"/>
  <c r="B2" i="44" s="1"/>
  <c r="Q71" i="44"/>
  <c r="Q70" i="44" s="1"/>
  <c r="L51" i="15"/>
  <c r="G54" i="39" l="1"/>
  <c r="H54" i="39" s="1"/>
  <c r="G53" i="39"/>
  <c r="H53" i="39" s="1"/>
  <c r="C36" i="12"/>
  <c r="B2" i="12" s="1"/>
  <c r="R50" i="39"/>
  <c r="E49" i="39"/>
  <c r="I54" i="39" s="1"/>
  <c r="J54" i="39" s="1"/>
  <c r="I53" i="39"/>
  <c r="J53" i="39" s="1"/>
  <c r="Q68" i="15"/>
  <c r="C46" i="15"/>
  <c r="J42" i="15"/>
  <c r="J43" i="15" s="1"/>
  <c r="Q66" i="15"/>
  <c r="Q76" i="15" s="1"/>
  <c r="Q48" i="15"/>
  <c r="Q54" i="15" s="1"/>
  <c r="Q57" i="15"/>
  <c r="Q63" i="15" s="1"/>
  <c r="C43" i="15"/>
  <c r="B4" i="44"/>
  <c r="B5" i="44"/>
  <c r="B3" i="44"/>
  <c r="D19" i="9"/>
  <c r="L44" i="9" l="1"/>
  <c r="C49" i="39"/>
  <c r="C50" i="39"/>
  <c r="E53" i="39"/>
  <c r="F53" i="39" s="1"/>
  <c r="E54" i="39"/>
  <c r="F54" i="39" s="1"/>
  <c r="B4" i="12"/>
  <c r="B5" i="12"/>
  <c r="B3" i="12"/>
  <c r="D20" i="9"/>
  <c r="D21" i="9"/>
  <c r="B60" i="39" l="1"/>
  <c r="F60" i="39" s="1"/>
  <c r="B59" i="39"/>
  <c r="F59" i="39" s="1"/>
  <c r="B61" i="39"/>
  <c r="F61" i="39" s="1"/>
  <c r="B64" i="39"/>
  <c r="F64" i="39" s="1"/>
  <c r="B66" i="39"/>
  <c r="F66" i="39" s="1"/>
  <c r="B62" i="39"/>
  <c r="F62" i="39" s="1"/>
  <c r="B63" i="39"/>
  <c r="F63" i="39" s="1"/>
  <c r="B65" i="39"/>
  <c r="F65" i="39" s="1"/>
  <c r="B67" i="39"/>
  <c r="F67" i="39" s="1"/>
  <c r="B58" i="39"/>
  <c r="F58" i="39" s="1"/>
  <c r="F68" i="39" l="1"/>
  <c r="B2" i="39" s="1"/>
  <c r="B5" i="39" s="1"/>
  <c r="C19" i="9"/>
  <c r="L43" i="9" l="1"/>
  <c r="G19" i="9"/>
  <c r="G22" i="9" s="1"/>
  <c r="D22" i="9"/>
  <c r="B4" i="39"/>
  <c r="B3" i="39"/>
  <c r="C32" i="9"/>
  <c r="C21" i="9"/>
  <c r="C20" i="9"/>
  <c r="N43" i="9" l="1"/>
  <c r="G21" i="9"/>
  <c r="G20" i="9"/>
  <c r="C42" i="9"/>
  <c r="C35" i="9"/>
  <c r="F42" i="9" s="1"/>
  <c r="O38" i="9"/>
  <c r="C33" i="9"/>
  <c r="C34" i="9"/>
  <c r="O43" i="9"/>
  <c r="D42" i="9" l="1"/>
  <c r="Q5" i="54" s="1"/>
  <c r="B47" i="63" s="1"/>
  <c r="N38" i="9"/>
  <c r="K28" i="9" s="1"/>
  <c r="E42" i="9"/>
  <c r="P5" i="54" s="1"/>
  <c r="B46" i="63" s="1"/>
  <c r="M38" i="9"/>
  <c r="K27" i="9" s="1"/>
  <c r="K25" i="9"/>
  <c r="K26" i="9"/>
  <c r="D63" i="9"/>
  <c r="D14" i="66"/>
  <c r="R5" i="54"/>
  <c r="B48" i="63" s="1"/>
  <c r="N68" i="9"/>
  <c r="C44" i="9"/>
  <c r="F14" i="66" l="1"/>
  <c r="E14" i="66"/>
  <c r="B5" i="66"/>
  <c r="D44" i="9"/>
  <c r="O39" i="9"/>
  <c r="F44" i="9"/>
  <c r="G14" i="66"/>
  <c r="B6" i="66" s="1"/>
  <c r="N69" i="9"/>
  <c r="E44" i="9"/>
  <c r="C111" i="9"/>
  <c r="C104" i="9" s="1"/>
  <c r="C90" i="9"/>
  <c r="C82" i="9"/>
  <c r="C81" i="9" s="1"/>
  <c r="C85" i="9" s="1"/>
  <c r="C86" i="9" s="1"/>
  <c r="D72" i="9" s="1"/>
  <c r="D71" i="9"/>
  <c r="D66" i="9" s="1"/>
  <c r="N72" i="9" s="1"/>
  <c r="C96" i="9"/>
  <c r="C91" i="9" s="1"/>
  <c r="D70" i="9"/>
  <c r="C103" i="9"/>
  <c r="C113" i="9" s="1"/>
  <c r="D73" i="9"/>
  <c r="N73" i="9" s="1"/>
  <c r="C114" i="9" l="1"/>
  <c r="E114" i="9" s="1"/>
  <c r="E115" i="9" s="1"/>
  <c r="M84" i="9"/>
  <c r="N84" i="9" s="1"/>
  <c r="M87" i="9"/>
  <c r="N87" i="9" s="1"/>
  <c r="M88" i="9"/>
  <c r="N88" i="9" s="1"/>
  <c r="M83" i="9"/>
  <c r="N83" i="9" s="1"/>
  <c r="M85" i="9"/>
  <c r="N85" i="9" s="1"/>
  <c r="M86" i="9"/>
  <c r="N86" i="9" s="1"/>
  <c r="C97" i="9"/>
  <c r="D6" i="66"/>
  <c r="C6" i="66"/>
  <c r="K29" i="9"/>
  <c r="K30" i="9" s="1"/>
  <c r="R6" i="54"/>
  <c r="B50" i="63" s="1"/>
  <c r="C5" i="66"/>
  <c r="D5" i="66"/>
  <c r="C98" i="9" l="1"/>
  <c r="E98" i="9" s="1"/>
  <c r="E99" i="9" s="1"/>
  <c r="N89" i="9"/>
  <c r="O89" i="9" s="1"/>
  <c r="C115" i="9"/>
  <c r="D76" i="9" s="1"/>
  <c r="D74" i="9" s="1"/>
  <c r="N74" i="9" s="1"/>
  <c r="O77" i="9" s="1"/>
  <c r="O78" i="9" l="1"/>
  <c r="Q77" i="9"/>
  <c r="N101" i="9"/>
  <c r="O79" i="9"/>
  <c r="C99" i="9"/>
  <c r="O80" i="9" l="1"/>
  <c r="O81" i="9"/>
  <c r="C46" i="9"/>
  <c r="B48" i="9" l="1"/>
  <c r="E46" i="9"/>
  <c r="O41" i="9"/>
  <c r="R8" i="54" s="1"/>
  <c r="B54" i="63" s="1"/>
  <c r="F46" i="9"/>
  <c r="D46" i="9"/>
  <c r="I14" i="66"/>
  <c r="B8" i="66" s="1"/>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<sst xmlns="http://schemas.openxmlformats.org/spreadsheetml/2006/main" count="9373" uniqueCount="3481">
  <si>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</si>
  <si>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</si>
  <si>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</si>
  <si>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</si>
  <si>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</si>
  <si>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</si>
  <si>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</si>
  <si>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</si>
  <si>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</si>
  <si>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</si>
  <si>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</si>
  <si>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</si>
  <si>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</si>
  <si>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</si>
  <si>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</si>
  <si>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</si>
  <si>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</si>
  <si>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</si>
  <si>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</si>
  <si>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</si>
  <si>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</si>
  <si>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</si>
  <si>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</si>
  <si>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</si>
  <si>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</si>
  <si>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</si>
  <si>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</si>
  <si>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</si>
  <si>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</si>
  <si>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</si>
  <si>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</si>
  <si>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</si>
  <si>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</si>
  <si>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</si>
  <si>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</si>
  <si>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</si>
  <si>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</si>
  <si>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</si>
  <si>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</si>
  <si>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</si>
  <si>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</si>
  <si>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</si>
  <si>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</si>
  <si>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</si>
  <si>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</si>
  <si>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</si>
  <si>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</si>
  <si>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</si>
  <si>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</si>
  <si>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</si>
  <si>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</si>
  <si>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</si>
  <si>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</si>
  <si>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</si>
  <si>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</si>
  <si>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</si>
  <si>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</si>
  <si>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</si>
  <si>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</si>
  <si>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</si>
  <si>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</si>
  <si>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</si>
  <si>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</si>
  <si>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</si>
  <si>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</si>
  <si>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</si>
  <si>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</si>
  <si>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</si>
  <si>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</si>
  <si>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</si>
  <si>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</si>
  <si>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</si>
  <si>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</si>
  <si>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</si>
  <si>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</si>
  <si>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</si>
  <si>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</si>
  <si>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</si>
  <si>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</si>
  <si>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</si>
  <si>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</si>
  <si>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</si>
  <si>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</si>
  <si>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</si>
  <si>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</si>
  <si>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</si>
  <si>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</si>
  <si>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</si>
  <si>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</si>
  <si>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</si>
  <si>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</si>
  <si>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</si>
  <si>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</si>
  <si>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</si>
  <si>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</si>
  <si>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</si>
  <si>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</si>
  <si>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</si>
  <si>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</si>
  <si>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</si>
  <si>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</si>
  <si>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</si>
  <si>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</si>
  <si>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</si>
  <si>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</si>
  <si>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</si>
  <si>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</si>
  <si>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</si>
  <si>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</si>
  <si>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</si>
  <si>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</si>
  <si>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</si>
  <si>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</si>
  <si>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</si>
  <si>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</si>
  <si>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</si>
  <si>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</si>
  <si>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</si>
  <si>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</si>
  <si>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</si>
  <si>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</si>
  <si>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</si>
  <si>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</si>
  <si>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</si>
  <si>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</si>
  <si>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</si>
  <si>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</si>
  <si>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</si>
  <si>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</si>
  <si>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</si>
  <si>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</si>
  <si>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</si>
  <si>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</si>
  <si>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</si>
  <si>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</si>
  <si>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</si>
  <si>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</si>
  <si>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</si>
  <si>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</si>
  <si>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</si>
  <si>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</si>
  <si>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</si>
  <si>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</si>
  <si>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</si>
  <si>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</si>
  <si>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</si>
  <si>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</si>
  <si>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</si>
  <si>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</si>
  <si>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</si>
  <si>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</si>
  <si>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</si>
  <si>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</si>
  <si>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</si>
  <si>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</si>
  <si>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</si>
  <si>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</si>
  <si>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</si>
  <si>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</si>
  <si>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</si>
  <si>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</si>
  <si>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</si>
  <si>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</si>
  <si>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</si>
  <si>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</si>
  <si>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</si>
  <si>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</si>
  <si>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</si>
  <si>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</si>
  <si>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</si>
  <si>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</si>
  <si>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</si>
  <si>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</si>
  <si>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</si>
  <si>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</si>
  <si>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</si>
  <si>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</si>
  <si>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</si>
  <si>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</si>
  <si>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</si>
  <si>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</si>
  <si>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</si>
  <si>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</si>
  <si>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</si>
  <si>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</si>
  <si>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</si>
  <si>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</si>
  <si>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</si>
  <si>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</si>
  <si>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</si>
  <si>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</si>
  <si>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</si>
  <si>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</si>
  <si>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</si>
  <si>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</si>
  <si>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</si>
  <si>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</si>
  <si>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</si>
  <si>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</si>
  <si>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</si>
  <si>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</si>
  <si>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</si>
  <si>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</si>
  <si>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</si>
  <si>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</si>
  <si>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</si>
  <si>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</si>
  <si>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</si>
  <si>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</si>
  <si>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</si>
  <si>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</si>
  <si>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</si>
  <si>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</si>
  <si>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</si>
  <si>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</si>
  <si>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</si>
  <si>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</si>
  <si>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</si>
  <si>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</si>
  <si>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</si>
  <si>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</si>
  <si>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</si>
  <si>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</si>
  <si>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</si>
  <si>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</si>
  <si>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</si>
  <si>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</si>
  <si>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</si>
  <si>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</si>
  <si>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</si>
  <si>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</si>
  <si>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</si>
  <si>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</si>
  <si>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</si>
  <si>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</si>
  <si>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</si>
  <si>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</si>
  <si>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</si>
  <si>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</si>
  <si>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</si>
  <si>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</si>
  <si>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</si>
  <si>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</si>
  <si>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</si>
  <si>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</si>
  <si>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</si>
  <si>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</si>
  <si>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</si>
  <si>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</si>
  <si>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</si>
  <si>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</si>
  <si>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</si>
  <si>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</si>
  <si>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</si>
  <si>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</si>
  <si>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</si>
  <si>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</si>
  <si>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</si>
  <si>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</si>
  <si>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</si>
  <si>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</si>
  <si>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</si>
  <si>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</si>
  <si>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</si>
  <si>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</si>
  <si>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</si>
  <si>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</si>
  <si>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</si>
  <si>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</si>
  <si>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</si>
  <si>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</si>
  <si>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</si>
  <si>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</si>
  <si>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</si>
  <si>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</si>
  <si>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</si>
  <si>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</si>
  <si>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</si>
  <si>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</si>
  <si>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</si>
  <si>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</si>
  <si>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</si>
  <si>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</si>
  <si>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</si>
  <si>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</si>
  <si>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</si>
  <si>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</si>
  <si>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</si>
  <si>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</si>
  <si>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</si>
  <si>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</si>
  <si>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</si>
  <si>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</si>
  <si>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</si>
  <si>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</si>
  <si>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</si>
  <si>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</si>
  <si>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</si>
  <si>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</si>
  <si>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</si>
  <si>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</si>
  <si>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</si>
  <si>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</si>
  <si>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</si>
  <si>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</si>
  <si>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</si>
  <si>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</si>
  <si>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</si>
  <si>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</si>
  <si>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</si>
  <si>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</si>
  <si>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</si>
  <si>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</si>
  <si>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</si>
  <si>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</si>
  <si>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</si>
  <si>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</si>
  <si>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</si>
  <si>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</si>
  <si>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</si>
  <si>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</si>
  <si>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</si>
  <si>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</si>
  <si>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</si>
  <si>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</si>
  <si>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</si>
  <si>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</si>
  <si>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</si>
  <si>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</si>
  <si>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</si>
  <si>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</si>
  <si>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</si>
  <si>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</si>
  <si>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</si>
  <si>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</si>
  <si>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</si>
  <si>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</si>
  <si>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</si>
  <si>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</si>
  <si>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</si>
  <si>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</si>
  <si>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</si>
  <si>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</si>
  <si>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</si>
  <si>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</si>
  <si>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</si>
  <si>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</si>
  <si>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</si>
  <si>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</si>
  <si>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</si>
  <si>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</si>
  <si>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</si>
  <si>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</si>
  <si>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</si>
  <si>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</si>
  <si>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</si>
  <si>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</si>
  <si>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</si>
  <si>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</si>
  <si>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</si>
  <si>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</si>
  <si>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</si>
  <si>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</si>
  <si>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</si>
  <si>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</si>
  <si>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</si>
  <si>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</si>
  <si>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</si>
  <si>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</si>
  <si>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</si>
  <si>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</si>
  <si>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</si>
  <si>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</si>
  <si>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</si>
  <si>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</si>
  <si>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</si>
  <si>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</si>
  <si>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</si>
  <si>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</si>
  <si>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</si>
  <si>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</si>
  <si>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</si>
  <si>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</si>
  <si>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</si>
  <si>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</si>
  <si>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</si>
  <si>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</si>
  <si>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</si>
  <si>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</si>
  <si>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</si>
  <si>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</si>
  <si>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</si>
  <si>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</si>
  <si>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</si>
  <si>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</si>
  <si>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</si>
  <si>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</si>
  <si>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</si>
  <si>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</si>
  <si>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</si>
  <si>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</si>
  <si>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</si>
  <si>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</si>
  <si>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</si>
  <si>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</si>
  <si>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</si>
  <si>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</si>
  <si>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</si>
  <si>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</si>
  <si>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</si>
  <si>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</si>
  <si>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</si>
  <si>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</si>
  <si>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</si>
  <si>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</si>
  <si>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</si>
  <si>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</si>
  <si>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</si>
  <si>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</si>
  <si>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</si>
  <si>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</si>
  <si>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</si>
  <si>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</si>
  <si>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</si>
  <si>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</si>
  <si>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</si>
  <si>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</si>
  <si>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</si>
  <si>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</si>
  <si>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</si>
  <si>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</si>
  <si>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</si>
  <si>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</si>
  <si>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</si>
  <si>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</si>
  <si>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</si>
  <si>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</si>
  <si>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</si>
  <si>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</si>
  <si>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</si>
  <si>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</si>
  <si>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</si>
  <si>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</si>
  <si>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</si>
  <si>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</si>
  <si>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</si>
  <si>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</si>
  <si>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</si>
  <si>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</si>
  <si>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</si>
  <si>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</si>
  <si>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</si>
  <si>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</si>
  <si>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</si>
  <si>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</si>
  <si>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</si>
  <si>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</si>
  <si>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</si>
  <si>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</si>
  <si>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</si>
  <si>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</si>
  <si>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</si>
  <si>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</si>
  <si>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</si>
  <si>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</si>
  <si>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</si>
  <si>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</si>
  <si>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</si>
  <si>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</si>
  <si>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</si>
  <si>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</si>
  <si>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</si>
  <si>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</si>
  <si>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</si>
  <si>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</si>
  <si>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</si>
  <si>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</si>
  <si>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</si>
  <si>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</si>
  <si>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</si>
  <si>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</si>
  <si>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</si>
  <si>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</si>
  <si>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</si>
  <si>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</si>
  <si>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</si>
  <si>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</si>
  <si>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</si>
  <si>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</si>
  <si>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</si>
  <si>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</si>
  <si>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</si>
  <si>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</si>
  <si>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</si>
  <si>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</si>
  <si>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</si>
  <si>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</si>
  <si>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</si>
  <si>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</si>
  <si>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</si>
  <si>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</si>
  <si>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</si>
  <si>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</si>
  <si>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</si>
  <si>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</si>
  <si>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</si>
  <si>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</si>
  <si>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</si>
  <si>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</si>
  <si>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</si>
  <si>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</si>
  <si>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</si>
  <si>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</si>
  <si>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</si>
  <si>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</si>
  <si>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</si>
  <si>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</si>
  <si>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</si>
  <si>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</si>
  <si>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</si>
  <si>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</si>
  <si>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</si>
  <si>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</si>
  <si>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</si>
  <si>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</si>
  <si>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</si>
  <si>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</si>
  <si>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</si>
  <si>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</si>
  <si>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</si>
  <si>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</si>
  <si>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</si>
  <si>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</si>
  <si>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</si>
  <si>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</si>
  <si>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</si>
  <si>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</si>
  <si>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</si>
  <si>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</si>
  <si>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</si>
  <si>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</si>
  <si>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</si>
  <si>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</si>
  <si>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</si>
  <si>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</si>
  <si>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</si>
  <si>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</si>
  <si>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</si>
  <si>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</si>
  <si>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</si>
  <si>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</si>
  <si>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</si>
  <si>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</si>
  <si>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</si>
  <si>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</si>
  <si>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</si>
  <si>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</si>
  <si>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</si>
  <si>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</si>
  <si>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</si>
  <si>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</si>
  <si>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</si>
  <si>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</si>
  <si>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</si>
  <si>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</si>
  <si>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</si>
  <si>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</si>
  <si>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</si>
  <si>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</si>
  <si>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</si>
  <si>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</si>
  <si>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</si>
  <si>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</si>
  <si>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</si>
  <si>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</si>
  <si>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</si>
  <si>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</si>
  <si>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</si>
  <si>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</si>
  <si>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</si>
  <si>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</si>
  <si>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</si>
  <si>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</si>
  <si>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</si>
  <si>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</si>
  <si>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</si>
  <si>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</si>
  <si>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</si>
  <si>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</si>
  <si>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</si>
  <si>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</si>
  <si>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</si>
  <si>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</si>
  <si>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</si>
  <si>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</si>
  <si>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</si>
  <si>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</si>
  <si>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</si>
  <si>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</si>
  <si>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</si>
  <si>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</si>
  <si>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</si>
  <si>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</si>
  <si>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</si>
  <si>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</si>
  <si>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</si>
  <si>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</si>
  <si>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</si>
  <si>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</si>
  <si>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</si>
  <si>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</si>
  <si>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</si>
  <si>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</si>
  <si>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</si>
  <si>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</si>
  <si>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</si>
  <si>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</si>
  <si>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</si>
  <si>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</si>
  <si>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</si>
  <si>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</si>
  <si>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</si>
  <si>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</si>
  <si>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</si>
  <si>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</si>
  <si>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</si>
  <si>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</si>
  <si>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</si>
  <si>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</si>
  <si>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</si>
  <si>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</si>
  <si>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</si>
  <si>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</si>
  <si>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</si>
  <si>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</si>
  <si>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</si>
  <si>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</si>
  <si>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</si>
  <si>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</si>
  <si>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</si>
  <si>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</si>
  <si>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</si>
  <si>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</si>
  <si>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</si>
  <si>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</si>
  <si>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</si>
  <si>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</si>
  <si>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</si>
  <si>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</si>
  <si>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</si>
  <si>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</si>
  <si>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</si>
  <si>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</si>
  <si>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</si>
  <si>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</si>
  <si>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</si>
  <si>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</si>
  <si>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</si>
  <si>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</si>
  <si>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</si>
  <si>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</si>
  <si>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</si>
  <si>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</si>
  <si>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</si>
  <si>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</si>
  <si>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</si>
  <si>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</si>
  <si>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</si>
  <si>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</si>
  <si>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</si>
  <si>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</si>
  <si>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</si>
  <si>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</si>
  <si>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</si>
  <si>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</si>
  <si>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</si>
  <si>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</si>
  <si>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</si>
  <si>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</si>
  <si>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</si>
  <si>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</si>
  <si>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</si>
  <si>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</si>
  <si>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</si>
  <si>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</si>
  <si>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</si>
  <si>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</si>
  <si>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</si>
  <si>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</si>
  <si>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</si>
  <si>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</si>
  <si>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</si>
  <si>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</si>
  <si>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</si>
  <si>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</si>
  <si>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</si>
  <si>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</si>
  <si>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</si>
  <si>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</si>
  <si>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</si>
  <si>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</si>
  <si>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</si>
  <si>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</si>
  <si>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</si>
  <si>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</si>
  <si>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</si>
  <si>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</si>
  <si>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</si>
  <si>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</si>
  <si>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</si>
  <si>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</si>
  <si>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</si>
  <si>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</si>
  <si>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</si>
  <si>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</si>
  <si>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</si>
  <si>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</si>
  <si>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</si>
  <si>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</si>
  <si>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</si>
  <si>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</si>
  <si>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</si>
  <si>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</si>
  <si>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</si>
  <si>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</si>
  <si>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</si>
  <si>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</si>
  <si>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</si>
  <si>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</si>
  <si>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</si>
  <si>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</si>
  <si>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</si>
  <si>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</si>
  <si>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</si>
  <si>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</si>
  <si>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</si>
  <si>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</si>
  <si>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</si>
  <si>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</si>
  <si>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</si>
  <si>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</si>
  <si>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</si>
  <si>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</si>
  <si>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</si>
  <si>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</si>
  <si>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</si>
  <si>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</si>
  <si>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</si>
  <si>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</si>
  <si>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</si>
  <si>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</si>
  <si>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</si>
  <si>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</si>
  <si>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</si>
  <si>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</si>
  <si>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</si>
  <si>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</si>
  <si>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</si>
  <si>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</si>
  <si>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</si>
  <si>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</si>
  <si>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</si>
  <si>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</si>
  <si>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</si>
  <si>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</si>
  <si>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</si>
  <si>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</si>
  <si>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</si>
  <si>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</si>
  <si>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</si>
  <si>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</si>
  <si>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</si>
  <si>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</si>
  <si>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</si>
  <si>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</si>
  <si>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</si>
  <si>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</si>
  <si>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</si>
  <si>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</si>
  <si>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</si>
  <si>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</si>
  <si>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</si>
  <si>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</si>
  <si>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</si>
  <si>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</si>
  <si>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</si>
  <si>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</si>
  <si>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</si>
  <si>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</si>
  <si>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</si>
  <si>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</si>
  <si>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</si>
  <si>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</si>
  <si>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</si>
  <si>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</si>
  <si>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</si>
  <si>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</si>
  <si>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</si>
  <si>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</si>
  <si>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</si>
  <si>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</si>
  <si>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</si>
  <si>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</si>
  <si>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</si>
  <si>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</si>
  <si>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</si>
  <si>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</si>
  <si>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</si>
  <si>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</si>
  <si>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</si>
  <si>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</si>
  <si>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</si>
  <si>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</si>
  <si>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</si>
  <si>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</si>
  <si>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</si>
  <si>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</si>
  <si>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</si>
  <si>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</si>
  <si>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</si>
  <si>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</si>
  <si>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</si>
  <si>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</si>
  <si>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</si>
  <si>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</si>
  <si>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</si>
  <si>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</si>
  <si>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</si>
  <si>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</si>
  <si>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</si>
  <si>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</si>
  <si>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</si>
  <si>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</si>
  <si>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</si>
  <si>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</si>
  <si>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</si>
  <si>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</si>
  <si>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</si>
  <si>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</si>
  <si>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</si>
  <si>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</si>
  <si>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</si>
  <si>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</si>
  <si>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</si>
  <si>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</si>
  <si>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</si>
  <si>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</si>
  <si>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</si>
  <si>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</si>
  <si>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</si>
  <si>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</si>
  <si>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</si>
  <si>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</si>
  <si>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</si>
  <si>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</si>
  <si>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</si>
  <si>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</si>
  <si>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</si>
  <si>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</si>
  <si>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</si>
  <si>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</si>
  <si>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</si>
  <si>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</si>
  <si>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</si>
  <si>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</si>
  <si>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</si>
  <si>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</si>
  <si>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</si>
  <si>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</si>
  <si>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</si>
  <si>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</si>
  <si>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</si>
  <si>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</si>
  <si>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</si>
  <si>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</si>
  <si>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</si>
  <si>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</si>
  <si>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</si>
  <si>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</si>
  <si>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</si>
  <si>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</si>
  <si>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</si>
  <si>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</si>
  <si>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</si>
  <si>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</si>
  <si>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</si>
  <si>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</si>
  <si>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</si>
  <si>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</si>
  <si>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</si>
  <si>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</si>
  <si>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</si>
  <si>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</si>
  <si>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</si>
  <si>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</si>
  <si>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</si>
  <si>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</si>
  <si>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</si>
  <si>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</si>
  <si>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</si>
  <si>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</si>
  <si>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</si>
  <si>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</si>
  <si>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</si>
  <si>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</si>
  <si>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</si>
  <si>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</si>
  <si>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</si>
  <si>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</si>
  <si>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</si>
  <si>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</si>
  <si>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</si>
  <si>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</si>
  <si>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</si>
  <si>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</si>
  <si>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</si>
  <si>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</si>
  <si>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</si>
  <si>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</si>
  <si>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</si>
  <si>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</si>
  <si>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</si>
  <si>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</si>
  <si>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</si>
  <si>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</si>
  <si>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</si>
  <si>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</si>
  <si>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</si>
  <si>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</si>
  <si>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</si>
  <si>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</si>
  <si>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</si>
  <si>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</si>
  <si>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</si>
  <si>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</si>
  <si>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</si>
  <si>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</si>
  <si>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</si>
  <si>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</si>
  <si>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</si>
  <si>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</si>
  <si>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</si>
  <si>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</si>
  <si>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</si>
  <si>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</si>
  <si>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</si>
  <si>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</si>
  <si>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</si>
  <si>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</si>
  <si>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</si>
  <si>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</si>
  <si>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</si>
  <si>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</si>
  <si>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</si>
  <si>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</si>
  <si>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</si>
  <si>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</si>
  <si>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</si>
  <si>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</si>
  <si>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</si>
  <si>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</si>
  <si>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</si>
  <si>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</si>
  <si>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</si>
  <si>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</si>
  <si>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</si>
  <si>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</si>
  <si>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</si>
  <si>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</si>
  <si>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</si>
  <si>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</si>
  <si>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</si>
  <si>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</si>
  <si>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</si>
  <si>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</si>
  <si>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</si>
  <si>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</si>
  <si>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</si>
  <si>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</si>
  <si>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</si>
  <si>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</si>
  <si>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</si>
  <si>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</si>
  <si>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</si>
  <si>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</si>
  <si>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</si>
  <si>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</si>
  <si>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</si>
  <si>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</si>
  <si>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</si>
  <si>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</si>
  <si>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</si>
  <si>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</si>
  <si>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</si>
  <si>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</si>
  <si>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</si>
  <si>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</si>
  <si>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</si>
  <si>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</si>
  <si>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</si>
  <si>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</si>
  <si>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</si>
  <si>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</si>
  <si>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</si>
  <si>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</si>
  <si>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</si>
  <si>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</si>
  <si>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</si>
  <si>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</si>
  <si>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</si>
  <si>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</si>
  <si>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</si>
  <si>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</si>
  <si>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</si>
  <si>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</si>
  <si>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</si>
  <si>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</si>
  <si>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</si>
  <si>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</si>
  <si>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</si>
  <si>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</si>
  <si>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</si>
  <si>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</si>
  <si>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</si>
  <si>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</si>
  <si>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</si>
  <si>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</si>
  <si>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</si>
  <si>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</si>
  <si>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</si>
  <si>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</si>
  <si>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</si>
  <si>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</si>
  <si>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</si>
  <si>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</si>
  <si>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</si>
  <si>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</si>
  <si>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</si>
  <si>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</si>
  <si>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</si>
  <si>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</si>
  <si>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</si>
  <si>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</si>
  <si>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</si>
  <si>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</si>
  <si>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</si>
  <si>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</si>
  <si>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</si>
  <si>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</si>
  <si>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</si>
  <si>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</si>
  <si>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</si>
  <si>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</si>
  <si>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</si>
  <si>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</si>
  <si>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</si>
  <si>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</si>
  <si>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</si>
  <si>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</si>
  <si>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</si>
  <si>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</si>
  <si>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</si>
  <si>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</si>
  <si>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</si>
  <si>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</si>
  <si>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</si>
  <si>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</si>
  <si>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</si>
  <si>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</si>
  <si>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</si>
  <si>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</si>
  <si>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</si>
  <si>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</si>
  <si>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</si>
  <si>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</si>
  <si>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</si>
  <si>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</si>
  <si>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</si>
  <si>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</si>
  <si>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</si>
  <si>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</si>
  <si>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</si>
  <si>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</si>
  <si>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</si>
  <si>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</si>
  <si>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</si>
  <si>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</si>
  <si>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</si>
  <si>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</si>
  <si>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</si>
  <si>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</si>
  <si>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</si>
  <si>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</si>
  <si>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</si>
  <si>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</si>
  <si>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</si>
  <si>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</si>
  <si>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</si>
  <si>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</si>
  <si>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</si>
  <si>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</si>
  <si>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</si>
  <si>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</si>
  <si>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</si>
  <si>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</si>
  <si>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</si>
  <si>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</si>
  <si>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</si>
  <si>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</si>
  <si>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</si>
  <si>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</si>
  <si>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</si>
  <si>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</si>
  <si>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</si>
  <si>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</si>
  <si>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</si>
  <si>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</si>
  <si>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</si>
  <si>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</si>
  <si>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</si>
  <si>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</si>
  <si>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</si>
  <si>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</si>
  <si>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</si>
  <si>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</si>
  <si>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</si>
  <si>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</si>
  <si>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</si>
  <si>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</si>
  <si>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</si>
  <si>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</si>
  <si>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</si>
  <si>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</si>
  <si>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</si>
  <si>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</si>
  <si>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</si>
  <si>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</si>
  <si>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</si>
  <si>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</si>
  <si>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</si>
  <si>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</si>
  <si>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</si>
  <si>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</si>
  <si>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</si>
  <si>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</si>
  <si>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</si>
  <si>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</si>
  <si>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</si>
  <si>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</si>
  <si>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</si>
  <si>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</si>
  <si>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</si>
  <si>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</si>
  <si>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</si>
  <si>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</si>
  <si>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</si>
  <si>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</si>
  <si>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</si>
  <si>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</si>
  <si>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</si>
  <si>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</si>
  <si>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</si>
  <si>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</si>
  <si>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</si>
  <si>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</si>
  <si>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</si>
  <si>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</si>
  <si>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</si>
  <si>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</si>
  <si>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</si>
  <si>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</si>
  <si>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</si>
  <si>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</si>
  <si>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</si>
  <si>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</si>
  <si>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</si>
  <si>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</si>
  <si>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</si>
  <si>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</si>
  <si>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</si>
  <si>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</si>
  <si>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</si>
  <si>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</si>
  <si>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</si>
  <si>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</si>
  <si>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</si>
  <si>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</si>
  <si>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</si>
  <si>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</si>
  <si>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</si>
  <si>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</si>
  <si>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</si>
  <si>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</si>
  <si>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</si>
  <si>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</si>
  <si>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</si>
  <si>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</si>
  <si>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</si>
  <si>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</si>
  <si>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</si>
  <si>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</si>
  <si>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</si>
  <si>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</si>
  <si>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</si>
  <si>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</si>
  <si>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</si>
  <si>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</si>
  <si>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</si>
  <si>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</si>
  <si>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</si>
  <si>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</si>
  <si>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</si>
  <si>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</si>
  <si>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</si>
  <si>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</si>
  <si>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</si>
  <si>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</si>
  <si>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</si>
  <si>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</si>
  <si>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</si>
  <si>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</si>
  <si>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</si>
  <si>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</si>
  <si>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</si>
  <si>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</si>
  <si>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</si>
  <si>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</si>
  <si>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</si>
  <si>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</si>
  <si>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</si>
  <si>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</si>
  <si>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</si>
  <si>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</si>
  <si>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</si>
  <si>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</si>
  <si>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</si>
  <si>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</si>
  <si>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</si>
  <si>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</si>
  <si>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</si>
  <si>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</si>
  <si>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</si>
  <si>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</si>
  <si>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</si>
  <si>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</si>
  <si>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</si>
  <si>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</si>
  <si>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</si>
  <si>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</si>
  <si>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</si>
  <si>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</si>
  <si>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</si>
  <si>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</si>
  <si>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</si>
  <si>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</si>
  <si>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</si>
  <si>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</si>
  <si>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</si>
  <si>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</si>
  <si>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</si>
  <si>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</si>
  <si>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</si>
  <si>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</si>
  <si>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</si>
  <si>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</si>
  <si>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</si>
  <si>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</si>
  <si>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</si>
  <si>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</si>
  <si>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</si>
  <si>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</si>
  <si>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</si>
  <si>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</si>
  <si>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</si>
  <si>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</si>
  <si>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</si>
  <si>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</si>
  <si>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</si>
  <si>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</si>
  <si>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</si>
  <si>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</si>
  <si>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</si>
  <si>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</si>
  <si>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</si>
  <si>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</si>
  <si>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</si>
  <si>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</si>
  <si>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</si>
  <si>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</si>
  <si>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</si>
  <si>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</si>
  <si>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</si>
  <si>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</si>
  <si>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</si>
  <si>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</si>
  <si>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</si>
  <si>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</si>
  <si>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</si>
  <si>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</si>
  <si>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</si>
  <si>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</si>
  <si>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</si>
  <si>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</si>
  <si>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</si>
  <si>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</si>
  <si>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</si>
  <si>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</si>
  <si>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</si>
  <si>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</si>
  <si>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</si>
  <si>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</si>
  <si>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</si>
  <si>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</si>
  <si>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</si>
  <si>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</si>
  <si>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</si>
  <si>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</si>
  <si>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</si>
  <si>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</si>
  <si>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</si>
  <si>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</si>
  <si>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</si>
  <si>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</si>
  <si>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</si>
  <si>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</si>
  <si>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</si>
  <si>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</si>
  <si>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</si>
  <si>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</si>
  <si>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</si>
  <si>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</si>
  <si>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</si>
  <si>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</si>
  <si>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</si>
  <si>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</si>
  <si>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</si>
  <si>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</si>
  <si>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</si>
  <si>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</si>
  <si>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</si>
  <si>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</si>
  <si>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</si>
  <si>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</si>
  <si>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</si>
  <si>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</si>
  <si>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</si>
  <si>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</si>
  <si>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</si>
  <si>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</si>
  <si>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</si>
  <si>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</si>
  <si>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</si>
  <si>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</si>
  <si>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</si>
  <si>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</si>
  <si>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</si>
  <si>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</si>
  <si>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</si>
  <si>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</si>
  <si>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</si>
  <si>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</si>
  <si>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</si>
  <si>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</si>
  <si>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</si>
  <si>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</si>
  <si>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</si>
  <si>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</si>
  <si>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</si>
  <si>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</si>
  <si>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</si>
  <si>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</si>
  <si>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</si>
  <si>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</si>
  <si>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</si>
  <si>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</si>
  <si>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</si>
  <si>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</si>
  <si>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</si>
  <si>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</si>
  <si>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</si>
  <si>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</si>
  <si>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</si>
  <si>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</si>
  <si>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</si>
  <si>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</si>
  <si>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</si>
  <si>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</si>
  <si>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</si>
  <si>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</si>
  <si>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</si>
  <si>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</si>
  <si>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</si>
  <si>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</si>
  <si>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</si>
  <si>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</si>
  <si>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</si>
  <si>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</si>
  <si>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</si>
  <si>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</si>
  <si>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</si>
  <si>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</si>
  <si>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</si>
  <si>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</si>
  <si>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</si>
  <si>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</si>
  <si>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</si>
  <si>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</si>
  <si>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</si>
  <si>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</si>
  <si>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</si>
  <si>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</si>
  <si>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</si>
  <si>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</si>
  <si>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</si>
  <si>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</si>
  <si>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</si>
  <si>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</si>
  <si>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</si>
  <si>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</si>
  <si>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</si>
  <si>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</si>
  <si>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</si>
  <si>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</si>
  <si>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</si>
  <si>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</si>
  <si>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</si>
  <si>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</si>
  <si>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</si>
  <si>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</si>
  <si>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</si>
  <si>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</si>
  <si>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</si>
  <si>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</si>
  <si>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</si>
  <si>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</si>
  <si>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</si>
  <si>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</si>
  <si>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</si>
  <si>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</si>
  <si>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</si>
  <si>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</si>
  <si>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</si>
  <si>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</si>
  <si>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</si>
  <si>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</si>
  <si>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</si>
  <si>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</si>
  <si>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</si>
  <si>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</si>
  <si>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</si>
  <si>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</si>
  <si>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</si>
  <si>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</si>
  <si>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</si>
  <si>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</si>
  <si>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</si>
  <si>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</si>
  <si>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</si>
  <si>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</si>
  <si>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</si>
  <si>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</si>
  <si>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</si>
  <si>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</si>
  <si>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</si>
  <si>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</si>
  <si>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</si>
  <si>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</si>
  <si>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</si>
  <si>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</si>
  <si>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</si>
  <si>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</si>
  <si>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</si>
  <si>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</si>
  <si>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</si>
  <si>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</si>
  <si>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</si>
  <si>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</si>
  <si>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</si>
  <si>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</si>
  <si>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</si>
  <si>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</si>
  <si>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</si>
  <si>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</si>
  <si>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</si>
  <si>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</si>
  <si>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</si>
  <si>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</si>
  <si>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</si>
  <si>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</si>
  <si>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</si>
  <si>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</si>
  <si>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</si>
  <si>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</si>
  <si>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</si>
  <si>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</si>
  <si>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</si>
  <si>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</si>
  <si>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</si>
  <si>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</si>
  <si>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</si>
  <si>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</si>
  <si>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</si>
  <si>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</si>
  <si>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</si>
  <si>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</si>
  <si>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</si>
  <si>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</si>
  <si>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</si>
  <si>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</si>
  <si>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</si>
  <si>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</si>
  <si>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</si>
  <si>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</si>
  <si>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</si>
  <si>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</si>
  <si>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</si>
  <si>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</si>
  <si>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</si>
  <si>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</si>
  <si>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</si>
  <si>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</si>
  <si>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</si>
  <si>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</si>
  <si>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</si>
  <si>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</si>
  <si>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</si>
  <si>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</si>
  <si>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</si>
  <si>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</si>
  <si>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</si>
  <si>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</si>
  <si>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</si>
  <si>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</si>
  <si>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</si>
  <si>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</si>
  <si>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</si>
  <si>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</si>
  <si>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</si>
  <si>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</si>
  <si>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</si>
  <si>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</si>
  <si>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</si>
  <si>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</si>
  <si>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</si>
  <si>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</si>
  <si>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</si>
  <si>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</si>
  <si>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</si>
  <si>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</si>
  <si>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</si>
  <si>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</si>
  <si>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</si>
  <si>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</si>
  <si>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</si>
  <si>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</si>
  <si>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</si>
  <si>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</si>
  <si>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</si>
  <si>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</si>
  <si>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</si>
  <si>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</si>
  <si>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</si>
  <si>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</si>
  <si>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</si>
  <si>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</si>
  <si>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</si>
  <si>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</si>
  <si>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</si>
  <si>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</si>
  <si>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</si>
  <si>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</si>
  <si>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</si>
  <si>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</si>
  <si>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</si>
  <si>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</si>
  <si>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</si>
  <si>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</si>
  <si>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</si>
  <si>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</si>
  <si>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</si>
  <si>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</si>
  <si>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</si>
  <si>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</si>
  <si>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</si>
  <si>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</si>
  <si>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</si>
  <si>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</si>
  <si>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</si>
  <si>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</si>
  <si>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</si>
  <si>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</si>
  <si>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</si>
  <si>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</si>
  <si>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</si>
  <si>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</si>
  <si>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</si>
  <si>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</si>
  <si>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</si>
  <si>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</si>
  <si>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</si>
  <si>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</si>
  <si>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</si>
  <si>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</si>
  <si>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</si>
  <si>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</si>
  <si>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</si>
  <si>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</si>
  <si>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</si>
  <si>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</si>
  <si>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</si>
  <si>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</si>
  <si>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</si>
  <si>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</si>
  <si>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</si>
  <si>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</si>
  <si>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</si>
  <si>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</si>
  <si>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</si>
  <si>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</si>
  <si>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</si>
  <si>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</si>
  <si>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</si>
  <si>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</si>
  <si>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</si>
  <si>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</si>
  <si>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</si>
  <si>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</si>
  <si>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</si>
  <si>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</si>
  <si>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</si>
  <si>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</si>
  <si>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</si>
  <si>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</si>
  <si>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</si>
  <si>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</si>
  <si>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</si>
  <si>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</si>
  <si>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</si>
  <si>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</si>
  <si>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</si>
  <si>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</si>
  <si>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</si>
  <si>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</si>
  <si>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</si>
  <si>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</si>
  <si>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</si>
  <si>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</si>
  <si>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</si>
  <si>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</si>
  <si>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</si>
  <si>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</si>
  <si>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</si>
  <si>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</si>
  <si>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</si>
  <si>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</si>
  <si>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</si>
  <si>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</si>
  <si>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</si>
  <si>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</si>
  <si>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</si>
  <si>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</si>
  <si>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</si>
  <si>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</si>
  <si>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</si>
  <si>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</si>
  <si>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</si>
  <si>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</si>
  <si>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</si>
  <si>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</si>
  <si>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</si>
  <si>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</si>
  <si>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</si>
  <si>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</si>
  <si>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</si>
  <si>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</si>
  <si>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</si>
  <si>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</si>
  <si>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</si>
  <si>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</si>
  <si>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</si>
  <si>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</si>
  <si>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</si>
  <si>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</si>
  <si>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</si>
  <si>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</si>
  <si>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</si>
  <si>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</si>
  <si>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</si>
  <si>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</si>
  <si>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</si>
  <si>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</si>
  <si>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</si>
  <si>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</si>
  <si>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</si>
  <si>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</si>
  <si>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</si>
  <si>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</si>
  <si>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</si>
  <si>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</si>
  <si>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</si>
  <si>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</si>
  <si>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</si>
  <si>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</si>
  <si>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</si>
  <si>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</si>
  <si>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</si>
  <si>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</si>
  <si>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</si>
  <si>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</si>
  <si>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</si>
  <si>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</si>
  <si>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</si>
  <si>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</si>
  <si>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</si>
  <si>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</si>
  <si>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</si>
  <si>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</si>
  <si>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</si>
  <si>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</si>
  <si>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</si>
  <si>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</si>
  <si>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</si>
  <si>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</si>
  <si>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</si>
  <si>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</si>
  <si>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</si>
  <si>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</si>
  <si>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</si>
  <si>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</si>
  <si>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</si>
  <si>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</si>
  <si>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</si>
  <si>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</si>
  <si>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</si>
  <si>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</si>
  <si>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</si>
  <si>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</si>
  <si>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</si>
  <si>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</si>
  <si>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</si>
  <si>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</si>
  <si>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</si>
  <si>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</si>
  <si>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</si>
  <si>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</si>
  <si>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</si>
  <si>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</si>
  <si>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</si>
  <si>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</si>
  <si>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</si>
  <si>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</si>
  <si>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</si>
  <si>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</si>
  <si>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</si>
  <si>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</si>
  <si>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</si>
  <si>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</si>
  <si>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</si>
  <si>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</si>
  <si>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</si>
  <si>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</si>
  <si>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</si>
  <si>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</si>
  <si>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</si>
  <si>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</si>
  <si>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</si>
  <si>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</si>
  <si>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</si>
  <si>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</si>
  <si>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</si>
  <si>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</si>
  <si>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</si>
  <si>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</si>
  <si>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</si>
  <si>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</si>
  <si>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</si>
  <si>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</si>
  <si>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</si>
  <si>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</si>
  <si>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</si>
  <si>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</si>
  <si>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</si>
  <si>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</si>
  <si>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</si>
  <si>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</si>
  <si>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</si>
  <si>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</si>
  <si>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</si>
  <si>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</si>
  <si>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</si>
  <si>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</si>
  <si>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</si>
  <si>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</si>
  <si>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</si>
  <si>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</si>
  <si>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</si>
  <si>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</si>
  <si>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</si>
  <si>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</si>
  <si>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</si>
  <si>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</si>
  <si>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</si>
  <si>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</si>
  <si>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</si>
  <si>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</si>
  <si>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</si>
  <si>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</si>
  <si>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</si>
  <si>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</si>
  <si>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</si>
  <si>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</si>
  <si>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</si>
  <si>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</si>
  <si>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</si>
  <si>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</si>
  <si>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</si>
  <si>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</si>
  <si>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</si>
  <si>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</si>
  <si>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</si>
  <si>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</si>
  <si>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</si>
  <si>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</si>
  <si>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</si>
  <si>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</si>
  <si>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</si>
  <si>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</si>
  <si>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</si>
  <si>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</si>
  <si>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</si>
  <si>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</si>
  <si>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</si>
  <si>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</si>
  <si>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</si>
  <si>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</si>
  <si>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</si>
  <si>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</si>
  <si>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</si>
  <si>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</si>
  <si>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</si>
  <si>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</si>
  <si>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</si>
  <si>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</si>
  <si>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</si>
  <si>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</si>
  <si>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</si>
  <si>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</si>
  <si>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</si>
  <si>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</si>
  <si>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</si>
  <si>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</si>
  <si>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</si>
  <si>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</si>
  <si>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</si>
  <si>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</si>
  <si>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</si>
  <si>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</si>
  <si>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</si>
  <si>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</si>
  <si>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</si>
  <si>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</si>
  <si>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</si>
  <si>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</si>
  <si>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</si>
  <si>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</si>
  <si>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</si>
  <si>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</si>
  <si>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</si>
  <si>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</si>
  <si>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</si>
  <si>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</si>
  <si>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</si>
  <si>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</si>
  <si>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</si>
  <si>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</si>
  <si>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</si>
  <si>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</si>
  <si>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</si>
  <si>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</si>
  <si>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</si>
  <si>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</si>
  <si>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</si>
  <si>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</si>
  <si>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</si>
  <si>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</si>
  <si>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</si>
  <si>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</si>
  <si>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</si>
  <si>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</si>
  <si>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</si>
  <si>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</si>
  <si>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</si>
  <si>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</si>
  <si>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</si>
  <si>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</si>
  <si>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</si>
  <si>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</si>
  <si>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</si>
  <si>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</si>
  <si>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</si>
  <si>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</si>
  <si>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</si>
  <si>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</si>
  <si>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</si>
  <si>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</si>
  <si>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</si>
  <si>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</si>
  <si>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</si>
  <si>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</si>
  <si>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</si>
  <si>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</si>
  <si>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</si>
  <si>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</si>
  <si>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</si>
  <si>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</si>
  <si>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</si>
  <si>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</si>
  <si>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</si>
  <si>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</si>
  <si>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</si>
  <si>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</si>
  <si>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</si>
  <si>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</si>
  <si>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</si>
  <si>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</si>
  <si>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</si>
  <si>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</si>
  <si>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</si>
  <si>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</si>
  <si>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</si>
  <si>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</si>
  <si>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</si>
  <si>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</si>
  <si>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</si>
  <si>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</si>
  <si>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</si>
  <si>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</si>
  <si>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</si>
  <si>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</si>
  <si>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</si>
  <si>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</si>
  <si>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</si>
  <si>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</si>
  <si>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</si>
  <si>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</si>
  <si>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</si>
  <si>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</si>
  <si>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</si>
  <si>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</si>
  <si>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</si>
  <si>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</si>
  <si>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</si>
  <si>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</si>
  <si>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</si>
  <si>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</si>
  <si>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</si>
  <si>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</si>
  <si>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</si>
  <si>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</si>
  <si>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</si>
  <si>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</si>
  <si>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</si>
  <si>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</si>
  <si>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</si>
  <si>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</si>
  <si>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</si>
  <si>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</si>
  <si>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</si>
  <si>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</si>
  <si>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</si>
  <si>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</si>
  <si>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</si>
  <si>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</si>
  <si>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</si>
  <si>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</si>
  <si>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</si>
  <si>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</si>
  <si>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</si>
  <si>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</si>
  <si>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</si>
  <si>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</si>
  <si>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</si>
  <si>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</si>
  <si>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</si>
  <si>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</si>
  <si>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</si>
  <si>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</si>
  <si>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</si>
  <si>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</si>
  <si>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</si>
  <si>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</si>
  <si>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</si>
  <si>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</si>
  <si>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</si>
  <si>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</si>
  <si>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</si>
  <si>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</si>
  <si>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</si>
  <si>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</si>
  <si>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</si>
  <si>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</si>
  <si>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</si>
  <si>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</si>
  <si>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</si>
  <si>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</si>
  <si>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</si>
  <si>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</si>
  <si>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</si>
  <si>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</si>
  <si>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</si>
  <si>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</si>
  <si>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</si>
  <si>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</si>
  <si>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</si>
  <si>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</si>
  <si>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</si>
  <si>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</si>
  <si>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</si>
  <si>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</si>
  <si>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</si>
  <si>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</si>
  <si>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</si>
  <si>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</si>
  <si>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</si>
  <si>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</si>
  <si>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</si>
  <si>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</si>
  <si>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</si>
  <si>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</si>
  <si>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</si>
  <si>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</si>
  <si>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</si>
  <si>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</si>
  <si>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</si>
  <si>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</si>
  <si>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</si>
  <si>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</si>
  <si>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</si>
  <si>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</si>
  <si>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</si>
  <si>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</si>
  <si>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</si>
  <si>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</si>
  <si>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</si>
  <si>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</si>
  <si>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</si>
  <si>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</si>
  <si>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</si>
  <si>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</si>
  <si>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</si>
  <si>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</si>
  <si>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</si>
  <si>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</si>
  <si>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</si>
  <si>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</si>
  <si>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</si>
  <si>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</si>
  <si>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</si>
  <si>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</si>
  <si>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</si>
  <si>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</si>
  <si>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</si>
  <si>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</si>
  <si>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</si>
  <si>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</si>
  <si>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</si>
  <si>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</si>
  <si>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</si>
  <si>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</si>
  <si>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</si>
  <si>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</si>
  <si>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</si>
  <si>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</si>
  <si>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</si>
  <si>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</si>
  <si>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</si>
  <si>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</si>
  <si>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</si>
  <si>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</si>
  <si>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</si>
  <si>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</si>
  <si>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</si>
  <si>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</si>
  <si>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</si>
  <si>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</si>
  <si>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</si>
  <si>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</si>
  <si>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</si>
  <si>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</si>
  <si>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</si>
  <si>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</si>
  <si>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</si>
  <si>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</si>
  <si>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</si>
  <si>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</si>
  <si>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</si>
  <si>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</si>
  <si>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</si>
  <si>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</si>
  <si>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</si>
  <si>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</si>
  <si>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</si>
  <si>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</si>
  <si>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</si>
  <si>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</si>
  <si>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</si>
  <si>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</si>
  <si>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</si>
  <si>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</si>
  <si>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</si>
  <si>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</si>
  <si>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</si>
  <si>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</si>
  <si>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</si>
  <si>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</si>
  <si>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</si>
  <si>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</si>
  <si>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</si>
  <si>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</si>
  <si>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</si>
  <si>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</si>
  <si>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</si>
  <si>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</si>
  <si>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</si>
  <si>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</si>
  <si>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</si>
  <si>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</si>
  <si>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</si>
  <si>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</si>
  <si>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</si>
  <si>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</si>
  <si>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</si>
  <si>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</si>
  <si>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</si>
  <si>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</si>
  <si>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</si>
  <si>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</si>
  <si>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</si>
  <si>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</si>
  <si>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</si>
  <si>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</si>
  <si>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</si>
  <si>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</si>
  <si>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</si>
  <si>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</si>
  <si>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</si>
  <si>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</si>
  <si>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</si>
  <si>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</si>
  <si>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</si>
  <si>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</si>
  <si>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</si>
  <si>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</si>
  <si>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</si>
  <si>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</si>
  <si>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</si>
  <si>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</si>
  <si>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</si>
  <si>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</si>
  <si>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</si>
  <si>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</si>
  <si>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</si>
  <si>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</si>
  <si>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</si>
  <si>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</si>
  <si>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</si>
  <si>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</si>
  <si>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</si>
  <si>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</si>
  <si>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</si>
  <si>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</si>
  <si>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</si>
  <si>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</si>
  <si>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</si>
  <si>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</si>
  <si>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</si>
  <si>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</si>
  <si>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</si>
  <si>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</si>
  <si>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</si>
  <si>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</si>
  <si>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</si>
  <si>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</si>
  <si>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</si>
  <si>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</si>
  <si>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</si>
  <si>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</si>
  <si>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</si>
  <si>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</si>
  <si>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</si>
  <si>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</si>
  <si>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</si>
  <si>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</si>
  <si>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</si>
  <si>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</si>
  <si>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</si>
  <si>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</si>
  <si>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</si>
  <si>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</si>
  <si>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</si>
  <si>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</si>
  <si>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</si>
  <si>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</si>
  <si>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</si>
  <si>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</si>
  <si>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</si>
  <si>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</si>
  <si>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</si>
  <si>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</si>
  <si>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</si>
  <si>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</si>
  <si>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</si>
  <si>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</si>
  <si>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</si>
  <si>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</si>
  <si>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</si>
  <si>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</si>
  <si>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</si>
  <si>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</si>
  <si>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</si>
  <si>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</si>
  <si>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</si>
  <si>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</si>
  <si>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</si>
  <si>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</si>
  <si>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</si>
  <si>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</si>
  <si>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</si>
  <si>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</si>
  <si>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</si>
  <si>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</si>
  <si>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</si>
  <si>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</si>
  <si>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</si>
  <si>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</si>
  <si>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</si>
  <si>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</si>
  <si>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</si>
  <si>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</si>
  <si>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</si>
  <si>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</si>
  <si>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</si>
  <si>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</si>
  <si>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</si>
  <si>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</si>
  <si>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</si>
  <si>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</si>
  <si>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</si>
  <si>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</si>
  <si>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</si>
  <si>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</si>
  <si>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</si>
  <si>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</si>
  <si>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</si>
  <si>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</si>
  <si>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</si>
  <si>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</si>
  <si>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</si>
  <si>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</si>
  <si>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</si>
  <si>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</si>
  <si>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</si>
  <si>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</si>
  <si>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</si>
  <si>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</si>
  <si>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</si>
  <si>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</si>
  <si>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</si>
  <si>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</si>
  <si>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</si>
  <si>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</si>
  <si>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</si>
  <si>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</si>
  <si>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</si>
  <si>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</si>
  <si>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</si>
  <si>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</si>
  <si>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</si>
  <si>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</si>
  <si>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</si>
  <si>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</si>
  <si>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</si>
  <si>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</si>
  <si>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</si>
  <si>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</si>
  <si>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</si>
  <si>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</si>
  <si>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</si>
  <si>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</si>
  <si>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</si>
  <si>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</si>
  <si>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</si>
  <si>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</si>
  <si>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</si>
  <si>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</si>
  <si>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</si>
  <si>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</si>
  <si>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</si>
  <si>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</si>
  <si>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</si>
  <si>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</si>
  <si>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</si>
  <si>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</si>
  <si>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</si>
  <si>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</si>
  <si>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</si>
  <si>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</si>
  <si>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</si>
  <si>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</si>
  <si>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</si>
  <si>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</si>
  <si>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</si>
  <si>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</si>
  <si>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</si>
  <si>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</si>
  <si>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</si>
  <si>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</si>
  <si>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</si>
  <si>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</si>
  <si>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</si>
  <si>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</si>
  <si>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</si>
  <si>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</si>
  <si>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</si>
  <si>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</si>
  <si>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</si>
  <si>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</si>
  <si>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</si>
  <si>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</si>
  <si>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</si>
  <si>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</si>
  <si>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</si>
  <si>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</si>
  <si>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</si>
  <si>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</si>
  <si>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</si>
  <si>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</si>
  <si>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</si>
  <si>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</si>
  <si>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</si>
  <si>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</si>
  <si>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</si>
  <si>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</si>
  <si>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</si>
  <si>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</si>
  <si>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</si>
  <si>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</si>
  <si>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</si>
  <si>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</si>
  <si>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</si>
  <si>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</si>
  <si>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</si>
  <si>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</si>
  <si>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</si>
  <si>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</si>
  <si>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</si>
  <si>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</si>
  <si>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</si>
  <si>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</si>
  <si>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</si>
  <si>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</si>
  <si>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</si>
  <si>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</si>
  <si>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</si>
  <si>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</si>
  <si>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</si>
  <si>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</si>
  <si>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</si>
  <si>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</si>
  <si>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</si>
  <si>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</si>
  <si>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</si>
  <si>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</si>
  <si>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</si>
  <si>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</si>
  <si>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</si>
  <si>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</si>
  <si>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</si>
  <si>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</si>
  <si>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</si>
  <si>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</si>
  <si>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</si>
  <si>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</si>
  <si>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</si>
  <si>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</si>
  <si>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</si>
  <si>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</si>
  <si>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</si>
  <si>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</si>
  <si>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</si>
  <si>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</si>
  <si>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</si>
  <si>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</si>
  <si>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</si>
  <si>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</si>
  <si>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</si>
  <si>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</si>
  <si>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</si>
  <si>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</si>
  <si>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</si>
  <si>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</si>
  <si>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</si>
  <si>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</si>
  <si>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</si>
  <si>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</si>
  <si>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</si>
  <si>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</si>
  <si>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</si>
  <si>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</si>
  <si>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</si>
  <si>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</si>
  <si>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</si>
  <si>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</si>
  <si>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</si>
  <si>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</si>
  <si>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</si>
  <si>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</si>
  <si>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</si>
  <si>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</si>
  <si>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</si>
  <si>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</si>
  <si>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</si>
  <si>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</si>
  <si>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</si>
  <si>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</si>
  <si>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</si>
  <si>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</si>
  <si>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</si>
  <si>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</si>
  <si>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</si>
  <si>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</si>
  <si>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</si>
  <si>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</si>
  <si>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</si>
  <si>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</si>
  <si>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</si>
  <si>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</si>
  <si>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</si>
  <si>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</si>
  <si>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</si>
  <si>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</si>
  <si>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</si>
  <si>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</si>
  <si>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</si>
  <si>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</si>
  <si>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</si>
  <si>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</si>
  <si>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</si>
  <si>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</si>
  <si>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</si>
  <si>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</si>
  <si>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</si>
  <si>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</si>
  <si>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</si>
  <si>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</si>
  <si>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</si>
  <si>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</si>
  <si>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</si>
  <si>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</si>
  <si>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</si>
  <si>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</si>
  <si>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</si>
  <si>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</si>
  <si>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</si>
  <si>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</si>
  <si>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</si>
  <si>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</si>
  <si>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</si>
  <si>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</si>
  <si>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</si>
  <si>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</si>
  <si>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</si>
  <si>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</si>
  <si>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</si>
  <si>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</si>
  <si>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</si>
  <si>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</si>
  <si>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</si>
  <si>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</si>
  <si>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</si>
  <si>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</si>
  <si>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</si>
  <si>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</si>
  <si>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</si>
  <si>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</si>
  <si>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</si>
  <si>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</si>
  <si>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</si>
  <si>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</si>
  <si>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</si>
  <si>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</si>
  <si>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</si>
  <si>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</si>
  <si>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</si>
  <si>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</si>
  <si>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</si>
  <si>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</si>
  <si>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</si>
  <si>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</si>
  <si>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</si>
  <si>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</si>
  <si>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</si>
  <si>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</si>
  <si>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</si>
  <si>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</si>
  <si>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</si>
  <si>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</si>
  <si>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</si>
  <si>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</si>
  <si>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</si>
  <si>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</si>
  <si>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</si>
  <si>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</si>
  <si>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</si>
  <si>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</si>
  <si>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</si>
  <si>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</si>
  <si>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</si>
  <si>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</si>
  <si>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</si>
  <si>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</si>
  <si>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</si>
  <si>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</si>
  <si>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</si>
  <si>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</si>
  <si>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</si>
  <si>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</si>
  <si>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</si>
  <si>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</si>
  <si>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</si>
  <si>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</si>
  <si>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</si>
  <si>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</si>
  <si>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</si>
  <si>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</si>
  <si>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</si>
  <si>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</si>
  <si>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</si>
  <si>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</si>
  <si>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</si>
  <si>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</si>
  <si>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</si>
  <si>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</si>
  <si>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</si>
  <si>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</si>
  <si>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</si>
  <si>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</si>
  <si>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</si>
  <si>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</si>
  <si>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</si>
  <si>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</si>
  <si>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</si>
  <si>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</si>
  <si>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</si>
  <si>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</si>
  <si>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</si>
  <si>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</si>
  <si>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</si>
  <si>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</si>
  <si>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</si>
  <si>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</si>
  <si>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</si>
  <si>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</si>
  <si>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</si>
  <si>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</si>
  <si>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</si>
  <si>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</si>
  <si>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</si>
  <si>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</si>
  <si>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</si>
  <si>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</si>
  <si>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</si>
  <si>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</si>
  <si>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</si>
  <si>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</si>
  <si>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</si>
  <si>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</si>
  <si>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</si>
  <si>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</si>
  <si>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</si>
  <si>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</si>
  <si>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</si>
  <si>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</si>
  <si>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</si>
  <si>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</si>
  <si>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</si>
  <si>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</si>
  <si>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</si>
  <si>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</si>
  <si>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</si>
  <si>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</si>
  <si>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</si>
  <si>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</si>
  <si>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</si>
  <si>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</si>
  <si>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</si>
  <si>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</si>
  <si>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</si>
  <si>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</si>
  <si>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</si>
  <si>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</si>
  <si>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</si>
  <si>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</si>
  <si>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</si>
  <si>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</si>
  <si>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</si>
  <si>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</si>
  <si>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</si>
  <si>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</si>
  <si>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</si>
  <si>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</si>
  <si>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</si>
  <si>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</si>
  <si>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</si>
  <si>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</si>
  <si>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</si>
  <si>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</si>
  <si>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</si>
  <si>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</si>
  <si>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</si>
  <si>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</si>
  <si>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</si>
  <si>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</si>
  <si>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</si>
  <si>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</si>
  <si>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</si>
  <si>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</si>
  <si>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</si>
  <si>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</si>
  <si>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</si>
  <si>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</si>
  <si>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</si>
  <si>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</si>
  <si>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</si>
  <si>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</si>
  <si>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</si>
  <si>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</si>
  <si>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</si>
  <si>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</si>
  <si>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</si>
  <si>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</si>
  <si>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</si>
  <si>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</si>
  <si>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</si>
  <si>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</si>
  <si>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</si>
  <si>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</si>
  <si>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</si>
  <si>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</si>
  <si>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</si>
  <si>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</si>
  <si>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</si>
  <si>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</si>
  <si>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</si>
  <si>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</si>
  <si>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</si>
  <si>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</si>
  <si>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</si>
  <si>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</si>
  <si>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</si>
  <si>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</si>
  <si>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</si>
  <si>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</si>
  <si>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</si>
  <si>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</si>
  <si>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</si>
  <si>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</si>
  <si>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</si>
  <si>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</si>
  <si>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</si>
  <si>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</si>
  <si>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</si>
  <si>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</si>
  <si>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</si>
  <si>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</si>
  <si>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</si>
  <si>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</si>
  <si>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</si>
  <si>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</si>
  <si>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</si>
  <si>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</si>
  <si>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</si>
  <si>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</si>
  <si>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</si>
  <si>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</si>
  <si>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</si>
  <si>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</si>
  <si>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</si>
  <si>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</si>
  <si>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</si>
  <si>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</si>
  <si>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</si>
  <si>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</si>
  <si>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</si>
  <si>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</si>
  <si>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</si>
  <si>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</si>
  <si>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</si>
  <si>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</si>
  <si>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</si>
  <si>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</si>
  <si>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</si>
  <si>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</si>
  <si>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</si>
  <si>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</si>
  <si>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</si>
  <si>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</si>
  <si>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</si>
  <si>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</si>
  <si>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</si>
  <si>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</si>
  <si>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</si>
  <si>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</si>
  <si>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</si>
  <si>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</si>
  <si>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</si>
  <si>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</si>
  <si>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</si>
  <si>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</si>
  <si>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</si>
  <si>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</si>
  <si>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</si>
  <si>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</si>
  <si>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</si>
  <si>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</si>
  <si>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</si>
  <si>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</si>
  <si>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</si>
  <si>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</si>
  <si>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</si>
  <si>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</si>
  <si>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</si>
  <si>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</si>
  <si>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</si>
  <si>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</si>
  <si>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</si>
  <si>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</si>
  <si>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</si>
  <si>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</si>
  <si>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</si>
  <si>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</si>
  <si>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</si>
  <si>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</si>
  <si>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</si>
  <si>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</si>
  <si>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</si>
  <si>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</si>
  <si>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</si>
  <si>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</si>
  <si>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</si>
  <si>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</si>
  <si>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</si>
  <si>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</si>
  <si>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</si>
  <si>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</si>
  <si>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</si>
  <si>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</si>
  <si>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</si>
  <si>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</si>
  <si>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</si>
  <si>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</si>
  <si>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</si>
  <si>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</si>
  <si>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</si>
  <si>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</si>
  <si>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</si>
  <si>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</si>
  <si>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</si>
  <si>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</si>
  <si>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</si>
  <si>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</si>
  <si>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</si>
  <si>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</si>
  <si>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</si>
  <si>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</si>
  <si>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</si>
  <si>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</si>
  <si>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</si>
  <si>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</si>
  <si>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</si>
  <si>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</si>
  <si>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</si>
  <si>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</si>
  <si>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</si>
  <si>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</si>
  <si>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</si>
  <si>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</si>
  <si>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</si>
  <si>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</si>
  <si>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</si>
  <si>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</si>
  <si>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</si>
  <si>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</si>
  <si>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</si>
  <si>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</si>
  <si>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</si>
  <si>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</si>
  <si>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</si>
  <si>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</si>
  <si>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</si>
  <si>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</si>
  <si>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</si>
  <si>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</si>
  <si>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</si>
  <si>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</si>
  <si>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</si>
  <si>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</si>
  <si>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</si>
  <si>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</si>
  <si>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</si>
  <si>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</si>
  <si>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</si>
  <si>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</si>
  <si>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</si>
  <si>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</si>
  <si>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</si>
  <si>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</si>
  <si>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</si>
  <si>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</si>
  <si>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</si>
  <si>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</si>
  <si>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</si>
  <si>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</si>
  <si>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</si>
  <si>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</si>
  <si>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</si>
  <si>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</si>
  <si>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</si>
  <si>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</si>
  <si>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</si>
  <si>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</si>
  <si>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</si>
  <si>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</si>
  <si>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</si>
  <si>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</si>
  <si>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</si>
  <si>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</si>
  <si>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</si>
  <si>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</si>
  <si>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</si>
  <si>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</si>
  <si>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</si>
  <si>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</si>
  <si>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</si>
  <si>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</si>
  <si>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</si>
  <si>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</si>
  <si>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</si>
  <si>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</si>
  <si>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</si>
  <si>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</si>
  <si>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</si>
  <si>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</si>
  <si>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</si>
  <si>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</si>
  <si>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</si>
  <si>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</si>
  <si>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</si>
  <si>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</si>
  <si>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</si>
  <si>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</si>
  <si>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</si>
  <si>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</si>
  <si>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</si>
  <si>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</si>
  <si>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</si>
  <si>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</si>
  <si>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</si>
  <si>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</si>
  <si>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</si>
  <si>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</si>
  <si>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</si>
  <si>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</si>
  <si>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</si>
  <si>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</si>
  <si>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</si>
  <si>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</si>
  <si>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</si>
  <si>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</si>
  <si>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</si>
  <si>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</si>
  <si>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</si>
  <si>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</si>
  <si>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</si>
  <si>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</si>
  <si>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</si>
  <si>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</si>
  <si>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</si>
  <si>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</si>
  <si>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</si>
  <si>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</si>
  <si>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</si>
  <si>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</si>
  <si>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</si>
  <si>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</si>
  <si>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</si>
  <si>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</si>
  <si>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</si>
  <si>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</si>
  <si>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</si>
  <si>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</si>
  <si>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</si>
  <si>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</si>
  <si>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</si>
  <si>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</si>
  <si>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</si>
  <si>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</si>
  <si>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</si>
  <si>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</si>
  <si>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</si>
  <si>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</si>
  <si>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</si>
  <si>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</si>
  <si>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</si>
  <si>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</si>
  <si>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</si>
  <si>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</si>
  <si>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</si>
  <si>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</si>
  <si>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</si>
  <si>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</si>
  <si>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</si>
  <si>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</si>
  <si>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</si>
  <si>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</si>
  <si>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</si>
  <si>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</si>
  <si>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</si>
  <si>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</si>
  <si>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</si>
  <si>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</si>
  <si>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</si>
  <si>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</si>
  <si>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</si>
  <si>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</si>
  <si>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</si>
  <si>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</si>
  <si>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</si>
  <si>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</si>
  <si>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</si>
  <si>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</si>
  <si>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</si>
  <si>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</si>
  <si>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</si>
  <si>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</si>
  <si>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</si>
  <si>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</si>
  <si>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</si>
  <si>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</si>
  <si>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</si>
  <si>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</si>
  <si>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</si>
  <si>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</si>
  <si>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</si>
  <si>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</si>
  <si>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</si>
  <si>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</si>
  <si>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</si>
  <si>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</si>
  <si>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</si>
  <si>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</si>
  <si>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</si>
  <si>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</si>
  <si>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</si>
  <si>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</si>
  <si>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</si>
  <si>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</si>
  <si>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</si>
  <si>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</si>
  <si>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</si>
  <si>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</si>
  <si>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赵雯</t>
  </si>
  <si>
    <t>崔锴</t>
  </si>
  <si>
    <t>天津城投滨海房地产经营有限公司</t>
    <phoneticPr fontId="6" type="noConversion"/>
  </si>
  <si>
    <t>中信信托</t>
    <phoneticPr fontId="6" type="noConversion"/>
  </si>
  <si>
    <t>抵押</t>
  </si>
  <si>
    <t>抵押价格</t>
  </si>
  <si>
    <t>其他：</t>
  </si>
  <si>
    <t>天津市</t>
  </si>
  <si>
    <t>天津市</t>
    <phoneticPr fontId="6" type="noConversion"/>
  </si>
  <si>
    <t>企业</t>
  </si>
  <si>
    <t>商业</t>
  </si>
  <si>
    <t>一致</t>
  </si>
  <si>
    <t>符合</t>
  </si>
  <si>
    <t>出让</t>
  </si>
  <si>
    <t>否</t>
  </si>
  <si>
    <t>《国有土地使用证》</t>
  </si>
  <si>
    <t>无</t>
  </si>
  <si>
    <t>场地平整</t>
  </si>
  <si>
    <t>通路</t>
  </si>
  <si>
    <t>通电</t>
  </si>
  <si>
    <t>通讯</t>
  </si>
  <si>
    <t>通上水</t>
  </si>
  <si>
    <t>通下水</t>
  </si>
  <si>
    <t>通热</t>
  </si>
  <si>
    <t>燃气</t>
  </si>
  <si>
    <t>地上</t>
  </si>
  <si>
    <t>较好</t>
  </si>
  <si>
    <t>较好</t>
    <phoneticPr fontId="3" type="noConversion"/>
  </si>
  <si>
    <t>一般</t>
  </si>
  <si>
    <t>一般</t>
    <phoneticPr fontId="3" type="noConversion"/>
  </si>
  <si>
    <t>较好</t>
    <phoneticPr fontId="3" type="noConversion"/>
  </si>
  <si>
    <t>七通</t>
  </si>
  <si>
    <t>七通</t>
    <phoneticPr fontId="3" type="noConversion"/>
  </si>
  <si>
    <t>支路</t>
    <phoneticPr fontId="21"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</si>
  <si>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</si>
  <si>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</si>
  <si>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</si>
  <si>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</si>
  <si>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</si>
  <si>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</si>
  <si>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</si>
  <si>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</si>
  <si>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</si>
  <si>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</si>
  <si>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</si>
  <si>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</si>
  <si>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</si>
  <si>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</si>
  <si>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</si>
  <si>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</si>
  <si>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</si>
  <si>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</si>
  <si>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</si>
  <si>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</si>
  <si>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</si>
  <si>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</si>
  <si>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</si>
  <si>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</si>
  <si>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</si>
  <si>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</si>
  <si>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</si>
  <si>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</si>
  <si>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</si>
  <si>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</si>
  <si>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</si>
  <si>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</si>
  <si>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</si>
  <si>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</si>
  <si>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</si>
  <si>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</si>
  <si>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</si>
  <si>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</si>
  <si>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</si>
  <si>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</si>
  <si>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</si>
  <si>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</si>
  <si>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</si>
  <si>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中新天津生态城(原旅游区区域内)</t>
  </si>
  <si>
    <t>滨海新区</t>
  </si>
  <si>
    <t>挂牌</t>
  </si>
  <si>
    <t>≤2.0</t>
  </si>
  <si>
    <t>未开工</t>
  </si>
  <si>
    <t>2018-06-29</t>
  </si>
  <si>
    <t>2018-08-01</t>
  </si>
  <si>
    <t>已成交</t>
  </si>
  <si>
    <t>≤1.5</t>
  </si>
  <si>
    <t>≤2.5</t>
  </si>
  <si>
    <t>开工中</t>
  </si>
  <si>
    <t>2017-11-29</t>
  </si>
  <si>
    <t>≤60米</t>
  </si>
  <si>
    <t>2017-09-28</t>
  </si>
  <si>
    <t>2017-11-01</t>
  </si>
  <si>
    <t>滨海新区临港经济区内</t>
  </si>
  <si>
    <t>限地价</t>
  </si>
  <si>
    <t>2017-09-27</t>
  </si>
  <si>
    <t>2017-10-23</t>
  </si>
  <si>
    <t>2017-08-16</t>
  </si>
  <si>
    <t>天津空港经济区</t>
  </si>
  <si>
    <t>≤41米</t>
  </si>
  <si>
    <t>≤35%</t>
  </si>
  <si>
    <t>2016-11-17</t>
  </si>
  <si>
    <t>大港</t>
  </si>
  <si>
    <t>2016-07-01</t>
  </si>
  <si>
    <t>2016-07-22</t>
  </si>
  <si>
    <t>2016-08-17</t>
  </si>
  <si>
    <t>≤30%</t>
  </si>
  <si>
    <t>≤1.3</t>
  </si>
  <si>
    <t>北科泰达投资发展有限公司</t>
  </si>
  <si>
    <t>远洋琨庭</t>
    <phoneticPr fontId="3" type="noConversion"/>
  </si>
  <si>
    <t>较规则</t>
    <phoneticPr fontId="26" type="noConversion"/>
  </si>
  <si>
    <t>较适宜</t>
    <phoneticPr fontId="26" type="noConversion"/>
  </si>
  <si>
    <t>五通</t>
  </si>
  <si>
    <t>较好</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</si>
  <si>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</si>
  <si>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</si>
  <si>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</si>
  <si>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</si>
  <si>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</si>
  <si>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</si>
  <si>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较不规则</t>
    <phoneticPr fontId="26" type="noConversion"/>
  </si>
  <si>
    <t>不规则</t>
    <phoneticPr fontId="26" type="noConversion"/>
  </si>
  <si>
    <t>适宜</t>
    <phoneticPr fontId="26" type="noConversion"/>
  </si>
  <si>
    <t>较不适宜</t>
    <phoneticPr fontId="26" type="noConversion"/>
  </si>
  <si>
    <t>不适宜</t>
    <phoneticPr fontId="26" type="noConversion"/>
  </si>
  <si>
    <t>六通</t>
  </si>
  <si>
    <t>四通</t>
  </si>
  <si>
    <t>三通</t>
  </si>
  <si>
    <t>好</t>
  </si>
  <si>
    <t>较差</t>
  </si>
  <si>
    <t>差</t>
  </si>
  <si>
    <t>土地（套用方法）</t>
  </si>
  <si>
    <t>押一</t>
  </si>
  <si>
    <t>按租金收入计税</t>
  </si>
  <si>
    <t>钢混</t>
  </si>
  <si>
    <t>比较法-住宅、综合</t>
  </si>
  <si>
    <t>剩余法-待开发</t>
  </si>
  <si>
    <t>项目全部</t>
  </si>
  <si>
    <t>土地</t>
  </si>
  <si>
    <t>城镇住宅用地</t>
  </si>
  <si>
    <t>城镇住宅用地</t>
    <phoneticPr fontId="6" type="noConversion"/>
  </si>
  <si>
    <t>《国有土地使用证》[津2017开发区不动产权第1011751号]</t>
    <phoneticPr fontId="6" type="noConversion"/>
  </si>
  <si>
    <t>住宅、地下车库</t>
    <phoneticPr fontId="6" type="noConversion"/>
  </si>
  <si>
    <t>车库</t>
  </si>
  <si>
    <t>住宅55.7年、地下车库35.7年</t>
    <phoneticPr fontId="6" type="noConversion"/>
  </si>
  <si>
    <t>《国有土地使用证》[津2017开发区不动产权第1011751号]</t>
    <phoneticPr fontId="3" type="noConversion"/>
  </si>
  <si>
    <t>居住项目</t>
  </si>
  <si>
    <t>平整</t>
  </si>
  <si>
    <t>春华园一期</t>
    <phoneticPr fontId="3" type="noConversion"/>
  </si>
  <si>
    <t>春华园二期</t>
    <phoneticPr fontId="3" type="noConversion"/>
  </si>
  <si>
    <t>春华园三期</t>
    <phoneticPr fontId="3" type="noConversion"/>
  </si>
  <si>
    <t>配建1</t>
    <phoneticPr fontId="3" type="noConversion"/>
  </si>
  <si>
    <t>配建2</t>
    <phoneticPr fontId="3" type="noConversion"/>
  </si>
  <si>
    <t>配建3</t>
    <phoneticPr fontId="3" type="noConversion"/>
  </si>
  <si>
    <t>地下车库</t>
    <phoneticPr fontId="3" type="noConversion"/>
  </si>
  <si>
    <t>商业街</t>
  </si>
  <si>
    <t>地下</t>
  </si>
  <si>
    <t>高层</t>
  </si>
  <si>
    <t>高层</t>
    <phoneticPr fontId="14" type="noConversion"/>
  </si>
  <si>
    <t>小高层</t>
  </si>
  <si>
    <t>小高层</t>
    <phoneticPr fontId="14" type="noConversion"/>
  </si>
  <si>
    <t>洋房</t>
  </si>
  <si>
    <t>配建8</t>
    <phoneticPr fontId="3" type="noConversion"/>
  </si>
  <si>
    <t>春华园六期</t>
    <phoneticPr fontId="3" type="noConversion"/>
  </si>
  <si>
    <t>春华园七期</t>
    <phoneticPr fontId="3" type="noConversion"/>
  </si>
  <si>
    <r>
      <rPr>
        <sz val="11"/>
        <color indexed="8"/>
        <rFont val="宋体"/>
        <family val="3"/>
        <charset val="134"/>
      </rPr>
      <t>配建</t>
    </r>
    <r>
      <rPr>
        <sz val="11"/>
        <color indexed="8"/>
        <rFont val="Arial"/>
        <family val="2"/>
      </rPr>
      <t>5</t>
    </r>
    <phoneticPr fontId="3" type="noConversion"/>
  </si>
  <si>
    <r>
      <rPr>
        <sz val="11"/>
        <color indexed="8"/>
        <rFont val="宋体"/>
        <family val="3"/>
        <charset val="134"/>
      </rPr>
      <t>配建</t>
    </r>
    <r>
      <rPr>
        <sz val="11"/>
        <color indexed="8"/>
        <rFont val="Arial"/>
        <family val="2"/>
      </rPr>
      <t>4</t>
    </r>
    <phoneticPr fontId="3" type="noConversion"/>
  </si>
  <si>
    <r>
      <rPr>
        <sz val="11"/>
        <color indexed="8"/>
        <rFont val="宋体"/>
        <family val="3"/>
        <charset val="134"/>
      </rPr>
      <t>配建</t>
    </r>
    <r>
      <rPr>
        <sz val="11"/>
        <color indexed="8"/>
        <rFont val="Arial"/>
        <family val="2"/>
      </rPr>
      <t>6</t>
    </r>
    <phoneticPr fontId="3" type="noConversion"/>
  </si>
  <si>
    <r>
      <rPr>
        <sz val="11"/>
        <color indexed="8"/>
        <rFont val="宋体"/>
        <family val="3"/>
        <charset val="134"/>
      </rPr>
      <t>配建</t>
    </r>
    <r>
      <rPr>
        <sz val="11"/>
        <color indexed="8"/>
        <rFont val="Arial"/>
        <family val="2"/>
      </rPr>
      <t>7</t>
    </r>
    <phoneticPr fontId="3" type="noConversion"/>
  </si>
  <si>
    <t>洋房</t>
    <phoneticPr fontId="7" type="noConversion"/>
  </si>
  <si>
    <t>小高层</t>
    <phoneticPr fontId="7" type="noConversion"/>
  </si>
  <si>
    <t>高层</t>
    <phoneticPr fontId="7" type="noConversion"/>
  </si>
  <si>
    <t>生态城中部片区</t>
  </si>
  <si>
    <t>住宅用地</t>
  </si>
  <si>
    <t>津滨生转让(挂)2018-2号</t>
  </si>
  <si>
    <t>＞1.0且≤1.1</t>
  </si>
  <si>
    <t>35米</t>
  </si>
  <si>
    <t>限地价,竞自持</t>
  </si>
  <si>
    <t>2018-07-23</t>
  </si>
  <si>
    <t>世茂(上海灿骁企业管理有限公司)</t>
  </si>
  <si>
    <t>综合用地(含住宅)</t>
  </si>
  <si>
    <t>津滨生(挂)2018-7号</t>
  </si>
  <si>
    <t>城镇住宅、商服、科教</t>
  </si>
  <si>
    <t>a地块＞1.0且≤1.6;b地块0.6-0.8</t>
  </si>
  <si>
    <t>A地块≤30%;B地≤30%</t>
  </si>
  <si>
    <t>A地块商业≤100米;居住≤60米;B地块≤40米</t>
  </si>
  <si>
    <t>2018-06-26</t>
  </si>
  <si>
    <t>2018-07-16</t>
  </si>
  <si>
    <t>2018-07-25</t>
  </si>
  <si>
    <t>中核房地产开发有限公司</t>
  </si>
  <si>
    <t>城镇住宅70年、商服40年、科教50年</t>
  </si>
  <si>
    <t>津滨生(挂)2017-4号</t>
  </si>
  <si>
    <t>城镇住宅、商服</t>
  </si>
  <si>
    <t>a地块＞1.0且≤1.2;b地块＞1.0且≤1.2;c地块＞1.0且≤1.2;d地块＞1.0且≤1.01;e地块＞1.0且≤1.2;f地块≤1.0</t>
  </si>
  <si>
    <t>A地块≤35%;B地块≤35%;C地块≤35%;D地块≤35%;E地块≤35%;F地块≤50%</t>
  </si>
  <si>
    <t>A地块≤60米;B地块≤60米;C地块≤60米;D地块≤35米;E地块≤60米;F地块≤50米</t>
  </si>
  <si>
    <t>2018-06-08</t>
  </si>
  <si>
    <t>2018-06-28</t>
  </si>
  <si>
    <t>2018-07-11</t>
  </si>
  <si>
    <t>红星美凯龙(天津舒泰企业管理有限公司)</t>
  </si>
  <si>
    <t>城镇住宅70年、商服40年</t>
  </si>
  <si>
    <t>津滨生(挂)2018-3号</t>
  </si>
  <si>
    <t>城镇住宅、商服用地</t>
  </si>
  <si>
    <t>＞1.0且≤1.2</t>
  </si>
  <si>
    <t>≤35米</t>
  </si>
  <si>
    <t>限地价,竞自持,含人才住房</t>
  </si>
  <si>
    <t>2018-04-24</t>
  </si>
  <si>
    <t>2018-05-14</t>
  </si>
  <si>
    <t>2018-05-23</t>
  </si>
  <si>
    <t>津滨生(挂)2018-5号</t>
  </si>
  <si>
    <t>津滨生(挂)2018-4号</t>
  </si>
  <si>
    <t>滨海新区胡家园街新塘组团起步区</t>
  </si>
  <si>
    <t>津滨塘(挂)2017-21号</t>
  </si>
  <si>
    <t>a地块≤2.0;b地块＞1.0且≤2.2</t>
  </si>
  <si>
    <t>A地块≤45%;B地块≤22%</t>
  </si>
  <si>
    <t>A地块≤60米;B地块≤80米</t>
  </si>
  <si>
    <t>万科(天津滨海时尚置业有限公司)</t>
  </si>
  <si>
    <t>津滨生(挂)2018-2号</t>
  </si>
  <si>
    <t>天津市滨海新区汉沽东风路以东</t>
  </si>
  <si>
    <t>津滨汉(挂)2017-6号</t>
  </si>
  <si>
    <t>＞1.0且≤2.0</t>
  </si>
  <si>
    <t>≤25%</t>
  </si>
  <si>
    <t>2018-04-10</t>
  </si>
  <si>
    <t>2018-04-30</t>
  </si>
  <si>
    <t>2018-05-09</t>
  </si>
  <si>
    <t>天津市津房置业发展有限责任公司</t>
  </si>
  <si>
    <t>滨海新区汉沽东扩区</t>
  </si>
  <si>
    <t>津滨汉(挂)2017-9号</t>
  </si>
  <si>
    <t>城镇住宅、商服用地(A地块);商服用地(B地块);商服用地(C地块)</t>
  </si>
  <si>
    <t>＞1.0且≤1.5(a地块);≤2.0(b地块);≤2.5(c地块)</t>
  </si>
  <si>
    <t>≤25%(A地块);≤40%(B地块);≤40%(C地块)</t>
  </si>
  <si>
    <t>2018-01-16</t>
  </si>
  <si>
    <t>2018-02-05</t>
  </si>
  <si>
    <t>2018-02-14</t>
  </si>
  <si>
    <t>力高</t>
  </si>
  <si>
    <t>津滨汉(挂)2017-8号</t>
  </si>
  <si>
    <t>＞1.0且≤1.5</t>
  </si>
  <si>
    <t>东亚新华</t>
  </si>
  <si>
    <t>塘沽新城镇地区</t>
  </si>
  <si>
    <t>津滨塘(挂)2017-17号</t>
  </si>
  <si>
    <t>2017-12-29</t>
  </si>
  <si>
    <t>2018-01-18</t>
  </si>
  <si>
    <t>2018-01-31</t>
  </si>
  <si>
    <t>天津天地源唐城房地产开发有限公司</t>
  </si>
  <si>
    <t>津滨塘(挂)2017-1号</t>
  </si>
  <si>
    <t>＞1.0且≤1.8</t>
  </si>
  <si>
    <t>≤22%</t>
  </si>
  <si>
    <t>≤80米</t>
  </si>
  <si>
    <t>景瑞地产</t>
  </si>
  <si>
    <t>天津港散货物流中心</t>
  </si>
  <si>
    <t>津滨港(挂)2017-2号</t>
  </si>
  <si>
    <t>a地块＞1.0且≤1.7;b地块＞1.0且≤1.6</t>
  </si>
  <si>
    <t>≤7%</t>
  </si>
  <si>
    <t>A地块≤30%;B地块≤30%</t>
  </si>
  <si>
    <t>A地块≤70米;B地块≤60米</t>
  </si>
  <si>
    <t>限价房,</t>
  </si>
  <si>
    <t>限地价,竞自持,含保障房用地</t>
  </si>
  <si>
    <t>2017-11-24</t>
  </si>
  <si>
    <t>2017-12-16</t>
  </si>
  <si>
    <t>2017-12-27</t>
  </si>
  <si>
    <t>天津港泰成置业</t>
  </si>
  <si>
    <t>临港经济区内</t>
  </si>
  <si>
    <t>津滨临(挂)2017-5号</t>
  </si>
  <si>
    <t>A地块城镇住宅、商服用地;B地块商服用地</t>
  </si>
  <si>
    <t>a地块＞1.0且≤1.5;b地块≤2.0</t>
  </si>
  <si>
    <t>A地块≤25%;B地块≤45%</t>
  </si>
  <si>
    <t>A地块≤60米;B地块≤30米</t>
  </si>
  <si>
    <t>2017-11-23</t>
  </si>
  <si>
    <t>2017-12-14</t>
  </si>
  <si>
    <t>红星</t>
  </si>
  <si>
    <t>滨海新区汉沽四经路以东</t>
  </si>
  <si>
    <t>津滨汉(挂)2017-2号</t>
  </si>
  <si>
    <t>2017-10-30</t>
  </si>
  <si>
    <t>2017-11-19</t>
  </si>
  <si>
    <t>碧桂园(天津碧晟房地产开发有限公司)</t>
  </si>
  <si>
    <t>滨海新区汉沽四经路西侧</t>
  </si>
  <si>
    <t>津滨汉(挂)2017-1号</t>
  </si>
  <si>
    <t>天房(*天津市天房海滨建设发展有限公司)</t>
  </si>
  <si>
    <t>滨海新区临港经济区</t>
  </si>
  <si>
    <t>津滨临(挂)2017-3号</t>
  </si>
  <si>
    <t>a地块＞1.0且≤1.8;b地块≤2.0</t>
  </si>
  <si>
    <t>A地块≤25;B地块≤45</t>
  </si>
  <si>
    <t>A地块≤80;B地块≤30</t>
  </si>
  <si>
    <t>2017-10-20</t>
  </si>
  <si>
    <t>2017-11-11</t>
  </si>
  <si>
    <t>2017-11-22</t>
  </si>
  <si>
    <t>和昌(北京怡易投资有限公司)</t>
  </si>
  <si>
    <t>A地块城镇住宅70年、商服40年;B地块商服40年</t>
  </si>
  <si>
    <t>津滨临(挂)2017-4号</t>
  </si>
  <si>
    <t>60米</t>
  </si>
  <si>
    <t>碧桂园</t>
  </si>
  <si>
    <t>津滨塘(挂)2017-4号</t>
  </si>
  <si>
    <t>2017-10-19</t>
  </si>
  <si>
    <t>中建</t>
  </si>
  <si>
    <t>津滨塘(挂)2017-6号</t>
  </si>
  <si>
    <t>宝德(天津北方数码港有限公司)</t>
  </si>
  <si>
    <t>津滨塘(挂)2017-7号</t>
  </si>
  <si>
    <t>80米</t>
  </si>
  <si>
    <t>津滨塘(挂)2017-5号</t>
  </si>
  <si>
    <t>华远</t>
  </si>
  <si>
    <t>天津港北疆港区航运五道以南</t>
  </si>
  <si>
    <t>津滨港(挂)2017-1号</t>
  </si>
  <si>
    <t>＞1且≤2</t>
  </si>
  <si>
    <t>≤20%</t>
  </si>
  <si>
    <t>100米</t>
  </si>
  <si>
    <t>2017-08-25</t>
  </si>
  <si>
    <t>2017-09-14</t>
  </si>
  <si>
    <t>金地(天津仁惠房地产信息咨询有限责任公司)</t>
  </si>
  <si>
    <t>滨海新区新港一号路以南、海滨大道以东</t>
  </si>
  <si>
    <t>津滨中(挂)2017-1号</t>
  </si>
  <si>
    <t>2017-07-13</t>
  </si>
  <si>
    <t>2017-08-03</t>
  </si>
  <si>
    <t>平安(深圳市创良投资管理有限公司)</t>
  </si>
  <si>
    <t>天津开发区</t>
  </si>
  <si>
    <t>津滨开(挂)2017-1号</t>
  </si>
  <si>
    <t>城镇住宅用地、商服用地、科教用地</t>
  </si>
  <si>
    <t>a＜2;b＜0.8</t>
  </si>
  <si>
    <t>A≤100米;B≤24米</t>
  </si>
  <si>
    <t>2017-06-23</t>
  </si>
  <si>
    <t>2017-07-15</t>
  </si>
  <si>
    <t>2017-07-26</t>
  </si>
  <si>
    <t>平安</t>
  </si>
  <si>
    <t>住宅70年、商服40年、科教50年</t>
  </si>
  <si>
    <t>塘沽国兴路以西、阳光大道以南</t>
  </si>
  <si>
    <t>津滨塘(挂)2017-2号</t>
  </si>
  <si>
    <t>≤2.2</t>
  </si>
  <si>
    <t>2017-06-15</t>
  </si>
  <si>
    <t>2017-07-06</t>
  </si>
  <si>
    <t>2017-07-19</t>
  </si>
  <si>
    <t>天津滨海新塘建设发展有限公司</t>
  </si>
  <si>
    <t>住宅70年*、商服40年</t>
  </si>
  <si>
    <t>滨海新区大港迎宾街西侧、育才路南侧</t>
  </si>
  <si>
    <t>津滨大(挂)2017-1号</t>
  </si>
  <si>
    <t>≤1.8</t>
  </si>
  <si>
    <t>2017-05-10</t>
  </si>
  <si>
    <t>2017-05-31</t>
  </si>
  <si>
    <t>2017-06-14</t>
  </si>
  <si>
    <t>甘建投(天津)房地产有限公司</t>
  </si>
  <si>
    <t>住宅70年、商服40年</t>
  </si>
  <si>
    <t>天津市滨海新区北塘</t>
  </si>
  <si>
    <t>津滨北塘(挂)2017-1号</t>
  </si>
  <si>
    <t>城镇住宅用地、商服用地、科教用地(幼儿园)、公园绿地</t>
  </si>
  <si>
    <t>综合容积率:≤1.16;单地块:1.0-1.5</t>
  </si>
  <si>
    <t>见出让公告</t>
  </si>
  <si>
    <t>2017-04-10</t>
  </si>
  <si>
    <t>2017-05-01</t>
  </si>
  <si>
    <t>天津顺集置业有限公司</t>
  </si>
  <si>
    <t>住宅70年、商服40年、绿地70年、科教50年</t>
  </si>
  <si>
    <t>滨海新区塘沽大连东道以南</t>
  </si>
  <si>
    <t>津滨中(挂)2016-1号</t>
  </si>
  <si>
    <t>≤8%</t>
  </si>
  <si>
    <t>2017-01-23</t>
  </si>
  <si>
    <t>2017-02-14</t>
  </si>
  <si>
    <t>2017-03-01</t>
  </si>
  <si>
    <t>天津滨海开元房地产开发有限公司</t>
  </si>
  <si>
    <t>津滨生(挂)2016-5号</t>
  </si>
  <si>
    <t>≤55米</t>
  </si>
  <si>
    <t>2017-02-16</t>
  </si>
  <si>
    <t>天津天保房地产开发有限公司</t>
  </si>
  <si>
    <t>70年</t>
  </si>
  <si>
    <t>生态城生态岛片区</t>
  </si>
  <si>
    <t>津滨生转让(挂)2016-5号</t>
  </si>
  <si>
    <t>≤1.1</t>
  </si>
  <si>
    <t>20米</t>
  </si>
  <si>
    <t>2016-12-12</t>
  </si>
  <si>
    <t>2017-01-10</t>
  </si>
  <si>
    <t>天津中建致远地产有限公司</t>
  </si>
  <si>
    <t>使用权终止日期为2079年12月21日</t>
  </si>
  <si>
    <t>津滨生转让(挂)2016-4号</t>
  </si>
  <si>
    <t>联发集团天津联和房地产开发有限公司</t>
  </si>
  <si>
    <t>津滨生转让(挂)2016-6号</t>
  </si>
  <si>
    <t>天津新城创置房地产开发有限公司</t>
  </si>
  <si>
    <t>津滨汉(挂)2016-5号</t>
  </si>
  <si>
    <t>城镇住宅用地、商服用地</t>
  </si>
  <si>
    <t>2016-11-28</t>
  </si>
  <si>
    <t>2016-12-18</t>
  </si>
  <si>
    <t>2016-12-28</t>
  </si>
  <si>
    <t>天津滨港房地产开发有限公司</t>
  </si>
  <si>
    <t>津滨汉(挂)2016-4号</t>
  </si>
  <si>
    <t>菱华阳光(天津)房地产开发有限公司</t>
  </si>
  <si>
    <t>天津市滨海新区塘沽新城镇地区</t>
  </si>
  <si>
    <t>津滨塘(挂)2016-2号</t>
  </si>
  <si>
    <t>住宅、商服用地</t>
  </si>
  <si>
    <t>1.0-1.8</t>
  </si>
  <si>
    <t>2016-12-19</t>
  </si>
  <si>
    <t>厦门禹洲鸿图地产开发有限公司</t>
  </si>
  <si>
    <t>津滨塘(挂)2016-1号</t>
  </si>
  <si>
    <t>1.0-1.5</t>
  </si>
  <si>
    <t>天津中建致诚地产有限公司</t>
  </si>
  <si>
    <t>津滨汉(挂)2016-3号</t>
  </si>
  <si>
    <t>津滨塘(挂)2016-3号</t>
  </si>
  <si>
    <t>＞1.0且≤1.94</t>
  </si>
  <si>
    <t>中建新塘(天津)投资发展有限公司</t>
  </si>
  <si>
    <t>津滨保(挂)2016-4号</t>
  </si>
  <si>
    <t>2016-09-26</t>
  </si>
  <si>
    <t>2016-10-16</t>
  </si>
  <si>
    <t>2016-10-26</t>
  </si>
  <si>
    <t>北京金隅嘉业房地产开发有限公司</t>
  </si>
  <si>
    <t>津滨保(挂)2016-3号</t>
  </si>
  <si>
    <t>津滨保(挂)2016-5号</t>
  </si>
  <si>
    <t>滨海新区中心商务区大沽区域</t>
  </si>
  <si>
    <t>津滨中(挂)2016-02号</t>
  </si>
  <si>
    <t>≤2.45</t>
  </si>
  <si>
    <t>≤100米</t>
  </si>
  <si>
    <t>2016-08-11</t>
  </si>
  <si>
    <t>2016-08-24</t>
  </si>
  <si>
    <t>北京合景弘峻投资管理有限公司</t>
  </si>
  <si>
    <t>津滨大(挂)2016-2号</t>
  </si>
  <si>
    <t>保利(天津)房地产开发有限公司</t>
  </si>
  <si>
    <t>津滨大(挂)2016-3号</t>
  </si>
  <si>
    <t>天津市滨海新区汉沽海丰路以西</t>
  </si>
  <si>
    <t>津滨汉(挂)2016-02号</t>
  </si>
  <si>
    <t>2016-06-28</t>
  </si>
  <si>
    <t>2016-07-20</t>
  </si>
  <si>
    <t>2016-08-03</t>
  </si>
  <si>
    <t>天津滨海荣泰置业有限公司</t>
  </si>
  <si>
    <t>滨海新区盛田路以东、同欣道以南</t>
  </si>
  <si>
    <t>津滨塘(挂)2015-4号</t>
  </si>
  <si>
    <t>住宅、商服用地(宜建内容为住宅、商业)</t>
  </si>
  <si>
    <t>大于1.0小于等于2.1</t>
  </si>
  <si>
    <t>2016-06-17</t>
  </si>
  <si>
    <t>2016-07-08</t>
  </si>
  <si>
    <t>滨海新区中新天津生态城中部片区</t>
  </si>
  <si>
    <t>津滨生转让(挂)2016-2号</t>
  </si>
  <si>
    <t>75米</t>
  </si>
  <si>
    <t>2016-06-13</t>
  </si>
  <si>
    <t>2016-07-03</t>
  </si>
  <si>
    <t>2016-07-13</t>
  </si>
  <si>
    <t>天津津城华新置业有限公司</t>
  </si>
  <si>
    <t>2079年2月9日</t>
  </si>
  <si>
    <t>津滨生转让(挂)2016-3号</t>
  </si>
  <si>
    <t>成交地面</t>
    <phoneticPr fontId="233" type="noConversion"/>
  </si>
  <si>
    <t>住宅</t>
    <phoneticPr fontId="26" type="noConversion"/>
  </si>
  <si>
    <t>已全部缴纳</t>
  </si>
  <si>
    <t>正常</t>
  </si>
  <si>
    <t>非个人房产</t>
  </si>
  <si>
    <t>仅含出让金</t>
  </si>
  <si>
    <t>售价</t>
  </si>
  <si>
    <t>住宅</t>
    <phoneticPr fontId="21" type="noConversion"/>
  </si>
  <si>
    <t>50-60（含）</t>
  </si>
  <si>
    <t>洋房</t>
    <phoneticPr fontId="21" type="noConversion"/>
  </si>
  <si>
    <t>小高层</t>
    <phoneticPr fontId="21" type="noConversion"/>
  </si>
  <si>
    <t>高层</t>
    <phoneticPr fontId="21" type="noConversion"/>
  </si>
  <si>
    <t>钢混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</si>
  <si>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</si>
  <si>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</si>
  <si>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</si>
  <si>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</si>
  <si>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</si>
  <si>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</si>
  <si>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</si>
  <si>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</si>
  <si>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</si>
  <si>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</si>
  <si>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</si>
  <si>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phoneticPr fontId="21" type="noConversion"/>
  </si>
  <si>
    <t>60-70（含）</t>
  </si>
  <si>
    <t>天保天成铂悦</t>
    <phoneticPr fontId="3" type="noConversion"/>
  </si>
  <si>
    <t>万科紫台</t>
    <phoneticPr fontId="3" type="noConversion"/>
  </si>
  <si>
    <t>底商</t>
  </si>
  <si>
    <t>底商</t>
    <phoneticPr fontId="7" type="noConversion"/>
  </si>
  <si>
    <t>远洋琨庭</t>
    <phoneticPr fontId="3" type="noConversion"/>
  </si>
  <si>
    <t>万科紫台</t>
    <phoneticPr fontId="3" type="noConversion"/>
  </si>
  <si>
    <t>南益名士华庭</t>
    <phoneticPr fontId="3" type="noConversion"/>
  </si>
  <si>
    <r>
      <rPr>
        <sz val="11"/>
        <color indexed="8"/>
        <rFont val="仿宋_GB2312"/>
        <family val="3"/>
        <charset val="134"/>
      </rPr>
      <t>正常</t>
    </r>
    <phoneticPr fontId="3" type="noConversion"/>
  </si>
  <si>
    <t>商业</t>
    <phoneticPr fontId="3" type="noConversion"/>
  </si>
  <si>
    <t>20-30（含）</t>
  </si>
  <si>
    <t>单面临街</t>
  </si>
  <si>
    <t>较好</t>
    <phoneticPr fontId="3" type="noConversion"/>
  </si>
  <si>
    <t>标准层高</t>
  </si>
  <si>
    <t>较适宜</t>
  </si>
  <si>
    <t>较好</t>
    <phoneticPr fontId="3" type="noConversion"/>
  </si>
  <si>
    <t>住宅底商</t>
  </si>
  <si>
    <t>不可做餐饮</t>
  </si>
  <si>
    <t>30-40（含）</t>
  </si>
  <si>
    <t>较大</t>
  </si>
  <si>
    <t>单面临街</t>
    <phoneticPr fontId="3" type="noConversion"/>
  </si>
  <si>
    <t>较大</t>
    <phoneticPr fontId="3" type="noConversion"/>
  </si>
  <si>
    <t>一般</t>
    <phoneticPr fontId="3" type="noConversion"/>
  </si>
  <si>
    <t>1-4</t>
    <phoneticPr fontId="3" type="noConversion"/>
  </si>
  <si>
    <t>独立商业</t>
    <phoneticPr fontId="3" type="noConversion"/>
  </si>
  <si>
    <t>商业街商业</t>
    <phoneticPr fontId="3" type="noConversion"/>
  </si>
  <si>
    <t>住宅底商</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</si>
  <si>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</si>
  <si>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</si>
  <si>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</si>
  <si>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</si>
  <si>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</si>
  <si>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可做餐饮</t>
    <phoneticPr fontId="3" type="noConversion"/>
  </si>
  <si>
    <t>不可做餐饮</t>
    <phoneticPr fontId="3" type="noConversion"/>
  </si>
  <si>
    <t>标准层高</t>
    <phoneticPr fontId="3" type="noConversion"/>
  </si>
  <si>
    <t>较适宜</t>
    <phoneticPr fontId="3" type="noConversion"/>
  </si>
  <si>
    <t>春华园四期</t>
    <phoneticPr fontId="3" type="noConversion"/>
  </si>
  <si>
    <t>春华园五期</t>
    <phoneticPr fontId="3" type="noConversion"/>
  </si>
  <si>
    <t>《建设工程规划许可证》[]、《经济技术指标》</t>
    <phoneticPr fontId="3" type="noConversion"/>
  </si>
  <si>
    <t>滨海新区开发区海滨大道以西、新港四号路以北远洋琨庭项目110地块住宅、商业用房</t>
    <phoneticPr fontId="6" type="noConversion"/>
  </si>
  <si>
    <t>较好</t>
    <phoneticPr fontId="26" type="noConversion"/>
  </si>
  <si>
    <t>一般</t>
    <phoneticPr fontId="26" type="noConversion"/>
  </si>
  <si>
    <t>一般</t>
    <phoneticPr fontId="26" type="noConversion"/>
  </si>
  <si>
    <t>七通</t>
    <phoneticPr fontId="26" type="noConversion"/>
  </si>
  <si>
    <t>七通</t>
    <phoneticPr fontId="26" type="noConversion"/>
  </si>
  <si>
    <r>
      <t>55.7</t>
    </r>
    <r>
      <rPr>
        <sz val="11"/>
        <color indexed="8"/>
        <rFont val="宋体"/>
        <family val="3"/>
        <charset val="134"/>
      </rPr>
      <t>、</t>
    </r>
    <r>
      <rPr>
        <sz val="11"/>
        <color indexed="8"/>
        <rFont val="Arial"/>
        <family val="2"/>
      </rPr>
      <t>25.7</t>
    </r>
    <phoneticPr fontId="26" type="noConversion"/>
  </si>
  <si>
    <r>
      <t>70</t>
    </r>
    <r>
      <rPr>
        <sz val="11"/>
        <color indexed="8"/>
        <rFont val="宋体"/>
        <family val="3"/>
        <charset val="134"/>
      </rPr>
      <t>、</t>
    </r>
    <r>
      <rPr>
        <sz val="11"/>
        <color indexed="8"/>
        <rFont val="Arial"/>
        <family val="2"/>
      </rPr>
      <t>40</t>
    </r>
    <phoneticPr fontId="26" type="noConversion"/>
  </si>
  <si>
    <t>天保天成铂悦</t>
    <phoneticPr fontId="3" type="noConversion"/>
  </si>
  <si>
    <t>较好</t>
    <phoneticPr fontId="21" type="noConversion"/>
  </si>
  <si>
    <t>一般</t>
    <phoneticPr fontId="21" type="noConversion"/>
  </si>
  <si>
    <t>七通</t>
    <phoneticPr fontId="21" type="noConversion"/>
  </si>
  <si>
    <t>生态城生态岛片区</t>
    <phoneticPr fontId="233" type="noConversion"/>
  </si>
  <si>
    <t>楼面地价</t>
  </si>
  <si>
    <t>较好</t>
    <phoneticPr fontId="26"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</si>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</sst>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10" borderId="0" xfId="0" applyFont="1" applyFill="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11" fillId="17" borderId="2" xfId="0" applyNumberFormat="1" applyFont="1" applyFill="1" applyBorder="1" applyAlignment="1" applyProtection="1">
      <alignment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vertical="center" wrapText="1"/>
      <protection locked="0"/>
    </xf>
    <xf numFmtId="176" fontId="11" fillId="17" borderId="2" xfId="0" applyNumberFormat="1" applyFont="1" applyFill="1" applyBorder="1" applyAlignment="1" applyProtection="1">
      <alignment horizontal="center" vertical="center" wrapText="1"/>
      <protection locked="0"/>
    </xf>
    <xf numFmtId="0" fontId="180" fillId="17" borderId="2" xfId="0" applyFont="1" applyFill="1" applyBorder="1" applyAlignment="1" applyProtection="1">
      <alignment horizontal="center" vertical="center"/>
      <protection locked="0"/>
    </xf>
    <xf numFmtId="176" fontId="71" fillId="17" borderId="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0" fillId="6" borderId="0" xfId="0" applyFill="1" applyAlignment="1"/>
    <xf numFmtId="0" fontId="145" fillId="6" borderId="0" xfId="0" applyFont="1" applyFill="1" applyAlignment="1"/>
    <xf numFmtId="189" fontId="86" fillId="18"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xf numFmtId="0" fontId="145" fillId="0" borderId="0" xfId="0" applyFont="1" applyAlignment="1"/>
    <xf numFmtId="9" fontId="158" fillId="0" borderId="5"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194" fontId="76" fillId="0" borderId="0" xfId="0" applyNumberFormat="1" applyFont="1" applyBorder="1" applyAlignment="1" applyProtection="1">
      <alignment horizontal="left" vertical="center" wrapText="1"/>
      <protection locked="0"/>
    </xf>
    <xf numFmtId="194" fontId="149" fillId="5" borderId="0" xfId="0" applyNumberFormat="1" applyFont="1" applyFill="1" applyProtection="1">
      <alignment vertical="center"/>
      <protection locked="0"/>
    </xf>
    <xf numFmtId="0" fontId="0" fillId="10" borderId="0" xfId="0" applyFill="1" applyAlignment="1"/>
    <xf numFmtId="49" fontId="144" fillId="18" borderId="24" xfId="0" applyNumberFormat="1" applyFont="1" applyFill="1" applyBorder="1" applyAlignment="1" applyProtection="1">
      <alignment horizontal="center" vertical="center" wrapText="1"/>
      <protection locked="0"/>
    </xf>
    <xf numFmtId="49" fontId="144" fillId="8"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665724</xdr:colOff>
      <xdr:row>46</xdr:row>
      <xdr:rowOff>132348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09524" cy="8019048"/>
        </a:xfrm>
        <a:prstGeom prst="rect">
          <a:avLst/>
        </a:prstGeom>
      </xdr:spPr>
    </xdr:pic>
    <xdr:clientData/>
  </xdr:twoCellAnchor>
  <xdr:twoCellAnchor editAs="oneCell">
    <xdr:from>
      <xdr:col>0</xdr:col>
      <xdr:colOff>1</xdr:colOff>
      <xdr:row>47</xdr:row>
      <xdr:rowOff>0</xdr:rowOff>
    </xdr:from>
    <xdr:to>
      <xdr:col>11</xdr:col>
      <xdr:colOff>587773</xdr:colOff>
      <xdr:row>73</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8058150"/>
          <a:ext cx="8131572" cy="4610100"/>
        </a:xfrm>
        <a:prstGeom prst="rect">
          <a:avLst/>
        </a:prstGeom>
      </xdr:spPr>
    </xdr:pic>
    <xdr:clientData/>
  </xdr:twoCellAnchor>
  <xdr:twoCellAnchor editAs="oneCell">
    <xdr:from>
      <xdr:col>13</xdr:col>
      <xdr:colOff>0</xdr:colOff>
      <xdr:row>0</xdr:row>
      <xdr:rowOff>0</xdr:rowOff>
    </xdr:from>
    <xdr:to>
      <xdr:col>25</xdr:col>
      <xdr:colOff>341829</xdr:colOff>
      <xdr:row>29</xdr:row>
      <xdr:rowOff>75569</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0"/>
          <a:ext cx="8571429" cy="5047619"/>
        </a:xfrm>
        <a:prstGeom prst="rect">
          <a:avLst/>
        </a:prstGeom>
      </xdr:spPr>
    </xdr:pic>
    <xdr:clientData/>
  </xdr:twoCellAnchor>
  <xdr:twoCellAnchor editAs="oneCell">
    <xdr:from>
      <xdr:col>13</xdr:col>
      <xdr:colOff>0</xdr:colOff>
      <xdr:row>30</xdr:row>
      <xdr:rowOff>0</xdr:rowOff>
    </xdr:from>
    <xdr:to>
      <xdr:col>24</xdr:col>
      <xdr:colOff>532391</xdr:colOff>
      <xdr:row>56</xdr:row>
      <xdr:rowOff>161348</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5143500"/>
          <a:ext cx="8076191" cy="4619048"/>
        </a:xfrm>
        <a:prstGeom prst="rect">
          <a:avLst/>
        </a:prstGeom>
      </xdr:spPr>
    </xdr:pic>
    <xdr:clientData/>
  </xdr:twoCellAnchor>
  <xdr:twoCellAnchor editAs="oneCell">
    <xdr:from>
      <xdr:col>12</xdr:col>
      <xdr:colOff>647586</xdr:colOff>
      <xdr:row>57</xdr:row>
      <xdr:rowOff>0</xdr:rowOff>
    </xdr:from>
    <xdr:to>
      <xdr:col>25</xdr:col>
      <xdr:colOff>132305</xdr:colOff>
      <xdr:row>69</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8877186" y="9772650"/>
          <a:ext cx="8400119" cy="2152650"/>
        </a:xfrm>
        <a:prstGeom prst="rect">
          <a:avLst/>
        </a:prstGeom>
      </xdr:spPr>
    </xdr:pic>
    <xdr:clientData/>
  </xdr:twoCellAnchor>
  <xdr:twoCellAnchor editAs="oneCell">
    <xdr:from>
      <xdr:col>0</xdr:col>
      <xdr:colOff>0</xdr:colOff>
      <xdr:row>74</xdr:row>
      <xdr:rowOff>0</xdr:rowOff>
    </xdr:from>
    <xdr:to>
      <xdr:col>12</xdr:col>
      <xdr:colOff>227543</xdr:colOff>
      <xdr:row>114</xdr:row>
      <xdr:rowOff>103905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687300"/>
          <a:ext cx="8457143" cy="6961905"/>
        </a:xfrm>
        <a:prstGeom prst="rect">
          <a:avLst/>
        </a:prstGeom>
      </xdr:spPr>
    </xdr:pic>
    <xdr:clientData/>
  </xdr:twoCellAnchor>
  <xdr:twoCellAnchor editAs="oneCell">
    <xdr:from>
      <xdr:col>0</xdr:col>
      <xdr:colOff>0</xdr:colOff>
      <xdr:row>115</xdr:row>
      <xdr:rowOff>0</xdr:rowOff>
    </xdr:from>
    <xdr:to>
      <xdr:col>12</xdr:col>
      <xdr:colOff>256115</xdr:colOff>
      <xdr:row>142</xdr:row>
      <xdr:rowOff>27993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716750"/>
          <a:ext cx="8485715" cy="4657143"/>
        </a:xfrm>
        <a:prstGeom prst="rect">
          <a:avLst/>
        </a:prstGeom>
      </xdr:spPr>
    </xdr:pic>
    <xdr:clientData/>
  </xdr:twoCellAnchor>
  <xdr:twoCellAnchor editAs="oneCell">
    <xdr:from>
      <xdr:col>0</xdr:col>
      <xdr:colOff>0</xdr:colOff>
      <xdr:row>142</xdr:row>
      <xdr:rowOff>0</xdr:rowOff>
    </xdr:from>
    <xdr:to>
      <xdr:col>11</xdr:col>
      <xdr:colOff>408581</xdr:colOff>
      <xdr:row>144</xdr:row>
      <xdr:rowOff>142814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345900"/>
          <a:ext cx="7952381" cy="485714"/>
        </a:xfrm>
        <a:prstGeom prst="rect">
          <a:avLst/>
        </a:prstGeom>
      </xdr:spPr>
    </xdr:pic>
    <xdr:clientData/>
  </xdr:twoCellAnchor>
  <xdr:twoCellAnchor editAs="oneCell">
    <xdr:from>
      <xdr:col>0</xdr:col>
      <xdr:colOff>0</xdr:colOff>
      <xdr:row>145</xdr:row>
      <xdr:rowOff>0</xdr:rowOff>
    </xdr:from>
    <xdr:to>
      <xdr:col>11</xdr:col>
      <xdr:colOff>237153</xdr:colOff>
      <xdr:row>150</xdr:row>
      <xdr:rowOff>57036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60250"/>
          <a:ext cx="7780953" cy="914286"/>
        </a:xfrm>
        <a:prstGeom prst="rect">
          <a:avLst/>
        </a:prstGeom>
      </xdr:spPr>
    </xdr:pic>
    <xdr:clientData/>
  </xdr:twoCellAnchor>
  <xdr:twoCellAnchor editAs="oneCell">
    <xdr:from>
      <xdr:col>0</xdr:col>
      <xdr:colOff>0</xdr:colOff>
      <xdr:row>151</xdr:row>
      <xdr:rowOff>0</xdr:rowOff>
    </xdr:from>
    <xdr:to>
      <xdr:col>12</xdr:col>
      <xdr:colOff>151353</xdr:colOff>
      <xdr:row>190</xdr:row>
      <xdr:rowOff>170593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888950"/>
          <a:ext cx="8380953" cy="6857143"/>
        </a:xfrm>
        <a:prstGeom prst="rect">
          <a:avLst/>
        </a:prstGeom>
      </xdr:spPr>
    </xdr:pic>
    <xdr:clientData/>
  </xdr:twoCellAnchor>
  <xdr:twoCellAnchor editAs="oneCell">
    <xdr:from>
      <xdr:col>0</xdr:col>
      <xdr:colOff>0</xdr:colOff>
      <xdr:row>191</xdr:row>
      <xdr:rowOff>0</xdr:rowOff>
    </xdr:from>
    <xdr:to>
      <xdr:col>11</xdr:col>
      <xdr:colOff>618105</xdr:colOff>
      <xdr:row>218</xdr:row>
      <xdr:rowOff>66088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746950"/>
          <a:ext cx="8161905" cy="4695238"/>
        </a:xfrm>
        <a:prstGeom prst="rect">
          <a:avLst/>
        </a:prstGeom>
      </xdr:spPr>
    </xdr:pic>
    <xdr:clientData/>
  </xdr:twoCellAnchor>
  <xdr:twoCellAnchor editAs="oneCell">
    <xdr:from>
      <xdr:col>0</xdr:col>
      <xdr:colOff>0</xdr:colOff>
      <xdr:row>219</xdr:row>
      <xdr:rowOff>0</xdr:rowOff>
    </xdr:from>
    <xdr:to>
      <xdr:col>11</xdr:col>
      <xdr:colOff>465724</xdr:colOff>
      <xdr:row>223</xdr:row>
      <xdr:rowOff>104676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547550"/>
          <a:ext cx="8009524" cy="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9&#22320;&#22359;-&#36828;&#27915;&#29736;&#24237;&#8212;&#30005;&#31639;&#34920;-&#21830;&#1999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
          <cell r="K10">
            <v>2</v>
          </cell>
        </row>
        <row r="15">
          <cell r="K15">
            <v>2</v>
          </cell>
        </row>
        <row r="17">
          <cell r="K17">
            <v>2</v>
          </cell>
        </row>
        <row r="19">
          <cell r="K19">
            <v>2</v>
          </cell>
        </row>
        <row r="21">
          <cell r="K21">
            <v>1</v>
          </cell>
        </row>
        <row r="23">
          <cell r="K23">
            <v>2</v>
          </cell>
        </row>
        <row r="25">
          <cell r="K25">
            <v>2</v>
          </cell>
        </row>
        <row r="27">
          <cell r="K27">
            <v>5</v>
          </cell>
        </row>
        <row r="32">
          <cell r="K32">
            <v>2</v>
          </cell>
        </row>
        <row r="34">
          <cell r="K34">
            <v>2</v>
          </cell>
        </row>
        <row r="35">
          <cell r="K35">
            <v>2</v>
          </cell>
        </row>
        <row r="36">
          <cell r="K36">
            <v>2</v>
          </cell>
        </row>
        <row r="37">
          <cell r="K37">
            <v>1</v>
          </cell>
        </row>
        <row r="38">
          <cell r="K38">
            <v>2</v>
          </cell>
        </row>
        <row r="39">
          <cell r="K39">
            <v>2</v>
          </cell>
        </row>
        <row r="41">
          <cell r="K41">
            <v>2</v>
          </cell>
        </row>
        <row r="42">
          <cell r="K42">
            <v>1</v>
          </cell>
        </row>
        <row r="43">
          <cell r="K43">
            <v>2</v>
          </cell>
        </row>
        <row r="47">
          <cell r="L47">
            <v>0.9</v>
          </cell>
        </row>
      </sheetData>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2650</v>
      </c>
      <c r="B1" s="2891" t="s">
        <v>2747</v>
      </c>
    </row>
    <row r="2" spans="1:55" s="2895" customFormat="1" ht="15" thickTop="1">
      <c r="A2" s="2893" t="s">
        <v>2654</v>
      </c>
      <c r="B2" s="2894" t="str">
        <f>'预评函-封皮'!B37</f>
        <v>天津市滨海新区开发区海滨大道以西、新港四号路以北远洋琨庭项目110地块住宅、商业用房出让国有建设用地使用权抵押价格预评估</v>
      </c>
      <c r="AX2" s="2896"/>
      <c r="AZ2" s="2896"/>
      <c r="BA2" s="2897"/>
      <c r="BC2" s="2897"/>
    </row>
    <row r="3" spans="1:55" s="2898" customFormat="1">
      <c r="A3" s="2877" t="s">
        <v>2655</v>
      </c>
      <c r="B3" s="2880" t="str">
        <f>'预评函-封皮'!B40</f>
        <v>天津城投滨海房地产经营有限公司</v>
      </c>
    </row>
    <row r="4" spans="1:55" s="2879" customFormat="1">
      <c r="A4" s="2877" t="s">
        <v>2656</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2657</v>
      </c>
      <c r="B5" s="2900" t="str">
        <f>'预评函-封皮'!B49</f>
        <v>康正预评字号</v>
      </c>
    </row>
    <row r="6" spans="1:55" s="2901" customFormat="1" ht="15" thickTop="1">
      <c r="A6" s="2893" t="s">
        <v>2699</v>
      </c>
      <c r="B6" s="2894" t="str">
        <f>'预评函-1'!A4</f>
        <v>受贵公司委托，我公司对天津市滨海新区开发区海滨大道以西、新港四号路以北远洋琨庭项目110地块住宅、商业用房出让国有建设用地使用权抵押价格进行了预评估。</v>
      </c>
      <c r="AM6" s="2902"/>
    </row>
    <row r="7" spans="1:55" s="2876" customFormat="1">
      <c r="A7" s="2877" t="s">
        <v>2651</v>
      </c>
      <c r="B7" s="2878" t="str">
        <f>'预评函-1'!A6</f>
        <v>估价对象为天津城投滨海房地产经营有限公司使用的、位于天津市滨海新区开发区海滨大道以西、新港四号路以北远洋琨庭项目110地块住宅、商业用房出让国有建设用地使用权。根据《国有土地使用证》[津2017开发区不动产权第1011751号]，估价对象（分摊）出让国有建设用地使用权面积为51383.96平方米。根据《建设工程规划许可证》[]、《经济技术指标》，估价对象规划建筑面积为160029.14平方米。</v>
      </c>
    </row>
    <row r="8" spans="1:55" s="2876" customFormat="1">
      <c r="A8" s="2877" t="s">
        <v>2652</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2702</v>
      </c>
      <c r="B9" s="2878"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2653</v>
      </c>
      <c r="B10" s="2878" t="str">
        <f>'预评函-1'!A11</f>
        <v>2018年8月13日（评估专业人员勘察现场之日）</v>
      </c>
    </row>
    <row r="11" spans="1:55" s="2876" customFormat="1">
      <c r="A11" s="2877" t="s">
        <v>2659</v>
      </c>
      <c r="B11" s="2878" t="str">
        <f>'预评函-1'!A14</f>
        <v>根据《国有土地使用证》[津2017开发区不动产权第1011751号]，本次评估估价对象证载（地类）用途为城镇住宅用地。</v>
      </c>
    </row>
    <row r="12" spans="1:55" s="2876" customFormat="1">
      <c r="A12" s="2877" t="s">
        <v>2660</v>
      </c>
      <c r="B12" s="2878" t="str">
        <f>'预评函-1'!A15</f>
        <v>本次评估设定用途即为证载用途住宅、地下车库。</v>
      </c>
    </row>
    <row r="13" spans="1:55" s="2876" customFormat="1">
      <c r="A13" s="2877" t="s">
        <v>2661</v>
      </c>
      <c r="B13" s="2878" t="str">
        <f>'预评函-1'!A17</f>
        <v>根据委托估价方介绍及评估专业人员现场勘查，本次评估估价对象实际土地开发程度为红线外市政基础设施达“七通”（即通路、通电、通讯、通上水、通下水、通热、燃气）、宗地红线内场地平整。</v>
      </c>
    </row>
    <row r="14" spans="1:55" s="2876" customFormat="1">
      <c r="A14" s="2877" t="s">
        <v>2662</v>
      </c>
      <c r="B14" s="2878" t="str">
        <f>'预评函-1'!A18</f>
        <v>本次评估设定土地开发程度为红线外市政基础设施达“七通”、宗地红线内场地平整。</v>
      </c>
    </row>
    <row r="15" spans="1:55" s="2876" customFormat="1">
      <c r="A15" s="2877" t="s">
        <v>2658</v>
      </c>
      <c r="B15" s="2878" t="str">
        <f>'预评函-1'!A20</f>
        <v>根据《国有土地使用证》[津2017开发区不动产权第1011751号]，估价对象（分摊）出让国有建设用地使用权面积为51383.96平方米。根据《建设工程规划许可证》[]、《经济技术指标》，估价对象规划建筑面积为160029.14平方米。</v>
      </c>
    </row>
    <row r="16" spans="1:55" s="2876" customFormat="1">
      <c r="A16" s="2877" t="s">
        <v>2663</v>
      </c>
      <c r="B16" s="2878" t="str">
        <f>'预评函-1'!A22</f>
        <v>本次估价对象为出让国有建设用地使用权，《国有土地使用证》[津2017开发区不动产权第1011751号]证载土地终止日期为住宅2074年4月26日、商业2044年4月26日车库2054年4月26日。截至估价期日，出让国有建设用地使用权剩余土地使用年限为住宅55.7年、地下车库35.7年。</v>
      </c>
    </row>
    <row r="17" spans="1:48" s="2876" customFormat="1">
      <c r="A17" s="2877" t="s">
        <v>2664</v>
      </c>
      <c r="B17" s="2878" t="str">
        <f>'预评函-1'!A23</f>
        <v>本次评估设定估价对象剩余土地使用年限为住宅55.7年、地下车库35.7年。</v>
      </c>
    </row>
    <row r="18" spans="1:48" s="2876" customFormat="1">
      <c r="A18" s="2877" t="s">
        <v>2665</v>
      </c>
      <c r="B18" s="2878" t="str">
        <f>'预评函-1'!A25</f>
        <v>本次估价的“出让国有建设用地使用权价格”是指在估价对象土地所有权为国家所有，使用权性质为出让，在公开市场条件下、于估价期日2018年8月13日，在规划利用条件下、设定土地开发程度为红线外“七通”、宗地内场地平整，设定用途为住宅、地下车库，剩余土地使用年限为住宅55.7年、地下车库35.7年的出让国有建设用地使用权价格。</v>
      </c>
    </row>
    <row r="19" spans="1:48" s="2876" customFormat="1">
      <c r="A19" s="2877" t="s">
        <v>2666</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2667</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2668</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2669</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2670</v>
      </c>
      <c r="B23" s="2878" t="str">
        <f>'预评函-2'!K2</f>
        <v>估价期日：2018年8月13日</v>
      </c>
    </row>
    <row r="24" spans="1:48">
      <c r="A24" s="2877" t="s">
        <v>2671</v>
      </c>
      <c r="B24" s="2878" t="str">
        <f>'预评函-2'!R2</f>
        <v>估价期日的国有建设用地使用权性质：出让</v>
      </c>
    </row>
    <row r="25" spans="1:48">
      <c r="A25" s="2877" t="s">
        <v>2727</v>
      </c>
      <c r="B25" s="2878" t="str">
        <f>'预评函-2'!A3</f>
        <v>估价期日土地使用者</v>
      </c>
    </row>
    <row r="26" spans="1:48">
      <c r="A26" s="2877" t="s">
        <v>2703</v>
      </c>
      <c r="B26" s="2878" t="str">
        <f>'预评函-2'!A5</f>
        <v>中信开发</v>
      </c>
    </row>
    <row r="27" spans="1:48">
      <c r="A27" s="2877" t="s">
        <v>2728</v>
      </c>
      <c r="B27" s="2878" t="str">
        <f>'预评函-2'!B3</f>
        <v>宗地编号/不动产单元号</v>
      </c>
    </row>
    <row r="28" spans="1:48">
      <c r="A28" s="2877" t="s">
        <v>2704</v>
      </c>
      <c r="B28" s="2878" t="str">
        <f>'预评函-2'!B5</f>
        <v>11111111111</v>
      </c>
    </row>
    <row r="29" spans="1:48">
      <c r="A29" s="2877" t="s">
        <v>2730</v>
      </c>
      <c r="B29" s="2878">
        <f>'预评函-2'!C5</f>
        <v>22</v>
      </c>
    </row>
    <row r="30" spans="1:48">
      <c r="A30" s="2877" t="s">
        <v>2731</v>
      </c>
      <c r="B30" s="2878" t="str">
        <f>'预评函-2'!D3</f>
        <v>土地使用证编号/不动产权证书编号</v>
      </c>
    </row>
    <row r="31" spans="1:48">
      <c r="A31" s="2877" t="s">
        <v>2705</v>
      </c>
      <c r="B31" s="2878" t="str">
        <f>'预评函-2'!D5</f>
        <v>京国土字第111号</v>
      </c>
    </row>
    <row r="32" spans="1:48">
      <c r="A32" s="2877" t="s">
        <v>2706</v>
      </c>
      <c r="B32" s="2878" t="str">
        <f>'预评函-2'!E5</f>
        <v>城镇住宅用地</v>
      </c>
      <c r="AV32" s="2882"/>
    </row>
    <row r="33" spans="1:2">
      <c r="A33" s="2877" t="s">
        <v>2707</v>
      </c>
      <c r="B33" s="2878">
        <f>'预评函-2'!F5</f>
        <v>258</v>
      </c>
    </row>
    <row r="34" spans="1:2">
      <c r="A34" s="2877" t="s">
        <v>2708</v>
      </c>
      <c r="B34" s="2878" t="str">
        <f>'预评函-2'!G5</f>
        <v>住宅、地下车库</v>
      </c>
    </row>
    <row r="35" spans="1:2">
      <c r="A35" s="2877" t="s">
        <v>2709</v>
      </c>
      <c r="B35" s="2878">
        <f>'预评函-2'!H5</f>
        <v>1.5</v>
      </c>
    </row>
    <row r="36" spans="1:2">
      <c r="A36" s="2877" t="s">
        <v>2710</v>
      </c>
      <c r="B36" s="2878">
        <f>'预评函-2'!I5</f>
        <v>1.5</v>
      </c>
    </row>
    <row r="37" spans="1:2">
      <c r="A37" s="2877" t="s">
        <v>2711</v>
      </c>
      <c r="B37" s="2878">
        <f>'预评函-2'!J5</f>
        <v>1.5</v>
      </c>
    </row>
    <row r="38" spans="1:2">
      <c r="A38" s="2877" t="s">
        <v>2712</v>
      </c>
      <c r="B38" s="2878" t="str">
        <f>'预评函-2'!K5</f>
        <v>红线外七通、宗地红线内场地平整</v>
      </c>
    </row>
    <row r="39" spans="1:2">
      <c r="A39" s="2877" t="s">
        <v>2713</v>
      </c>
      <c r="B39" s="2878" t="str">
        <f>'预评函-2'!L5</f>
        <v>红线外七通、宗地红线内场地平整</v>
      </c>
    </row>
    <row r="40" spans="1:2">
      <c r="A40" s="2877" t="s">
        <v>2732</v>
      </c>
      <c r="B40" s="2878" t="str">
        <f>'预评函-2'!M3</f>
        <v>（剩余）土地使用年限/年</v>
      </c>
    </row>
    <row r="41" spans="1:2">
      <c r="A41" s="2877" t="s">
        <v>2714</v>
      </c>
      <c r="B41" s="2878" t="str">
        <f>'预评函-2'!M5</f>
        <v>住宅55.7年、地下车库35.7年</v>
      </c>
    </row>
    <row r="42" spans="1:2">
      <c r="A42" s="2877" t="s">
        <v>2733</v>
      </c>
      <c r="B42" s="2878" t="str">
        <f>'预评函-2'!N3</f>
        <v>（分摊）出让国有建设用地使用权面积/㎡</v>
      </c>
    </row>
    <row r="43" spans="1:2">
      <c r="A43" s="2877" t="s">
        <v>2715</v>
      </c>
      <c r="B43" s="2878">
        <f>'预评函-2'!N5</f>
        <v>51383.96</v>
      </c>
    </row>
    <row r="44" spans="1:2">
      <c r="A44" s="2877" t="s">
        <v>2734</v>
      </c>
      <c r="B44" s="2878" t="str">
        <f>'预评函-2'!O3</f>
        <v>规划建筑面积/㎡</v>
      </c>
    </row>
    <row r="45" spans="1:2">
      <c r="A45" s="2877" t="s">
        <v>2716</v>
      </c>
      <c r="B45" s="2878">
        <f>'预评函-2'!O5</f>
        <v>160029.13999999998</v>
      </c>
    </row>
    <row r="46" spans="1:2">
      <c r="A46" s="2877" t="s">
        <v>2717</v>
      </c>
      <c r="B46" s="2878">
        <f ca="1">'预评函-2'!P5</f>
        <v>33996</v>
      </c>
    </row>
    <row r="47" spans="1:2">
      <c r="A47" s="2877" t="s">
        <v>2718</v>
      </c>
      <c r="B47" s="2878">
        <f ca="1">'预评函-2'!Q5</f>
        <v>10916</v>
      </c>
    </row>
    <row r="48" spans="1:2">
      <c r="A48" s="2877" t="s">
        <v>2719</v>
      </c>
      <c r="B48" s="2878">
        <f ca="1">'预评函-2'!R5</f>
        <v>174684</v>
      </c>
    </row>
    <row r="49" spans="1:2">
      <c r="A49" s="2877" t="s">
        <v>2735</v>
      </c>
      <c r="B49" s="2878" t="str">
        <f>'预评函-2'!A6</f>
        <v>抵押价格</v>
      </c>
    </row>
    <row r="50" spans="1:2">
      <c r="A50" s="2877" t="s">
        <v>2720</v>
      </c>
      <c r="B50" s="2878">
        <f ca="1">'预评函-2'!R6</f>
        <v>174684</v>
      </c>
    </row>
    <row r="51" spans="1:2">
      <c r="A51" s="2877" t="s">
        <v>2736</v>
      </c>
      <c r="B51" s="2878" t="str">
        <f>'预评函-2'!A7</f>
        <v>——</v>
      </c>
    </row>
    <row r="52" spans="1:2">
      <c r="A52" s="2877" t="s">
        <v>2721</v>
      </c>
      <c r="B52" s="2878" t="str">
        <f>'预评函-2'!R7</f>
        <v>——</v>
      </c>
    </row>
    <row r="53" spans="1:2">
      <c r="A53" s="2877" t="s">
        <v>2737</v>
      </c>
      <c r="B53" s="2878" t="str">
        <f>'预评函-2'!A8</f>
        <v>抵押净值</v>
      </c>
    </row>
    <row r="54" spans="1:2" s="2892" customFormat="1" ht="15" thickBot="1">
      <c r="A54" s="2899" t="s">
        <v>2722</v>
      </c>
      <c r="B54" s="2900">
        <f ca="1">'预评函-2'!R8</f>
        <v>95870</v>
      </c>
    </row>
    <row r="55" spans="1:2" ht="15" thickTop="1">
      <c r="A55" s="2888" t="s">
        <v>2672</v>
      </c>
      <c r="B55" s="2889" t="str">
        <f>'预评函-3'!A2</f>
        <v>1.权利限制：根据估价对象《国有土地使用证》原件、，截至估价期日，估价对象抵押权未见登记。未设定租赁等其他他项权利。</v>
      </c>
    </row>
    <row r="56" spans="1:2">
      <c r="A56" s="2877" t="s">
        <v>2673</v>
      </c>
      <c r="B56" s="2878" t="str">
        <f>'预评函-3'!A3</f>
        <v>2.基础设施条件：估价对象实际开发程度为红线外七通、宗地红线内场地平整；本次评估设定开发程度为红线外七通、宗地红线内场地平整。</v>
      </c>
    </row>
    <row r="57" spans="1:2">
      <c r="A57" s="2877" t="s">
        <v>2674</v>
      </c>
      <c r="B57" s="2878" t="str">
        <f>'预评函-3'!A4</f>
        <v>3.估价规划限制条件：详见《建设工程规划许可证》[]、《经济技术指标》。</v>
      </c>
    </row>
    <row r="58" spans="1:2" s="2892" customFormat="1" ht="15" thickBot="1">
      <c r="A58" s="2899" t="s">
        <v>2723</v>
      </c>
      <c r="B58" s="2900" t="str">
        <f>'预评函-3'!A5</f>
        <v>4.影响价格的其他限定条件：无。</v>
      </c>
    </row>
    <row r="59" spans="1:2" ht="15" thickTop="1">
      <c r="A59" s="2888" t="s">
        <v>2675</v>
      </c>
      <c r="B59" s="2889" t="str">
        <f>'预评函-3'!A8</f>
        <v>2.本《评估意见函》仅供金融机构进行内部审核使用，不做其他目的之用。</v>
      </c>
    </row>
    <row r="60" spans="1:2">
      <c r="A60" s="2877" t="s">
        <v>2676</v>
      </c>
      <c r="B60" s="2878" t="str">
        <f>'预评函-3'!A9</f>
        <v>3.抵押双方在办理抵押登记手续时，应使用本公司出具的正式《土地估价报告》，特提请报告使用者注意。</v>
      </c>
    </row>
    <row r="61" spans="1:2">
      <c r="A61" s="2877" t="s">
        <v>2678</v>
      </c>
      <c r="B61" s="2878" t="str">
        <f>'预评函-3'!A10</f>
        <v>4.估价师所知悉的法定优先受偿款情况为：</v>
      </c>
    </row>
    <row r="62" spans="1:2">
      <c r="A62" s="2877" t="s">
        <v>2677</v>
      </c>
      <c r="B62" s="2878" t="str">
        <f>'预评函-3'!A11</f>
        <v>（1）根据估价对象《国有土地使用证》原件、，截至估价期日，估价对象抵押权未见登记。</v>
      </c>
    </row>
    <row r="63" spans="1:2">
      <c r="A63" s="2877" t="s">
        <v>2679</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2680</v>
      </c>
      <c r="B64" s="2883" t="str">
        <f>'预评函-3'!A13</f>
        <v>（3）。</v>
      </c>
    </row>
    <row r="65" spans="1:2">
      <c r="A65" s="2877" t="s">
        <v>2681</v>
      </c>
      <c r="B65" s="2884" t="str">
        <f>'预评函-3'!A14</f>
        <v>综上，本次评估不存在估价师知悉的法定优先受偿款</v>
      </c>
    </row>
    <row r="66" spans="1:2">
      <c r="A66" s="2877" t="s">
        <v>2682</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2683</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2686</v>
      </c>
      <c r="B68" s="2903">
        <f>'预评函-3'!D30</f>
        <v>42558</v>
      </c>
    </row>
    <row r="69" spans="1:2" ht="15" thickTop="1">
      <c r="A69" s="2888" t="s">
        <v>2684</v>
      </c>
      <c r="B69" s="2889" t="str">
        <f>'预评函-3'!A20</f>
        <v>赵雯</v>
      </c>
    </row>
    <row r="70" spans="1:2">
      <c r="A70" s="2877" t="s">
        <v>2684</v>
      </c>
      <c r="B70" s="2884">
        <f ca="1">'预评函-3'!B20</f>
        <v>2011110090</v>
      </c>
    </row>
    <row r="71" spans="1:2">
      <c r="A71" s="2877" t="s">
        <v>2685</v>
      </c>
      <c r="B71" s="2878" t="str">
        <f>'预评函-3'!A21</f>
        <v>崔锴</v>
      </c>
    </row>
    <row r="72" spans="1:2" s="2892" customFormat="1" ht="15" thickBot="1">
      <c r="A72" s="2899" t="s">
        <v>2685</v>
      </c>
      <c r="B72" s="2905">
        <f ca="1">'预评函-3'!B21</f>
        <v>2010110070</v>
      </c>
    </row>
    <row r="73" spans="1:2" ht="15" thickTop="1">
      <c r="A73" s="2888" t="s">
        <v>2744</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2745</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2746</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2781</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1" sqref="F11"/>
    </sheetView>
  </sheetViews>
  <sheetFormatPr defaultColWidth="10" defaultRowHeight="14.25"/>
  <cols>
    <col min="1" max="1" width="15.375" style="1690" customWidth="1"/>
    <col min="2" max="2" width="11.375" style="1690" customWidth="1"/>
    <col min="3" max="3" width="12.625" style="1690" customWidth="1"/>
    <col min="4" max="4" width="12.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65" t="str">
        <f>IF(B10="北京市","北京市",C10)&amp;F10&amp;B16&amp;"国有建设用地使用权"&amp;B9&amp;"预评估"</f>
        <v>天津市滨海新区开发区海滨大道以西、新港四号路以北远洋琨庭项目110地块住宅、商业用房出让国有建设用地使用权抵押价格预评估</v>
      </c>
      <c r="C1" s="3266"/>
      <c r="D1" s="3266"/>
      <c r="E1" s="3266"/>
      <c r="F1" s="3266"/>
      <c r="G1" s="3266"/>
      <c r="H1" s="3266"/>
      <c r="I1" s="3267"/>
      <c r="J1" s="1693"/>
      <c r="K1" s="2454" t="str">
        <f>IF(B10="北京市","北京市",C10)&amp;F10&amp;B16&amp;"国有建设用地使用权"&amp;B9</f>
        <v>天津市滨海新区开发区海滨大道以西、新港四号路以北远洋琨庭项目110地块住宅、商业用房出让国有建设用地使用权抵押价格</v>
      </c>
      <c r="L1" s="1722"/>
      <c r="M1" s="1722"/>
      <c r="N1" s="1693"/>
      <c r="O1" s="1694"/>
      <c r="P1" s="1693"/>
      <c r="Q1" s="1693"/>
      <c r="R1" s="1693"/>
      <c r="S1" s="1693"/>
      <c r="T1" s="1693"/>
      <c r="U1" s="1693"/>
    </row>
    <row r="2" spans="1:21">
      <c r="A2" s="1659" t="s">
        <v>1939</v>
      </c>
      <c r="B2" s="3181"/>
      <c r="D2" s="1693"/>
      <c r="E2" s="1693"/>
      <c r="F2" s="1693"/>
      <c r="G2" s="1693"/>
      <c r="H2" s="1659"/>
      <c r="I2" s="1694"/>
      <c r="J2" s="1693"/>
      <c r="K2" s="2454" t="str">
        <f>IF(B10="北京市","北京市",C10)&amp;F10&amp;B16&amp;"国有建设用地使用权"</f>
        <v>天津市滨海新区开发区海滨大道以西、新港四号路以北远洋琨庭项目110地块住宅、商业用房出让国有建设用地使用权</v>
      </c>
      <c r="L2" s="1722"/>
      <c r="M2" s="1722"/>
      <c r="N2" s="1693"/>
      <c r="O2" s="1694"/>
      <c r="P2" s="1693"/>
      <c r="Q2" s="1693"/>
      <c r="R2" s="1693"/>
      <c r="S2" s="1693"/>
      <c r="T2" s="1693"/>
      <c r="U2" s="1693"/>
    </row>
    <row r="3" spans="1:21">
      <c r="A3" s="1660" t="s">
        <v>1940</v>
      </c>
      <c r="B3" s="1661">
        <v>43325</v>
      </c>
      <c r="C3" s="1662" t="s">
        <v>1995</v>
      </c>
      <c r="D3" s="1661">
        <v>43325</v>
      </c>
      <c r="E3" s="1693"/>
      <c r="F3" s="1693"/>
      <c r="G3" s="1693"/>
      <c r="H3" s="1659"/>
      <c r="I3" s="1694"/>
      <c r="J3" s="1693"/>
      <c r="K3" s="1773"/>
      <c r="L3" s="1722"/>
      <c r="M3" s="1722"/>
      <c r="N3" s="1693"/>
      <c r="O3" s="1694"/>
      <c r="P3" s="1693"/>
      <c r="Q3" s="1693"/>
      <c r="R3" s="1693"/>
      <c r="S3" s="1693"/>
      <c r="T3" s="1693"/>
      <c r="U3" s="1693"/>
    </row>
    <row r="4" spans="1:21" ht="15" thickBot="1">
      <c r="A4" s="1663" t="s">
        <v>1941</v>
      </c>
      <c r="B4" s="1841" t="s">
        <v>2971</v>
      </c>
      <c r="C4" s="1844">
        <f ca="1">SUMIF(土地估价师,B4,估价师及机构信息!E3:E24)</f>
        <v>2011110090</v>
      </c>
      <c r="D4" s="1841" t="s">
        <v>2972</v>
      </c>
      <c r="E4" s="1844">
        <f ca="1">SUMIF(土地估价师,D4,估价师及机构信息!E3:E24)</f>
        <v>2010110070</v>
      </c>
      <c r="F4" s="1841" t="s">
        <v>950</v>
      </c>
      <c r="G4" s="1844">
        <f>SUMIF(土地估价师,F4,估价师及机构信息!E3:E24)</f>
        <v>0</v>
      </c>
      <c r="H4" s="1841" t="s">
        <v>950</v>
      </c>
      <c r="I4" s="1844">
        <f>SUMIF(土地估价师,H4,估价师及机构信息!E3:E24)</f>
        <v>0</v>
      </c>
      <c r="J4" s="1693"/>
      <c r="K4" s="2454" t="str">
        <f>IF(AND(F4="——",H4="——"),B4&amp;"、"&amp;D4,IF(AND(F4&lt;&gt;"——",H4="——"),B4&amp;"、"&amp;D4&amp;"、"&amp;F4,B4&amp;"、"&amp;D4&amp;"、"&amp;F4&amp;"、"&amp;H4))</f>
        <v>赵雯、崔锴</v>
      </c>
      <c r="L4" s="1722"/>
      <c r="M4" s="1722"/>
      <c r="N4" s="1693"/>
      <c r="O4" s="1694"/>
      <c r="P4" s="1693"/>
      <c r="Q4" s="1693"/>
      <c r="R4" s="1693"/>
      <c r="S4" s="1693"/>
      <c r="T4" s="1693"/>
      <c r="U4" s="1693"/>
    </row>
    <row r="5" spans="1:21" ht="15" thickTop="1">
      <c r="A5" s="1664" t="s">
        <v>1942</v>
      </c>
      <c r="B5" s="1788" t="s">
        <v>2973</v>
      </c>
      <c r="C5" s="1665"/>
      <c r="D5" s="1666"/>
      <c r="E5" s="1693"/>
      <c r="F5" s="1693"/>
      <c r="G5" s="1693"/>
      <c r="H5" s="1659"/>
      <c r="I5" s="1694"/>
      <c r="J5" s="1693"/>
      <c r="K5" s="1773"/>
      <c r="L5" s="1722"/>
      <c r="M5" s="1722"/>
      <c r="N5" s="1693"/>
      <c r="O5" s="1694"/>
      <c r="P5" s="1693"/>
      <c r="Q5" s="1693"/>
      <c r="R5" s="1693"/>
      <c r="S5" s="1693"/>
      <c r="T5" s="1693"/>
      <c r="U5" s="1693"/>
    </row>
    <row r="6" spans="1:21" ht="26.25">
      <c r="A6" s="1662" t="s">
        <v>2700</v>
      </c>
      <c r="B6" s="1788" t="s">
        <v>2974</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2701</v>
      </c>
      <c r="B7" s="1788" t="str">
        <f>B5</f>
        <v>天津城投滨海房地产经营有限公司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2975</v>
      </c>
      <c r="C8" s="1670"/>
      <c r="D8" s="3271" t="s">
        <v>1945</v>
      </c>
      <c r="E8" s="1842" t="s">
        <v>2976</v>
      </c>
      <c r="F8" s="1671"/>
      <c r="G8" s="1659"/>
      <c r="H8" s="1659"/>
      <c r="I8" s="1706"/>
      <c r="J8" s="1693"/>
      <c r="K8" s="1773"/>
      <c r="L8" s="1722"/>
      <c r="M8" s="1722"/>
      <c r="N8" s="1693"/>
      <c r="O8" s="1694"/>
      <c r="P8" s="1693"/>
      <c r="Q8" s="1693"/>
      <c r="R8" s="1693"/>
      <c r="S8" s="1693"/>
      <c r="T8" s="1693"/>
      <c r="U8" s="1693"/>
    </row>
    <row r="9" spans="1:21" ht="15" thickBot="1">
      <c r="A9" s="1672" t="s">
        <v>1944</v>
      </c>
      <c r="B9" s="1673" t="s">
        <v>2976</v>
      </c>
      <c r="C9" s="1674"/>
      <c r="D9" s="3272"/>
      <c r="E9" s="1673" t="s">
        <v>2848</v>
      </c>
      <c r="F9" s="1746"/>
      <c r="G9" s="1741"/>
      <c r="H9" s="1741"/>
      <c r="I9" s="1742"/>
      <c r="J9" s="1693"/>
      <c r="K9" s="1773"/>
      <c r="L9" s="1722"/>
      <c r="M9" s="1722"/>
      <c r="N9" s="1693"/>
      <c r="O9" s="1694"/>
      <c r="P9" s="1693"/>
      <c r="Q9" s="1693"/>
      <c r="R9" s="1693"/>
      <c r="S9" s="1693"/>
      <c r="T9" s="1693"/>
      <c r="U9" s="1693"/>
    </row>
    <row r="10" spans="1:21" ht="15" thickTop="1">
      <c r="A10" s="1743" t="s">
        <v>1998</v>
      </c>
      <c r="B10" s="1718" t="s">
        <v>2977</v>
      </c>
      <c r="C10" s="1675" t="s">
        <v>2979</v>
      </c>
      <c r="D10" s="1666"/>
      <c r="E10" s="1676" t="s">
        <v>1947</v>
      </c>
      <c r="F10" s="1677" t="s">
        <v>3465</v>
      </c>
      <c r="G10" s="1744"/>
      <c r="H10" s="1745"/>
      <c r="I10" s="1666"/>
      <c r="J10" s="1693"/>
      <c r="K10" s="1773"/>
      <c r="L10" s="1722"/>
      <c r="M10" s="1722"/>
      <c r="N10" s="1693"/>
      <c r="O10" s="1694"/>
      <c r="P10" s="1693"/>
      <c r="Q10" s="1693"/>
      <c r="R10" s="1693"/>
      <c r="S10" s="1693"/>
      <c r="T10" s="1693"/>
      <c r="U10" s="1693"/>
    </row>
    <row r="11" spans="1:21" ht="42.75">
      <c r="A11" s="1696" t="s">
        <v>1999</v>
      </c>
      <c r="B11" s="1697" t="s">
        <v>2980</v>
      </c>
      <c r="C11" s="1678" t="str">
        <f>B5</f>
        <v>天津城投滨海房地产经营有限公司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68" t="s">
        <v>3110</v>
      </c>
      <c r="C12" s="3269"/>
      <c r="D12" s="3270"/>
      <c r="E12" s="1698" t="s">
        <v>2060</v>
      </c>
      <c r="F12" s="3286" t="s">
        <v>3111</v>
      </c>
      <c r="G12" s="3287"/>
      <c r="H12" s="3287"/>
      <c r="I12" s="3288"/>
      <c r="J12" s="1693"/>
      <c r="K12" s="1773"/>
      <c r="L12" s="1722"/>
      <c r="M12" s="1722"/>
      <c r="N12" s="1693"/>
      <c r="O12" s="1694"/>
      <c r="P12" s="1693"/>
      <c r="Q12" s="1693"/>
      <c r="R12" s="1693"/>
      <c r="S12" s="1693"/>
      <c r="T12" s="1693"/>
      <c r="U12" s="1693"/>
    </row>
    <row r="13" spans="1:21">
      <c r="A13" s="1686" t="s">
        <v>2058</v>
      </c>
      <c r="B13" s="3268" t="s">
        <v>3112</v>
      </c>
      <c r="C13" s="3269"/>
      <c r="D13" s="3270"/>
      <c r="E13" s="1698" t="s">
        <v>2060</v>
      </c>
      <c r="F13" s="3286" t="str">
        <f>F12</f>
        <v>《国有土地使用证》[津2017开发区不动产权第1011751号]</v>
      </c>
      <c r="G13" s="3287"/>
      <c r="H13" s="3287"/>
      <c r="I13" s="3288"/>
      <c r="J13" s="1693"/>
      <c r="K13" s="1773"/>
      <c r="L13" s="1722"/>
      <c r="M13" s="1722"/>
      <c r="N13" s="1693"/>
      <c r="O13" s="1694"/>
      <c r="P13" s="1693"/>
      <c r="Q13" s="1693"/>
      <c r="R13" s="1693"/>
      <c r="S13" s="1693"/>
      <c r="T13" s="1693"/>
      <c r="U13" s="1693"/>
    </row>
    <row r="14" spans="1:21">
      <c r="A14" s="1660" t="s">
        <v>2061</v>
      </c>
      <c r="B14" s="1698"/>
      <c r="C14" s="1843"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2984</v>
      </c>
      <c r="C16" s="1698" t="s">
        <v>1949</v>
      </c>
      <c r="D16" s="2645" t="s">
        <v>1950</v>
      </c>
      <c r="E16" s="1721" t="s">
        <v>2981</v>
      </c>
      <c r="F16" s="1721"/>
      <c r="G16" s="1721" t="s">
        <v>3113</v>
      </c>
      <c r="H16" s="1721"/>
      <c r="I16" s="1685" t="s">
        <v>1955</v>
      </c>
      <c r="J16" s="1693"/>
      <c r="K16" s="2455" t="str">
        <f>IF(D17="","",D16&amp;TEXT(D17,"yyyy年m月d日;;"))</f>
        <v>住宅2074年4月26日</v>
      </c>
      <c r="L16" s="1698" t="str">
        <f>IF(OR(K16="",M16=""),"","、")</f>
        <v>、</v>
      </c>
      <c r="M16" s="2455" t="str">
        <f>IF(E17="","",E16&amp;TEXT(E17,"yyyy年m月d日;;"))</f>
        <v>商业2044年4月26日</v>
      </c>
      <c r="N16" s="1698" t="str">
        <f>IF(OR(M16="",O16=""),"","、")</f>
        <v/>
      </c>
      <c r="O16" s="2455" t="str">
        <f>IF(F17="","",F16&amp;TEXT(F17,"yyyy年m月d日;;"))</f>
        <v/>
      </c>
      <c r="P16" s="1698" t="str">
        <f>IF(OR(O16="",Q16=""),"","、")</f>
        <v/>
      </c>
      <c r="Q16" s="2455" t="str">
        <f>IF(G17="","",G16&amp;TEXT(G17,"yyyy年m月d日;;"))</f>
        <v>车库2054年4月26日</v>
      </c>
      <c r="R16" s="1698" t="str">
        <f>IF(OR(Q16="",S16=""),"","、")</f>
        <v/>
      </c>
      <c r="S16" s="2455" t="str">
        <f>IF(H17="","",H16&amp;TEXT(H17,"yyyy年m月d日;;"))</f>
        <v/>
      </c>
      <c r="T16" s="1698" t="str">
        <f>IF(OR(S16="",U16=""),"","、")</f>
        <v/>
      </c>
      <c r="U16" s="2455" t="str">
        <f>IF(I17="","",I16&amp;TEXT(I17,"yyyy年m月d日;;"))</f>
        <v/>
      </c>
    </row>
    <row r="17" spans="1:21">
      <c r="A17" s="1762"/>
      <c r="B17" s="1681"/>
      <c r="C17" s="1682" t="s">
        <v>1956</v>
      </c>
      <c r="D17" s="1699">
        <v>63670</v>
      </c>
      <c r="E17" s="1699">
        <v>52713</v>
      </c>
      <c r="F17" s="1699"/>
      <c r="G17" s="1699">
        <v>56365</v>
      </c>
      <c r="H17" s="1699"/>
      <c r="I17" s="1699"/>
      <c r="J17" s="1693"/>
      <c r="K17" s="2454" t="str">
        <f>CONCATENATE(K16,L16,M16,N16,O16,P16,Q16,R16,S16,T16,,U16)</f>
        <v>住宅2074年4月26日、商业2044年4月26日车库2054年4月26日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55.73</v>
      </c>
      <c r="E19" s="1684">
        <f>IF(B16="出让",IF(E17="","",ROUNDDOWN(MIN((E17-$D$3)/365,E18),2)),E18)</f>
        <v>25.72</v>
      </c>
      <c r="F19" s="1684" t="str">
        <f>IF(B16="出让",IF(F17="","",ROUNDDOWN(MIN((F17-$D$3)/365,F18),2)),F18)</f>
        <v/>
      </c>
      <c r="G19" s="1684">
        <f>IF(B16="出让",IF(G17="","",ROUNDDOWN(MIN((G17-$D$3)/365,G18),2)),G18)</f>
        <v>35.72</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83" t="s">
        <v>3114</v>
      </c>
      <c r="E20" s="3284"/>
      <c r="F20" s="3284"/>
      <c r="G20" s="3284"/>
      <c r="H20" s="3284"/>
      <c r="I20" s="3285"/>
      <c r="J20" s="1693"/>
      <c r="K20" s="1773"/>
      <c r="L20" s="1722"/>
      <c r="M20" s="1722"/>
      <c r="N20" s="1693"/>
      <c r="O20" s="1694"/>
      <c r="P20" s="1693"/>
      <c r="Q20" s="1693"/>
      <c r="R20" s="1693"/>
      <c r="S20" s="1693"/>
      <c r="T20" s="1693"/>
      <c r="U20" s="1693"/>
    </row>
    <row r="21" spans="1:21">
      <c r="A21" s="1762" t="s">
        <v>1959</v>
      </c>
      <c r="B21" s="1763" t="s">
        <v>1960</v>
      </c>
      <c r="C21" s="1758">
        <f>'数据-汇总表'!E3</f>
        <v>160029.13999999998</v>
      </c>
      <c r="D21" s="1759" t="s">
        <v>1961</v>
      </c>
      <c r="E21" s="3273" t="s">
        <v>3464</v>
      </c>
      <c r="F21" s="3274"/>
      <c r="G21" s="3274"/>
      <c r="H21" s="3274"/>
      <c r="I21" s="3275"/>
      <c r="J21" s="1693"/>
      <c r="K21" s="1773"/>
      <c r="L21" s="1722"/>
      <c r="M21" s="1722"/>
      <c r="N21" s="1693"/>
      <c r="O21" s="1694"/>
      <c r="P21" s="1693"/>
      <c r="Q21" s="1693"/>
      <c r="R21" s="1693"/>
      <c r="S21" s="1693"/>
      <c r="T21" s="1693"/>
      <c r="U21" s="1693"/>
    </row>
    <row r="22" spans="1:21">
      <c r="A22" s="3144" t="s">
        <v>950</v>
      </c>
      <c r="B22" s="1660" t="s">
        <v>1962</v>
      </c>
      <c r="C22" s="1685">
        <f>'数据-汇总表'!D3</f>
        <v>51383.96</v>
      </c>
      <c r="D22" s="1686" t="s">
        <v>1961</v>
      </c>
      <c r="E22" s="3273" t="s">
        <v>3115</v>
      </c>
      <c r="F22" s="3274"/>
      <c r="G22" s="3274"/>
      <c r="H22" s="3274"/>
      <c r="I22" s="3275"/>
      <c r="J22" s="1693"/>
      <c r="K22" s="1773"/>
      <c r="L22" s="1722"/>
      <c r="M22" s="1722"/>
      <c r="N22" s="1693"/>
      <c r="O22" s="1694"/>
      <c r="P22" s="1693"/>
      <c r="Q22" s="1693"/>
      <c r="R22" s="1693"/>
      <c r="S22" s="1693"/>
      <c r="T22" s="1693"/>
      <c r="U22" s="1693"/>
    </row>
    <row r="23" spans="1:21" ht="43.5" thickBot="1">
      <c r="A23" s="1764" t="s">
        <v>1963</v>
      </c>
      <c r="B23" s="1700" t="s">
        <v>1964</v>
      </c>
      <c r="C23" s="1701" t="s">
        <v>2985</v>
      </c>
      <c r="D23" s="1702" t="s">
        <v>1965</v>
      </c>
      <c r="E23" s="1703" t="s">
        <v>950</v>
      </c>
      <c r="F23" s="1704" t="str">
        <f>IF(AND(C23="是",E23="否"),"是否提供他项权证或相关说明","")</f>
        <v/>
      </c>
      <c r="G23" s="1705" t="s">
        <v>950</v>
      </c>
      <c r="H23" s="1693"/>
      <c r="I23" s="1706"/>
      <c r="J23" s="1693"/>
      <c r="K23" s="1773"/>
      <c r="L23" s="1722"/>
      <c r="M23" s="1722"/>
      <c r="N23" s="1693"/>
      <c r="O23" s="1694"/>
      <c r="P23" s="1693"/>
      <c r="Q23" s="1693"/>
      <c r="R23" s="1693"/>
      <c r="S23" s="1693"/>
      <c r="T23" s="1693"/>
      <c r="U23" s="1693"/>
    </row>
    <row r="24" spans="1:21">
      <c r="A24" s="1749" t="s">
        <v>1966</v>
      </c>
      <c r="B24" s="3276" t="s">
        <v>1967</v>
      </c>
      <c r="C24" s="3277"/>
      <c r="D24" s="3278" t="s">
        <v>1968</v>
      </c>
      <c r="E24" s="3279"/>
      <c r="F24" s="1707" t="s">
        <v>1969</v>
      </c>
      <c r="G24" s="1693"/>
      <c r="H24" s="1693"/>
      <c r="I24" s="1706"/>
      <c r="J24" s="1693"/>
      <c r="K24" s="3264" t="s">
        <v>1970</v>
      </c>
      <c r="L24" s="245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2986</v>
      </c>
      <c r="C25" s="1708" t="s">
        <v>1971</v>
      </c>
      <c r="D25" s="1709"/>
      <c r="E25" s="1710" t="s">
        <v>950</v>
      </c>
      <c r="F25" s="1711"/>
      <c r="G25" s="1693"/>
      <c r="H25" s="1693"/>
      <c r="I25" s="1706"/>
      <c r="J25" s="1693"/>
      <c r="K25" s="326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6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50"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51"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51"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52"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50" t="s">
        <v>2000</v>
      </c>
      <c r="B31" s="1763" t="s">
        <v>2001</v>
      </c>
      <c r="C31" s="3289" t="s">
        <v>3116</v>
      </c>
      <c r="D31" s="3290"/>
      <c r="E31" s="1693"/>
      <c r="F31" s="1693"/>
      <c r="G31" s="1693"/>
      <c r="H31" s="1693"/>
      <c r="I31" s="1706"/>
      <c r="J31" s="1693"/>
      <c r="K31" s="2457"/>
      <c r="L31" s="1693"/>
      <c r="M31" s="1693"/>
      <c r="N31" s="1693"/>
      <c r="O31" s="1693"/>
      <c r="P31" s="1693"/>
      <c r="Q31" s="1693"/>
      <c r="R31" s="1693"/>
      <c r="S31" s="1693"/>
      <c r="T31" s="1693"/>
      <c r="U31" s="1693"/>
    </row>
    <row r="32" spans="1:21">
      <c r="A32" s="3250"/>
      <c r="B32" s="1660" t="s">
        <v>2002</v>
      </c>
      <c r="C32" s="1718" t="s">
        <v>2987</v>
      </c>
      <c r="D32" s="1719"/>
      <c r="E32" s="1693"/>
      <c r="F32" s="1693"/>
      <c r="G32" s="1693"/>
      <c r="H32" s="1693"/>
      <c r="I32" s="1706"/>
      <c r="J32" s="1693"/>
      <c r="K32" s="2457"/>
      <c r="L32" s="1693"/>
      <c r="M32" s="1693"/>
      <c r="N32" s="1693"/>
      <c r="O32" s="1693"/>
      <c r="P32" s="1693"/>
      <c r="Q32" s="1693"/>
      <c r="R32" s="1693"/>
      <c r="S32" s="1693"/>
      <c r="T32" s="1693"/>
      <c r="U32" s="1693"/>
    </row>
    <row r="33" spans="1:21">
      <c r="A33" s="3250"/>
      <c r="B33" s="1660" t="s">
        <v>2003</v>
      </c>
      <c r="C33" s="1720" t="s">
        <v>2985</v>
      </c>
      <c r="D33" s="1837"/>
      <c r="E33" s="1693"/>
      <c r="F33" s="1693"/>
      <c r="G33" s="1693"/>
      <c r="H33" s="1693"/>
      <c r="I33" s="1706"/>
      <c r="J33" s="1693"/>
      <c r="K33" s="2457"/>
      <c r="L33" s="1693"/>
      <c r="M33" s="1693"/>
      <c r="N33" s="1693"/>
      <c r="O33" s="1693"/>
      <c r="P33" s="1693"/>
      <c r="Q33" s="1693"/>
      <c r="R33" s="1693"/>
      <c r="S33" s="1693"/>
      <c r="T33" s="1693"/>
      <c r="U33" s="1693"/>
    </row>
    <row r="34" spans="1:21">
      <c r="A34" s="3251"/>
      <c r="B34" s="1660" t="s">
        <v>2004</v>
      </c>
      <c r="C34" s="3252"/>
      <c r="D34" s="3253"/>
      <c r="E34" s="1693"/>
      <c r="F34" s="1693"/>
      <c r="G34" s="1693"/>
      <c r="H34" s="1693"/>
      <c r="I34" s="1706"/>
      <c r="J34" s="1693"/>
      <c r="K34" s="2457"/>
      <c r="L34" s="1693"/>
      <c r="M34" s="1693"/>
      <c r="N34" s="1693"/>
      <c r="O34" s="1693"/>
      <c r="P34" s="1693"/>
      <c r="Q34" s="1693"/>
      <c r="R34" s="1693"/>
      <c r="S34" s="1693"/>
      <c r="T34" s="1693"/>
      <c r="U34" s="1693"/>
    </row>
    <row r="35" spans="1:21">
      <c r="A35" s="3254" t="s">
        <v>845</v>
      </c>
      <c r="B35" s="1721" t="s">
        <v>2988</v>
      </c>
      <c r="C35" s="1775" t="str">
        <f>IF(B35="场地平整","——","具体情况：")</f>
        <v>——</v>
      </c>
      <c r="D35" s="3256"/>
      <c r="E35" s="3257"/>
      <c r="F35" s="3257"/>
      <c r="G35" s="3257"/>
      <c r="H35" s="3257"/>
      <c r="I35" s="3258"/>
      <c r="J35" s="1693"/>
      <c r="K35" s="1774"/>
      <c r="L35" s="1722"/>
      <c r="M35" s="1722"/>
      <c r="N35" s="1693"/>
      <c r="O35" s="1694"/>
      <c r="P35" s="1693"/>
      <c r="Q35" s="1693"/>
      <c r="R35" s="1693"/>
      <c r="S35" s="1693"/>
      <c r="T35" s="1693"/>
      <c r="U35" s="1693"/>
    </row>
    <row r="36" spans="1:21">
      <c r="A36" s="3250"/>
      <c r="B36" s="3259" t="s">
        <v>2053</v>
      </c>
      <c r="C36" s="3260"/>
      <c r="D36" s="1791" t="s">
        <v>3117</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80" t="s">
        <v>846</v>
      </c>
      <c r="C37" s="1723" t="s">
        <v>847</v>
      </c>
      <c r="D37" s="1724">
        <v>42600</v>
      </c>
      <c r="E37" s="1725"/>
      <c r="F37" s="1693"/>
      <c r="G37" s="1693"/>
      <c r="H37" s="1693"/>
      <c r="I37" s="1706"/>
      <c r="J37" s="1693"/>
      <c r="K37" s="1774"/>
      <c r="L37" s="1693"/>
      <c r="M37" s="1693"/>
      <c r="N37" s="1693"/>
      <c r="O37" s="1693"/>
      <c r="P37" s="1693"/>
      <c r="Q37" s="1693"/>
      <c r="R37" s="1693"/>
      <c r="S37" s="1693"/>
      <c r="T37" s="1693"/>
      <c r="U37" s="1693"/>
    </row>
    <row r="38" spans="1:21">
      <c r="A38" s="3250"/>
      <c r="B38" s="3281"/>
      <c r="C38" s="1668" t="s">
        <v>848</v>
      </c>
      <c r="D38" s="1790">
        <f>ROUNDDOWN(MIN(('数据-取费表'!$B$2-D37)/365,D34),1)</f>
        <v>1.9</v>
      </c>
      <c r="E38" s="1726" t="s">
        <v>849</v>
      </c>
      <c r="F38" s="1693"/>
      <c r="G38" s="1693"/>
      <c r="H38" s="1693"/>
      <c r="I38" s="1706"/>
      <c r="J38" s="1693"/>
      <c r="K38" s="1774"/>
      <c r="L38" s="1693"/>
      <c r="M38" s="1693"/>
      <c r="N38" s="1693"/>
      <c r="O38" s="1693"/>
      <c r="P38" s="1693"/>
      <c r="Q38" s="1693"/>
      <c r="R38" s="1693"/>
      <c r="S38" s="1693"/>
      <c r="T38" s="1693"/>
      <c r="U38" s="1693"/>
    </row>
    <row r="39" spans="1:21">
      <c r="A39" s="3251"/>
      <c r="B39" s="328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2989</v>
      </c>
      <c r="C40" s="1689" t="s">
        <v>2990</v>
      </c>
      <c r="D40" s="1689" t="s">
        <v>2991</v>
      </c>
      <c r="E40" s="1689" t="s">
        <v>2992</v>
      </c>
      <c r="F40" s="1689" t="s">
        <v>2993</v>
      </c>
      <c r="G40" s="1689" t="s">
        <v>2994</v>
      </c>
      <c r="H40" s="1689" t="s">
        <v>2995</v>
      </c>
      <c r="I40" s="1706"/>
      <c r="J40" s="1693"/>
      <c r="K40" s="1729">
        <f>COUNTIF(B40:H40,"——")</f>
        <v>0</v>
      </c>
      <c r="L40" s="1698" t="s">
        <v>1978</v>
      </c>
      <c r="M40" s="1695" t="s">
        <v>1979</v>
      </c>
      <c r="N40" s="1695" t="s">
        <v>1980</v>
      </c>
      <c r="O40" s="1695" t="s">
        <v>1981</v>
      </c>
      <c r="P40" s="1695" t="s">
        <v>1982</v>
      </c>
      <c r="Q40" s="1695" t="s">
        <v>1983</v>
      </c>
      <c r="R40" s="1695" t="s">
        <v>1984</v>
      </c>
      <c r="S40" s="3263" t="s">
        <v>1985</v>
      </c>
      <c r="T40" s="1730" t="str">
        <f>NUMBERSTRING(7-K40,1)&amp;"通"</f>
        <v>七通</v>
      </c>
      <c r="U40" s="1693"/>
    </row>
    <row r="41" spans="1:21">
      <c r="A41" s="1662"/>
      <c r="B41" s="3255" t="s">
        <v>1720</v>
      </c>
      <c r="C41" s="3255"/>
      <c r="D41" s="3255"/>
      <c r="E41" s="3255"/>
      <c r="F41" s="1731" t="str">
        <f>C10</f>
        <v>天津市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63"/>
      <c r="T41" s="1732" t="str">
        <f>IF(T40="一通",L41,IF(T40="二通",M41,IF(T40="三通",N41,IF(T40="四通",O41,IF(T40="五通",P41,IF(T40="六通",Q41,R41))))))</f>
        <v>通路、通电、通讯、通上水、通下水、通热、燃气</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2882</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47" activePane="bottomRight" state="frozen"/>
      <selection pane="topRight" activeCell="E1" sqref="E1"/>
      <selection pane="bottomLeft" activeCell="A12" sqref="A12"/>
      <selection pane="bottomRight" activeCell="AJ38" sqref="AJ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9" width="9.5" style="15" customWidth="1"/>
    <col min="40" max="40" width="10.37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59" t="s">
        <v>2329</v>
      </c>
      <c r="BA2" s="2360"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121282.1</v>
      </c>
      <c r="B3" s="22">
        <f>IF(C3="否",G5-AT5,G5)</f>
        <v>377718.44000000012</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377718.44000000012</v>
      </c>
      <c r="H5" s="27">
        <f t="shared" ref="H5:AT5" si="0">SUM(H13:H641)</f>
        <v>315013.76000000007</v>
      </c>
      <c r="I5" s="27">
        <f t="shared" si="0"/>
        <v>223074.92</v>
      </c>
      <c r="J5" s="27">
        <f t="shared" si="0"/>
        <v>0</v>
      </c>
      <c r="K5" s="27">
        <f t="shared" si="0"/>
        <v>0</v>
      </c>
      <c r="L5" s="27">
        <f t="shared" si="0"/>
        <v>0</v>
      </c>
      <c r="M5" s="27">
        <f t="shared" si="0"/>
        <v>53744.19</v>
      </c>
      <c r="N5" s="27">
        <f t="shared" si="0"/>
        <v>0</v>
      </c>
      <c r="O5" s="27">
        <f t="shared" si="0"/>
        <v>739.68</v>
      </c>
      <c r="P5" s="27">
        <f t="shared" si="0"/>
        <v>0</v>
      </c>
      <c r="Q5" s="27">
        <f t="shared" si="0"/>
        <v>37454.97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62704.679999999993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1340.48</v>
      </c>
      <c r="AM5" s="27">
        <f t="shared" si="0"/>
        <v>0</v>
      </c>
      <c r="AN5" s="27">
        <f t="shared" si="0"/>
        <v>61364.2</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160029.13999999998</v>
      </c>
      <c r="BA5" s="29">
        <f t="shared" si="1"/>
        <v>113163.68</v>
      </c>
      <c r="BB5" s="29">
        <f t="shared" si="1"/>
        <v>59258.109999999993</v>
      </c>
      <c r="BC5" s="29">
        <f t="shared" si="1"/>
        <v>0</v>
      </c>
      <c r="BD5" s="29">
        <f t="shared" si="1"/>
        <v>53744.19</v>
      </c>
      <c r="BE5" s="29">
        <f t="shared" si="1"/>
        <v>161.38</v>
      </c>
      <c r="BF5" s="29">
        <f t="shared" si="1"/>
        <v>0</v>
      </c>
      <c r="BG5" s="29">
        <f t="shared" si="1"/>
        <v>0</v>
      </c>
      <c r="BH5" s="29">
        <f t="shared" si="1"/>
        <v>0</v>
      </c>
      <c r="BI5" s="29">
        <f t="shared" si="1"/>
        <v>0</v>
      </c>
      <c r="BJ5" s="29">
        <f t="shared" si="1"/>
        <v>0</v>
      </c>
      <c r="BK5" s="29">
        <f t="shared" si="1"/>
        <v>0</v>
      </c>
      <c r="BL5" s="29">
        <f t="shared" si="1"/>
        <v>46865.459999999992</v>
      </c>
      <c r="BM5" s="29">
        <f t="shared" si="1"/>
        <v>0</v>
      </c>
      <c r="BN5" s="29">
        <f t="shared" si="1"/>
        <v>0</v>
      </c>
      <c r="BO5" s="29">
        <f t="shared" si="1"/>
        <v>0</v>
      </c>
      <c r="BP5" s="29">
        <f t="shared" si="1"/>
        <v>0</v>
      </c>
      <c r="BQ5" s="29">
        <f t="shared" si="1"/>
        <v>1340.48</v>
      </c>
      <c r="BR5" s="29">
        <f t="shared" si="1"/>
        <v>45524.979999999996</v>
      </c>
      <c r="BS5" s="29">
        <f t="shared" si="1"/>
        <v>0</v>
      </c>
      <c r="BT5" s="30">
        <f t="shared" si="1"/>
        <v>0</v>
      </c>
    </row>
    <row r="6" spans="1:72" s="37" customFormat="1" ht="12.75">
      <c r="A6" s="26" t="s">
        <v>167</v>
      </c>
      <c r="B6" s="31"/>
      <c r="C6" s="31"/>
      <c r="D6" s="32"/>
      <c r="E6" s="27">
        <f>H6+AC6+AT6</f>
        <v>121282.09</v>
      </c>
      <c r="F6" s="27" t="s">
        <v>1</v>
      </c>
      <c r="G6" s="27" t="s">
        <v>2</v>
      </c>
      <c r="H6" s="33">
        <f>SUMIF(I$12:AB$12,"总值",I6:AB6)</f>
        <v>101148.16</v>
      </c>
      <c r="I6" s="27">
        <f t="shared" ref="I6:AB6" si="2">ROUND($A$3*I5/$B$3,2)</f>
        <v>71627.41</v>
      </c>
      <c r="J6" s="27">
        <f t="shared" si="2"/>
        <v>0</v>
      </c>
      <c r="K6" s="27">
        <f t="shared" si="2"/>
        <v>0</v>
      </c>
      <c r="L6" s="27">
        <f t="shared" si="2"/>
        <v>0</v>
      </c>
      <c r="M6" s="27">
        <f t="shared" si="2"/>
        <v>17256.79</v>
      </c>
      <c r="N6" s="27">
        <f t="shared" si="2"/>
        <v>0</v>
      </c>
      <c r="O6" s="27">
        <f t="shared" si="2"/>
        <v>237.5</v>
      </c>
      <c r="P6" s="27">
        <f t="shared" si="2"/>
        <v>0</v>
      </c>
      <c r="Q6" s="27">
        <f t="shared" si="2"/>
        <v>12026.46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20133.929999999997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430.42</v>
      </c>
      <c r="AM6" s="27">
        <f t="shared" si="3"/>
        <v>0</v>
      </c>
      <c r="AN6" s="27">
        <f t="shared" si="3"/>
        <v>19703.509999999998</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51383.96</v>
      </c>
      <c r="AZ6" s="27" t="s">
        <v>3</v>
      </c>
      <c r="BA6" s="27">
        <f>ROUND($AY$6*BA5/$AZ$5,2)</f>
        <v>36335.870000000003</v>
      </c>
      <c r="BB6" s="27">
        <f>ROUND($AY$6*BB5/$AZ$5,2)</f>
        <v>19027.259999999998</v>
      </c>
      <c r="BC6" s="27">
        <f t="shared" ref="BC6:BH6" si="4">ROUND($AY$6*BC5/$AZ$5,2)</f>
        <v>0</v>
      </c>
      <c r="BD6" s="27">
        <f t="shared" si="4"/>
        <v>17256.79</v>
      </c>
      <c r="BE6" s="27">
        <f t="shared" si="4"/>
        <v>51.82</v>
      </c>
      <c r="BF6" s="27">
        <f t="shared" si="4"/>
        <v>0</v>
      </c>
      <c r="BG6" s="27">
        <f t="shared" si="4"/>
        <v>0</v>
      </c>
      <c r="BH6" s="27">
        <f t="shared" si="4"/>
        <v>0</v>
      </c>
      <c r="BI6" s="27">
        <f t="shared" ref="BI6:BT6" si="5">ROUND($AY$6*BI5/$AZ$5,2)</f>
        <v>0</v>
      </c>
      <c r="BJ6" s="27">
        <f t="shared" si="5"/>
        <v>0</v>
      </c>
      <c r="BK6" s="27">
        <f t="shared" si="5"/>
        <v>0</v>
      </c>
      <c r="BL6" s="27">
        <f t="shared" si="5"/>
        <v>15048.09</v>
      </c>
      <c r="BM6" s="27">
        <f t="shared" si="5"/>
        <v>0</v>
      </c>
      <c r="BN6" s="27">
        <f t="shared" si="5"/>
        <v>0</v>
      </c>
      <c r="BO6" s="27">
        <f t="shared" si="5"/>
        <v>0</v>
      </c>
      <c r="BP6" s="27">
        <f t="shared" si="5"/>
        <v>0</v>
      </c>
      <c r="BQ6" s="27">
        <f t="shared" si="5"/>
        <v>430.42</v>
      </c>
      <c r="BR6" s="27">
        <f t="shared" si="5"/>
        <v>14617.67</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6"/>
      <c r="AT8" s="2327" t="s">
        <v>853</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16" t="s">
        <v>2996</v>
      </c>
      <c r="J9" s="51"/>
      <c r="K9" s="3016" t="s">
        <v>2996</v>
      </c>
      <c r="L9" s="51"/>
      <c r="M9" s="3016" t="s">
        <v>2996</v>
      </c>
      <c r="N9" s="51"/>
      <c r="O9" s="3016" t="s">
        <v>2996</v>
      </c>
      <c r="P9" s="51"/>
      <c r="Q9" s="3016" t="s">
        <v>3126</v>
      </c>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28"/>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16" t="s">
        <v>921</v>
      </c>
      <c r="J10" s="51"/>
      <c r="K10" s="3018" t="s">
        <v>921</v>
      </c>
      <c r="L10" s="51"/>
      <c r="M10" s="3018" t="s">
        <v>921</v>
      </c>
      <c r="N10" s="51"/>
      <c r="O10" s="3018" t="s">
        <v>2981</v>
      </c>
      <c r="P10" s="51"/>
      <c r="Q10" s="3018" t="s">
        <v>3113</v>
      </c>
      <c r="R10" s="51"/>
      <c r="S10" s="66"/>
      <c r="T10" s="51"/>
      <c r="U10" s="66"/>
      <c r="V10" s="51"/>
      <c r="W10" s="66"/>
      <c r="X10" s="51"/>
      <c r="Y10" s="66"/>
      <c r="Z10" s="51"/>
      <c r="AA10" s="66"/>
      <c r="AB10" s="51"/>
      <c r="AC10" s="55"/>
      <c r="AD10" s="2313" t="s">
        <v>2315</v>
      </c>
      <c r="AE10" s="2335"/>
      <c r="AF10" s="2313" t="s">
        <v>2315</v>
      </c>
      <c r="AG10" s="2335"/>
      <c r="AH10" s="2313" t="s">
        <v>2316</v>
      </c>
      <c r="AI10" s="2335"/>
      <c r="AJ10" s="26" t="s">
        <v>2327</v>
      </c>
      <c r="AK10" s="2332"/>
      <c r="AL10" s="2313" t="s">
        <v>2317</v>
      </c>
      <c r="AM10" s="2314"/>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3131</v>
      </c>
      <c r="J11" s="71"/>
      <c r="K11" s="3017" t="s">
        <v>3129</v>
      </c>
      <c r="L11" s="71"/>
      <c r="M11" s="70" t="s">
        <v>3127</v>
      </c>
      <c r="N11" s="71"/>
      <c r="O11" s="3017" t="s">
        <v>3125</v>
      </c>
      <c r="P11" s="71"/>
      <c r="Q11" s="70" t="s">
        <v>3113</v>
      </c>
      <c r="R11" s="71"/>
      <c r="S11" s="70"/>
      <c r="T11" s="71"/>
      <c r="U11" s="70"/>
      <c r="V11" s="71"/>
      <c r="W11" s="70"/>
      <c r="X11" s="71"/>
      <c r="Y11" s="70"/>
      <c r="Z11" s="71"/>
      <c r="AA11" s="70"/>
      <c r="AB11" s="71"/>
      <c r="AC11" s="55"/>
      <c r="AD11" s="2333" t="s">
        <v>2326</v>
      </c>
      <c r="AE11" s="1002"/>
      <c r="AF11" s="2333" t="s">
        <v>2326</v>
      </c>
      <c r="AG11" s="1002"/>
      <c r="AH11" s="2333" t="s">
        <v>2325</v>
      </c>
      <c r="AI11" s="2334"/>
      <c r="AJ11" s="2333" t="s">
        <v>2325</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洋房</v>
      </c>
      <c r="BC12" s="79" t="str">
        <f>K11</f>
        <v>小高层</v>
      </c>
      <c r="BD12" s="79" t="str">
        <f>M11</f>
        <v>高层</v>
      </c>
      <c r="BE12" s="50" t="str">
        <f>O11</f>
        <v>商业街</v>
      </c>
      <c r="BF12" s="50" t="str">
        <f>Q11</f>
        <v>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v>49849.48</v>
      </c>
      <c r="B13" s="3012" t="s">
        <v>3118</v>
      </c>
      <c r="C13" s="3012">
        <v>12</v>
      </c>
      <c r="D13" s="3013" t="s">
        <v>2985</v>
      </c>
      <c r="E13" s="27">
        <f t="shared" ref="E13:E20" si="6">IF($C$3="是",ROUND($A$3*G13/$B$3,2),ROUND($A$3*(G13-AT13)/$B$3,2))</f>
        <v>3010.51</v>
      </c>
      <c r="F13" s="81"/>
      <c r="G13" s="82">
        <f t="shared" ref="G13:G20" si="7">H13+AC13+AT13</f>
        <v>9375.869999999999</v>
      </c>
      <c r="H13" s="33">
        <f t="shared" ref="H13:H20" si="8">SUMIF(I$12:AB$12,"总值",I13:AB13)</f>
        <v>8105.54</v>
      </c>
      <c r="I13" s="3193">
        <v>8105.54</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1270.33</v>
      </c>
      <c r="AD13" s="3019"/>
      <c r="AE13" s="3019"/>
      <c r="AF13" s="3019"/>
      <c r="AG13" s="3019"/>
      <c r="AH13" s="3019"/>
      <c r="AI13" s="3019"/>
      <c r="AJ13" s="3019"/>
      <c r="AK13" s="3019"/>
      <c r="AL13" s="3019"/>
      <c r="AM13" s="3019"/>
      <c r="AN13" s="3196">
        <v>1270.33</v>
      </c>
      <c r="AO13" s="3019"/>
      <c r="AP13" s="3019"/>
      <c r="AQ13" s="3019"/>
      <c r="AR13" s="3019"/>
      <c r="AS13" s="3019"/>
      <c r="AT13" s="3020"/>
      <c r="AU13" s="3021"/>
      <c r="AV13" s="17">
        <f t="shared" ref="AV13:AX20" si="10">A13</f>
        <v>49849.48</v>
      </c>
      <c r="AW13" s="17" t="str">
        <f t="shared" si="10"/>
        <v>春华园一期</v>
      </c>
      <c r="AX13" s="17">
        <f t="shared" si="10"/>
        <v>12</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v>11</v>
      </c>
      <c r="D14" s="3013" t="s">
        <v>2985</v>
      </c>
      <c r="E14" s="27">
        <f t="shared" si="6"/>
        <v>3011.81</v>
      </c>
      <c r="F14" s="81"/>
      <c r="G14" s="82">
        <f t="shared" si="7"/>
        <v>9379.93</v>
      </c>
      <c r="H14" s="33">
        <f t="shared" si="8"/>
        <v>8109.6</v>
      </c>
      <c r="I14" s="3193">
        <v>8109.6</v>
      </c>
      <c r="J14" s="3015"/>
      <c r="K14" s="3015"/>
      <c r="L14" s="3015"/>
      <c r="M14" s="3015"/>
      <c r="N14" s="83"/>
      <c r="O14" s="83"/>
      <c r="P14" s="83"/>
      <c r="Q14" s="83"/>
      <c r="R14" s="83"/>
      <c r="S14" s="83"/>
      <c r="T14" s="83"/>
      <c r="U14" s="83"/>
      <c r="V14" s="83"/>
      <c r="W14" s="83"/>
      <c r="X14" s="83"/>
      <c r="Y14" s="83"/>
      <c r="Z14" s="83"/>
      <c r="AA14" s="83"/>
      <c r="AB14" s="83"/>
      <c r="AC14" s="27">
        <f t="shared" si="9"/>
        <v>1270.33</v>
      </c>
      <c r="AD14" s="3019"/>
      <c r="AE14" s="3019"/>
      <c r="AF14" s="3019"/>
      <c r="AG14" s="3019"/>
      <c r="AH14" s="3019"/>
      <c r="AI14" s="3019"/>
      <c r="AJ14" s="3019"/>
      <c r="AK14" s="3019"/>
      <c r="AL14" s="3019"/>
      <c r="AM14" s="3019"/>
      <c r="AN14" s="3196">
        <v>1270.33</v>
      </c>
      <c r="AO14" s="3019"/>
      <c r="AP14" s="3019"/>
      <c r="AQ14" s="3019"/>
      <c r="AR14" s="3019"/>
      <c r="AS14" s="3019"/>
      <c r="AT14" s="3020"/>
      <c r="AU14" s="3021"/>
      <c r="AV14" s="17">
        <f t="shared" si="10"/>
        <v>0</v>
      </c>
      <c r="AW14" s="17">
        <f t="shared" si="10"/>
        <v>0</v>
      </c>
      <c r="AX14" s="17">
        <f t="shared" si="10"/>
        <v>11</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v>32</v>
      </c>
      <c r="D15" s="3013" t="s">
        <v>2985</v>
      </c>
      <c r="E15" s="27">
        <f t="shared" si="6"/>
        <v>2743.11</v>
      </c>
      <c r="F15" s="81"/>
      <c r="G15" s="82">
        <f t="shared" si="7"/>
        <v>8543.07</v>
      </c>
      <c r="H15" s="33">
        <f t="shared" si="8"/>
        <v>7272.74</v>
      </c>
      <c r="I15" s="3193">
        <v>7272.74</v>
      </c>
      <c r="J15" s="3015"/>
      <c r="K15" s="3015"/>
      <c r="L15" s="3015"/>
      <c r="M15" s="3015"/>
      <c r="N15" s="83"/>
      <c r="O15" s="83"/>
      <c r="P15" s="83"/>
      <c r="Q15" s="83"/>
      <c r="R15" s="83"/>
      <c r="S15" s="83"/>
      <c r="T15" s="83"/>
      <c r="U15" s="83"/>
      <c r="V15" s="83"/>
      <c r="W15" s="83"/>
      <c r="X15" s="83"/>
      <c r="Y15" s="83"/>
      <c r="Z15" s="83"/>
      <c r="AA15" s="83"/>
      <c r="AB15" s="83"/>
      <c r="AC15" s="27">
        <f t="shared" si="9"/>
        <v>1270.33</v>
      </c>
      <c r="AD15" s="3019"/>
      <c r="AE15" s="3019"/>
      <c r="AF15" s="3019"/>
      <c r="AG15" s="3019"/>
      <c r="AH15" s="3019"/>
      <c r="AI15" s="3019"/>
      <c r="AJ15" s="3019"/>
      <c r="AK15" s="3019"/>
      <c r="AL15" s="3019"/>
      <c r="AM15" s="3019"/>
      <c r="AN15" s="3196">
        <v>1270.33</v>
      </c>
      <c r="AO15" s="3019"/>
      <c r="AP15" s="3019"/>
      <c r="AQ15" s="3019"/>
      <c r="AR15" s="3019"/>
      <c r="AS15" s="3019"/>
      <c r="AT15" s="3020"/>
      <c r="AU15" s="3021"/>
      <c r="AV15" s="17">
        <f t="shared" si="10"/>
        <v>0</v>
      </c>
      <c r="AW15" s="17">
        <f t="shared" si="10"/>
        <v>0</v>
      </c>
      <c r="AX15" s="17">
        <f t="shared" si="10"/>
        <v>32</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v>33</v>
      </c>
      <c r="D16" s="3013" t="s">
        <v>2985</v>
      </c>
      <c r="E16" s="27">
        <f t="shared" si="6"/>
        <v>2894.7</v>
      </c>
      <c r="F16" s="81"/>
      <c r="G16" s="82">
        <f t="shared" si="7"/>
        <v>9015.2000000000007</v>
      </c>
      <c r="H16" s="33">
        <f t="shared" si="8"/>
        <v>7550.67</v>
      </c>
      <c r="I16" s="3193">
        <v>7550.67</v>
      </c>
      <c r="J16" s="3015"/>
      <c r="K16" s="3015"/>
      <c r="L16" s="3015"/>
      <c r="M16" s="3015"/>
      <c r="N16" s="83"/>
      <c r="O16" s="83"/>
      <c r="P16" s="83"/>
      <c r="Q16" s="83"/>
      <c r="R16" s="83"/>
      <c r="S16" s="83"/>
      <c r="T16" s="83"/>
      <c r="U16" s="83"/>
      <c r="V16" s="83"/>
      <c r="W16" s="83"/>
      <c r="X16" s="83"/>
      <c r="Y16" s="83"/>
      <c r="Z16" s="83"/>
      <c r="AA16" s="83"/>
      <c r="AB16" s="83"/>
      <c r="AC16" s="27">
        <f t="shared" si="9"/>
        <v>1464.53</v>
      </c>
      <c r="AD16" s="3019"/>
      <c r="AE16" s="3019"/>
      <c r="AF16" s="3019"/>
      <c r="AG16" s="3019"/>
      <c r="AH16" s="3019"/>
      <c r="AI16" s="3019"/>
      <c r="AJ16" s="3019"/>
      <c r="AK16" s="3019"/>
      <c r="AL16" s="3019"/>
      <c r="AM16" s="3019"/>
      <c r="AN16" s="3196">
        <v>1464.53</v>
      </c>
      <c r="AO16" s="3019"/>
      <c r="AP16" s="3019"/>
      <c r="AQ16" s="3019"/>
      <c r="AR16" s="3019"/>
      <c r="AS16" s="3019"/>
      <c r="AT16" s="3020"/>
      <c r="AU16" s="3021"/>
      <c r="AV16" s="17">
        <f t="shared" si="10"/>
        <v>0</v>
      </c>
      <c r="AW16" s="17">
        <f t="shared" si="10"/>
        <v>0</v>
      </c>
      <c r="AX16" s="17">
        <f t="shared" si="10"/>
        <v>33</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v>34</v>
      </c>
      <c r="D17" s="3013" t="s">
        <v>2985</v>
      </c>
      <c r="E17" s="27">
        <f t="shared" si="6"/>
        <v>3249.05</v>
      </c>
      <c r="F17" s="81"/>
      <c r="G17" s="82">
        <f t="shared" si="7"/>
        <v>10118.77</v>
      </c>
      <c r="H17" s="33">
        <f t="shared" si="8"/>
        <v>8387.5300000000007</v>
      </c>
      <c r="I17" s="3193">
        <v>8387.5300000000007</v>
      </c>
      <c r="J17" s="3015"/>
      <c r="K17" s="3015"/>
      <c r="L17" s="3015"/>
      <c r="M17" s="3015"/>
      <c r="N17" s="83"/>
      <c r="O17" s="83"/>
      <c r="P17" s="83"/>
      <c r="Q17" s="83"/>
      <c r="R17" s="83"/>
      <c r="S17" s="83"/>
      <c r="T17" s="83"/>
      <c r="U17" s="83"/>
      <c r="V17" s="83"/>
      <c r="W17" s="83"/>
      <c r="X17" s="83"/>
      <c r="Y17" s="83"/>
      <c r="Z17" s="83"/>
      <c r="AA17" s="83"/>
      <c r="AB17" s="83"/>
      <c r="AC17" s="27">
        <f t="shared" si="9"/>
        <v>1731.24</v>
      </c>
      <c r="AD17" s="3019"/>
      <c r="AE17" s="3019"/>
      <c r="AF17" s="3019"/>
      <c r="AG17" s="3019"/>
      <c r="AH17" s="3019"/>
      <c r="AI17" s="3019"/>
      <c r="AJ17" s="3019"/>
      <c r="AK17" s="3019"/>
      <c r="AL17" s="3019"/>
      <c r="AM17" s="3019"/>
      <c r="AN17" s="3196">
        <v>1731.24</v>
      </c>
      <c r="AO17" s="3019"/>
      <c r="AP17" s="3019"/>
      <c r="AQ17" s="3019"/>
      <c r="AR17" s="3019"/>
      <c r="AS17" s="3019"/>
      <c r="AT17" s="3020"/>
      <c r="AU17" s="3021"/>
      <c r="AV17" s="17">
        <f t="shared" si="10"/>
        <v>0</v>
      </c>
      <c r="AW17" s="17">
        <f t="shared" si="10"/>
        <v>0</v>
      </c>
      <c r="AX17" s="17">
        <f t="shared" si="10"/>
        <v>34</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35</v>
      </c>
      <c r="D18" s="3013" t="s">
        <v>2985</v>
      </c>
      <c r="E18" s="87">
        <f t="shared" si="6"/>
        <v>4011.95</v>
      </c>
      <c r="F18" s="88"/>
      <c r="G18" s="89">
        <f t="shared" si="7"/>
        <v>12494.72</v>
      </c>
      <c r="H18" s="33">
        <f t="shared" si="8"/>
        <v>10423.4</v>
      </c>
      <c r="I18" s="3194">
        <v>10423.4</v>
      </c>
      <c r="J18" s="91"/>
      <c r="K18" s="1394"/>
      <c r="L18" s="91"/>
      <c r="M18" s="91"/>
      <c r="N18" s="91"/>
      <c r="O18" s="91"/>
      <c r="P18" s="91"/>
      <c r="Q18" s="91"/>
      <c r="R18" s="91"/>
      <c r="S18" s="91"/>
      <c r="T18" s="91"/>
      <c r="U18" s="91"/>
      <c r="V18" s="91"/>
      <c r="W18" s="91"/>
      <c r="X18" s="91"/>
      <c r="Y18" s="91"/>
      <c r="Z18" s="91"/>
      <c r="AA18" s="91"/>
      <c r="AB18" s="91"/>
      <c r="AC18" s="27">
        <f t="shared" si="9"/>
        <v>2071.3200000000002</v>
      </c>
      <c r="AD18" s="92"/>
      <c r="AE18" s="92"/>
      <c r="AF18" s="1394"/>
      <c r="AG18" s="92"/>
      <c r="AH18" s="92"/>
      <c r="AI18" s="92"/>
      <c r="AJ18" s="92"/>
      <c r="AK18" s="92"/>
      <c r="AL18" s="1364"/>
      <c r="AM18" s="92"/>
      <c r="AN18" s="3194">
        <v>2071.3200000000002</v>
      </c>
      <c r="AO18" s="92"/>
      <c r="AP18" s="92"/>
      <c r="AQ18" s="92"/>
      <c r="AR18" s="92"/>
      <c r="AS18" s="92"/>
      <c r="AT18" s="93"/>
      <c r="AU18" s="94"/>
      <c r="AV18" s="992">
        <f t="shared" si="10"/>
        <v>0</v>
      </c>
      <c r="AW18" s="992">
        <f t="shared" si="10"/>
        <v>0</v>
      </c>
      <c r="AX18" s="992">
        <f t="shared" si="10"/>
        <v>35</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8" t="s">
        <v>3119</v>
      </c>
      <c r="C19" s="1394">
        <v>1</v>
      </c>
      <c r="D19" s="3013" t="s">
        <v>2985</v>
      </c>
      <c r="E19" s="87">
        <f t="shared" si="6"/>
        <v>853.19</v>
      </c>
      <c r="F19" s="88"/>
      <c r="G19" s="89">
        <f t="shared" si="7"/>
        <v>2657.16</v>
      </c>
      <c r="H19" s="33">
        <f t="shared" si="8"/>
        <v>2313.14</v>
      </c>
      <c r="I19" s="3194">
        <v>2313.14</v>
      </c>
      <c r="J19" s="91"/>
      <c r="K19" s="1394"/>
      <c r="L19" s="91"/>
      <c r="M19" s="91"/>
      <c r="N19" s="91"/>
      <c r="O19" s="91"/>
      <c r="P19" s="91"/>
      <c r="Q19" s="91"/>
      <c r="R19" s="91"/>
      <c r="S19" s="91"/>
      <c r="T19" s="91"/>
      <c r="U19" s="91"/>
      <c r="V19" s="91"/>
      <c r="W19" s="91"/>
      <c r="X19" s="91"/>
      <c r="Y19" s="91"/>
      <c r="Z19" s="91"/>
      <c r="AA19" s="91"/>
      <c r="AB19" s="91"/>
      <c r="AC19" s="27">
        <f t="shared" si="9"/>
        <v>344.02</v>
      </c>
      <c r="AD19" s="92"/>
      <c r="AE19" s="92"/>
      <c r="AF19" s="1394"/>
      <c r="AG19" s="92"/>
      <c r="AH19" s="92"/>
      <c r="AI19" s="92"/>
      <c r="AJ19" s="92"/>
      <c r="AK19" s="92"/>
      <c r="AL19" s="92"/>
      <c r="AM19" s="92"/>
      <c r="AN19" s="3194">
        <v>344.02</v>
      </c>
      <c r="AO19" s="92"/>
      <c r="AP19" s="92"/>
      <c r="AQ19" s="92"/>
      <c r="AR19" s="92"/>
      <c r="AS19" s="92"/>
      <c r="AT19" s="93"/>
      <c r="AU19" s="94"/>
      <c r="AV19" s="992">
        <f t="shared" si="10"/>
        <v>0</v>
      </c>
      <c r="AW19" s="992" t="str">
        <f t="shared" si="10"/>
        <v>春华园二期</v>
      </c>
      <c r="AX19" s="992">
        <f t="shared" si="10"/>
        <v>1</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2</v>
      </c>
      <c r="D20" s="3013" t="s">
        <v>2985</v>
      </c>
      <c r="E20" s="87">
        <f t="shared" si="6"/>
        <v>1257.97</v>
      </c>
      <c r="F20" s="88"/>
      <c r="G20" s="89">
        <f t="shared" si="7"/>
        <v>3917.8</v>
      </c>
      <c r="H20" s="33">
        <f t="shared" si="8"/>
        <v>3573.78</v>
      </c>
      <c r="I20" s="3194">
        <v>3573.78</v>
      </c>
      <c r="J20" s="91"/>
      <c r="K20" s="1394"/>
      <c r="L20" s="91"/>
      <c r="M20" s="91"/>
      <c r="N20" s="91"/>
      <c r="O20" s="91"/>
      <c r="P20" s="91"/>
      <c r="Q20" s="91"/>
      <c r="R20" s="91"/>
      <c r="S20" s="91"/>
      <c r="T20" s="91"/>
      <c r="U20" s="91"/>
      <c r="V20" s="91"/>
      <c r="W20" s="91"/>
      <c r="X20" s="91"/>
      <c r="Y20" s="91"/>
      <c r="Z20" s="91"/>
      <c r="AA20" s="91"/>
      <c r="AB20" s="91"/>
      <c r="AC20" s="27">
        <f t="shared" si="9"/>
        <v>344.02</v>
      </c>
      <c r="AD20" s="92"/>
      <c r="AE20" s="92"/>
      <c r="AF20" s="1394"/>
      <c r="AG20" s="92"/>
      <c r="AH20" s="92"/>
      <c r="AI20" s="92"/>
      <c r="AJ20" s="92"/>
      <c r="AK20" s="92"/>
      <c r="AL20" s="92"/>
      <c r="AM20" s="92"/>
      <c r="AN20" s="3194">
        <v>344.02</v>
      </c>
      <c r="AO20" s="92"/>
      <c r="AP20" s="92"/>
      <c r="AQ20" s="92"/>
      <c r="AR20" s="92"/>
      <c r="AS20" s="92"/>
      <c r="AT20" s="93"/>
      <c r="AU20" s="94"/>
      <c r="AV20" s="992">
        <f t="shared" si="10"/>
        <v>0</v>
      </c>
      <c r="AW20" s="992">
        <f t="shared" si="10"/>
        <v>0</v>
      </c>
      <c r="AX20" s="992">
        <f t="shared" si="10"/>
        <v>2</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3</v>
      </c>
      <c r="D21" s="3013" t="s">
        <v>2985</v>
      </c>
      <c r="E21" s="87">
        <f t="shared" ref="E21:E112" si="33">IF($C$3="是",ROUND($A$3*G21/$B$3,2),ROUND($A$3*(G21-AT21)/$B$3,2))</f>
        <v>2644.05</v>
      </c>
      <c r="F21" s="88"/>
      <c r="G21" s="89">
        <f t="shared" ref="G21:G109" si="34">H21+AC21+AT21</f>
        <v>8234.56</v>
      </c>
      <c r="H21" s="33">
        <f t="shared" ref="H21:H109" si="35">SUMIF(I$12:AB$12,"总值",I21:AB21)</f>
        <v>7652.78</v>
      </c>
      <c r="I21" s="3194">
        <v>7652.78</v>
      </c>
      <c r="J21" s="91"/>
      <c r="K21" s="1396"/>
      <c r="L21" s="91"/>
      <c r="M21" s="91"/>
      <c r="N21" s="91"/>
      <c r="O21" s="91"/>
      <c r="P21" s="91"/>
      <c r="Q21" s="91"/>
      <c r="R21" s="91"/>
      <c r="S21" s="91"/>
      <c r="T21" s="91"/>
      <c r="U21" s="91"/>
      <c r="V21" s="91"/>
      <c r="W21" s="91"/>
      <c r="X21" s="91"/>
      <c r="Y21" s="91"/>
      <c r="Z21" s="91"/>
      <c r="AA21" s="91"/>
      <c r="AB21" s="91"/>
      <c r="AC21" s="27">
        <f t="shared" ref="AC21:AC109" si="36">SUMIF(AD$12:AS$12,"总值",AD21:AS21)</f>
        <v>581.78</v>
      </c>
      <c r="AD21" s="92"/>
      <c r="AE21" s="92"/>
      <c r="AF21" s="1397"/>
      <c r="AG21" s="92"/>
      <c r="AH21" s="92"/>
      <c r="AI21" s="92"/>
      <c r="AJ21" s="92"/>
      <c r="AK21" s="92"/>
      <c r="AL21" s="92"/>
      <c r="AM21" s="92"/>
      <c r="AN21" s="3197">
        <v>581.78</v>
      </c>
      <c r="AO21" s="92"/>
      <c r="AP21" s="92"/>
      <c r="AQ21" s="92"/>
      <c r="AR21" s="92"/>
      <c r="AS21" s="92"/>
      <c r="AT21" s="93"/>
      <c r="AU21" s="94"/>
      <c r="AV21" s="1978">
        <f t="shared" ref="AV21:AV112" si="37">A21</f>
        <v>0</v>
      </c>
      <c r="AW21" s="1978">
        <f t="shared" ref="AW21:AW112" si="38">B21</f>
        <v>0</v>
      </c>
      <c r="AX21" s="1978">
        <f t="shared" ref="AX21:AX112" si="39">C21</f>
        <v>3</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v>4</v>
      </c>
      <c r="D22" s="3013" t="s">
        <v>2985</v>
      </c>
      <c r="E22" s="87">
        <f t="shared" si="33"/>
        <v>1672.72</v>
      </c>
      <c r="F22" s="88"/>
      <c r="G22" s="89">
        <f t="shared" si="34"/>
        <v>5209.47</v>
      </c>
      <c r="H22" s="33">
        <f t="shared" si="35"/>
        <v>4687.87</v>
      </c>
      <c r="I22" s="3194">
        <v>4687.87</v>
      </c>
      <c r="J22" s="91"/>
      <c r="K22" s="1396"/>
      <c r="L22" s="91"/>
      <c r="M22" s="1364"/>
      <c r="N22" s="91"/>
      <c r="O22" s="91"/>
      <c r="P22" s="91"/>
      <c r="Q22" s="91"/>
      <c r="R22" s="91"/>
      <c r="S22" s="91"/>
      <c r="T22" s="91"/>
      <c r="U22" s="91"/>
      <c r="V22" s="91"/>
      <c r="W22" s="91"/>
      <c r="X22" s="91"/>
      <c r="Y22" s="91"/>
      <c r="Z22" s="91"/>
      <c r="AA22" s="91"/>
      <c r="AB22" s="91"/>
      <c r="AC22" s="27">
        <f t="shared" si="36"/>
        <v>521.6</v>
      </c>
      <c r="AD22" s="1364"/>
      <c r="AE22" s="92"/>
      <c r="AF22" s="1397"/>
      <c r="AG22" s="92"/>
      <c r="AH22" s="92"/>
      <c r="AI22" s="92"/>
      <c r="AJ22" s="92"/>
      <c r="AK22" s="92"/>
      <c r="AL22" s="1364"/>
      <c r="AM22" s="92"/>
      <c r="AN22" s="3197">
        <v>521.6</v>
      </c>
      <c r="AO22" s="92"/>
      <c r="AP22" s="92"/>
      <c r="AQ22" s="92"/>
      <c r="AR22" s="92"/>
      <c r="AS22" s="92"/>
      <c r="AT22" s="93"/>
      <c r="AU22" s="94"/>
      <c r="AV22" s="1978">
        <f t="shared" si="37"/>
        <v>0</v>
      </c>
      <c r="AW22" s="1978">
        <f t="shared" si="38"/>
        <v>0</v>
      </c>
      <c r="AX22" s="1978">
        <f t="shared" si="39"/>
        <v>4</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v>5</v>
      </c>
      <c r="D23" s="3013" t="s">
        <v>2985</v>
      </c>
      <c r="E23" s="87">
        <f t="shared" si="33"/>
        <v>2813.75</v>
      </c>
      <c r="F23" s="88"/>
      <c r="G23" s="89">
        <f t="shared" si="34"/>
        <v>8763.07</v>
      </c>
      <c r="H23" s="33">
        <f t="shared" si="35"/>
        <v>8220.7099999999991</v>
      </c>
      <c r="I23" s="3194">
        <v>8220.7099999999991</v>
      </c>
      <c r="J23" s="91"/>
      <c r="K23" s="1396"/>
      <c r="L23" s="91"/>
      <c r="M23" s="1364"/>
      <c r="N23" s="91"/>
      <c r="O23" s="91"/>
      <c r="P23" s="91"/>
      <c r="Q23" s="91"/>
      <c r="R23" s="91"/>
      <c r="S23" s="91"/>
      <c r="T23" s="91"/>
      <c r="U23" s="91"/>
      <c r="V23" s="91"/>
      <c r="W23" s="91"/>
      <c r="X23" s="91"/>
      <c r="Y23" s="91"/>
      <c r="Z23" s="91"/>
      <c r="AA23" s="91"/>
      <c r="AB23" s="91"/>
      <c r="AC23" s="27">
        <f t="shared" si="36"/>
        <v>542.36</v>
      </c>
      <c r="AD23" s="92"/>
      <c r="AE23" s="92"/>
      <c r="AF23" s="1397"/>
      <c r="AG23" s="92"/>
      <c r="AH23" s="92"/>
      <c r="AI23" s="92"/>
      <c r="AJ23" s="92"/>
      <c r="AK23" s="92"/>
      <c r="AL23" s="1364"/>
      <c r="AM23" s="92"/>
      <c r="AN23" s="3197">
        <v>542.36</v>
      </c>
      <c r="AO23" s="92"/>
      <c r="AP23" s="92"/>
      <c r="AQ23" s="92"/>
      <c r="AR23" s="92"/>
      <c r="AS23" s="92"/>
      <c r="AT23" s="93"/>
      <c r="AU23" s="94"/>
      <c r="AV23" s="1978">
        <f t="shared" si="37"/>
        <v>0</v>
      </c>
      <c r="AW23" s="1978">
        <f t="shared" si="38"/>
        <v>0</v>
      </c>
      <c r="AX23" s="1978">
        <f t="shared" si="39"/>
        <v>5</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v>6</v>
      </c>
      <c r="D24" s="3013" t="s">
        <v>2985</v>
      </c>
      <c r="E24" s="87">
        <f t="shared" si="33"/>
        <v>3799.69</v>
      </c>
      <c r="F24" s="88"/>
      <c r="G24" s="89">
        <f t="shared" si="34"/>
        <v>11833.67</v>
      </c>
      <c r="H24" s="33">
        <f t="shared" si="35"/>
        <v>11251.2</v>
      </c>
      <c r="I24" s="3194">
        <v>11251.2</v>
      </c>
      <c r="J24" s="91"/>
      <c r="K24" s="1396"/>
      <c r="L24" s="91"/>
      <c r="M24" s="91"/>
      <c r="N24" s="91"/>
      <c r="O24" s="1364"/>
      <c r="P24" s="91"/>
      <c r="Q24" s="91"/>
      <c r="R24" s="91"/>
      <c r="S24" s="91"/>
      <c r="T24" s="91"/>
      <c r="U24" s="91"/>
      <c r="V24" s="91"/>
      <c r="W24" s="91"/>
      <c r="X24" s="91"/>
      <c r="Y24" s="91"/>
      <c r="Z24" s="91"/>
      <c r="AA24" s="91"/>
      <c r="AB24" s="91"/>
      <c r="AC24" s="27">
        <f t="shared" si="36"/>
        <v>582.47</v>
      </c>
      <c r="AD24" s="92"/>
      <c r="AE24" s="92"/>
      <c r="AF24" s="1397"/>
      <c r="AG24" s="92"/>
      <c r="AH24" s="92"/>
      <c r="AI24" s="92"/>
      <c r="AJ24" s="92"/>
      <c r="AK24" s="92"/>
      <c r="AL24" s="92"/>
      <c r="AM24" s="92"/>
      <c r="AN24" s="3197">
        <v>582.47</v>
      </c>
      <c r="AO24" s="92"/>
      <c r="AP24" s="92"/>
      <c r="AQ24" s="92"/>
      <c r="AR24" s="92"/>
      <c r="AS24" s="92"/>
      <c r="AT24" s="93"/>
      <c r="AU24" s="94"/>
      <c r="AV24" s="1978">
        <f t="shared" si="37"/>
        <v>0</v>
      </c>
      <c r="AW24" s="1978">
        <f t="shared" si="38"/>
        <v>0</v>
      </c>
      <c r="AX24" s="1978">
        <f t="shared" si="39"/>
        <v>6</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v>7</v>
      </c>
      <c r="D25" s="3013" t="s">
        <v>2985</v>
      </c>
      <c r="E25" s="87">
        <f t="shared" si="33"/>
        <v>4441.6000000000004</v>
      </c>
      <c r="F25" s="88"/>
      <c r="G25" s="89">
        <f t="shared" si="34"/>
        <v>13832.84</v>
      </c>
      <c r="H25" s="33">
        <f t="shared" si="35"/>
        <v>13250.37</v>
      </c>
      <c r="I25" s="3194">
        <v>13250.37</v>
      </c>
      <c r="J25" s="91"/>
      <c r="K25" s="1396"/>
      <c r="L25" s="91"/>
      <c r="M25" s="91"/>
      <c r="N25" s="91"/>
      <c r="O25" s="91"/>
      <c r="P25" s="91"/>
      <c r="Q25" s="91"/>
      <c r="R25" s="91"/>
      <c r="S25" s="91"/>
      <c r="T25" s="91"/>
      <c r="U25" s="91"/>
      <c r="V25" s="91"/>
      <c r="W25" s="91"/>
      <c r="X25" s="91"/>
      <c r="Y25" s="91"/>
      <c r="Z25" s="91"/>
      <c r="AA25" s="91"/>
      <c r="AB25" s="91"/>
      <c r="AC25" s="27">
        <f t="shared" si="36"/>
        <v>582.47</v>
      </c>
      <c r="AD25" s="92"/>
      <c r="AE25" s="92"/>
      <c r="AF25" s="1397"/>
      <c r="AG25" s="92"/>
      <c r="AH25" s="92"/>
      <c r="AI25" s="92"/>
      <c r="AJ25" s="92"/>
      <c r="AK25" s="92"/>
      <c r="AL25" s="92"/>
      <c r="AM25" s="92"/>
      <c r="AN25" s="3198">
        <v>582.47</v>
      </c>
      <c r="AO25" s="92"/>
      <c r="AP25" s="92"/>
      <c r="AQ25" s="92"/>
      <c r="AR25" s="92"/>
      <c r="AS25" s="92"/>
      <c r="AT25" s="93"/>
      <c r="AU25" s="94"/>
      <c r="AV25" s="1978">
        <f t="shared" si="37"/>
        <v>0</v>
      </c>
      <c r="AW25" s="1978">
        <f t="shared" si="38"/>
        <v>0</v>
      </c>
      <c r="AX25" s="1978">
        <f t="shared" si="39"/>
        <v>7</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v>8</v>
      </c>
      <c r="D26" s="3013" t="s">
        <v>2985</v>
      </c>
      <c r="E26" s="87">
        <f t="shared" si="33"/>
        <v>2814.02</v>
      </c>
      <c r="F26" s="88"/>
      <c r="G26" s="89">
        <f t="shared" si="34"/>
        <v>8763.91</v>
      </c>
      <c r="H26" s="33">
        <f t="shared" si="35"/>
        <v>8220.7099999999991</v>
      </c>
      <c r="I26" s="3194">
        <v>8220.7099999999991</v>
      </c>
      <c r="J26" s="91"/>
      <c r="K26" s="1396"/>
      <c r="L26" s="91"/>
      <c r="M26" s="91"/>
      <c r="N26" s="91"/>
      <c r="O26" s="91"/>
      <c r="P26" s="91"/>
      <c r="Q26" s="91"/>
      <c r="R26" s="91"/>
      <c r="S26" s="91"/>
      <c r="T26" s="91"/>
      <c r="U26" s="91"/>
      <c r="V26" s="91"/>
      <c r="W26" s="91"/>
      <c r="X26" s="91"/>
      <c r="Y26" s="91"/>
      <c r="Z26" s="91"/>
      <c r="AA26" s="91"/>
      <c r="AB26" s="91"/>
      <c r="AC26" s="27">
        <f t="shared" si="36"/>
        <v>543.20000000000005</v>
      </c>
      <c r="AD26" s="92"/>
      <c r="AE26" s="92"/>
      <c r="AF26" s="1397"/>
      <c r="AG26" s="92"/>
      <c r="AH26" s="92"/>
      <c r="AI26" s="92"/>
      <c r="AJ26" s="92"/>
      <c r="AK26" s="92"/>
      <c r="AL26" s="92"/>
      <c r="AM26" s="92"/>
      <c r="AN26" s="3198">
        <v>543.20000000000005</v>
      </c>
      <c r="AO26" s="92"/>
      <c r="AP26" s="92"/>
      <c r="AQ26" s="92"/>
      <c r="AR26" s="92"/>
      <c r="AS26" s="92"/>
      <c r="AT26" s="93"/>
      <c r="AU26" s="94"/>
      <c r="AV26" s="1978">
        <f t="shared" si="37"/>
        <v>0</v>
      </c>
      <c r="AW26" s="1978">
        <f t="shared" si="38"/>
        <v>0</v>
      </c>
      <c r="AX26" s="1978">
        <f t="shared" si="39"/>
        <v>8</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v>9</v>
      </c>
      <c r="D27" s="3013" t="s">
        <v>2985</v>
      </c>
      <c r="E27" s="87">
        <f t="shared" si="33"/>
        <v>4441.6000000000004</v>
      </c>
      <c r="F27" s="88"/>
      <c r="G27" s="89">
        <f t="shared" si="34"/>
        <v>13832.84</v>
      </c>
      <c r="H27" s="33">
        <f t="shared" si="35"/>
        <v>13250.37</v>
      </c>
      <c r="I27" s="3194">
        <v>13250.37</v>
      </c>
      <c r="J27" s="91"/>
      <c r="K27" s="1396"/>
      <c r="L27" s="91"/>
      <c r="M27" s="91"/>
      <c r="N27" s="91"/>
      <c r="O27" s="91"/>
      <c r="P27" s="91"/>
      <c r="Q27" s="91"/>
      <c r="R27" s="91"/>
      <c r="S27" s="91"/>
      <c r="T27" s="91"/>
      <c r="U27" s="91"/>
      <c r="V27" s="91"/>
      <c r="W27" s="91"/>
      <c r="X27" s="91"/>
      <c r="Y27" s="91"/>
      <c r="Z27" s="91"/>
      <c r="AA27" s="91"/>
      <c r="AB27" s="91"/>
      <c r="AC27" s="27">
        <f t="shared" si="36"/>
        <v>582.47</v>
      </c>
      <c r="AD27" s="92"/>
      <c r="AE27" s="92"/>
      <c r="AF27" s="1397"/>
      <c r="AG27" s="92"/>
      <c r="AH27" s="92"/>
      <c r="AI27" s="92"/>
      <c r="AJ27" s="92"/>
      <c r="AK27" s="92"/>
      <c r="AL27" s="92"/>
      <c r="AM27" s="92"/>
      <c r="AN27" s="3198">
        <v>582.47</v>
      </c>
      <c r="AO27" s="92"/>
      <c r="AP27" s="92"/>
      <c r="AQ27" s="92"/>
      <c r="AR27" s="92"/>
      <c r="AS27" s="92"/>
      <c r="AT27" s="93"/>
      <c r="AU27" s="94"/>
      <c r="AV27" s="1978">
        <f t="shared" si="37"/>
        <v>0</v>
      </c>
      <c r="AW27" s="1978">
        <f t="shared" si="38"/>
        <v>0</v>
      </c>
      <c r="AX27" s="1978">
        <f t="shared" si="39"/>
        <v>9</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v>10</v>
      </c>
      <c r="D28" s="3013" t="s">
        <v>2985</v>
      </c>
      <c r="E28" s="87">
        <f t="shared" si="33"/>
        <v>4463.7299999999996</v>
      </c>
      <c r="F28" s="88"/>
      <c r="G28" s="89">
        <f t="shared" si="34"/>
        <v>13901.74</v>
      </c>
      <c r="H28" s="33">
        <f t="shared" si="35"/>
        <v>13319.27</v>
      </c>
      <c r="I28" s="3194">
        <v>13319.27</v>
      </c>
      <c r="J28" s="91"/>
      <c r="K28" s="1396"/>
      <c r="L28" s="91"/>
      <c r="M28" s="91"/>
      <c r="N28" s="91"/>
      <c r="O28" s="91"/>
      <c r="P28" s="91"/>
      <c r="Q28" s="91"/>
      <c r="R28" s="91"/>
      <c r="S28" s="91"/>
      <c r="T28" s="91"/>
      <c r="U28" s="91"/>
      <c r="V28" s="91"/>
      <c r="W28" s="91"/>
      <c r="X28" s="91"/>
      <c r="Y28" s="91"/>
      <c r="Z28" s="91"/>
      <c r="AA28" s="91"/>
      <c r="AB28" s="91"/>
      <c r="AC28" s="27">
        <f t="shared" si="36"/>
        <v>582.47</v>
      </c>
      <c r="AD28" s="92"/>
      <c r="AE28" s="92"/>
      <c r="AF28" s="1396"/>
      <c r="AG28" s="92"/>
      <c r="AH28" s="92"/>
      <c r="AI28" s="92"/>
      <c r="AJ28" s="92"/>
      <c r="AK28" s="92"/>
      <c r="AL28" s="92"/>
      <c r="AM28" s="92"/>
      <c r="AN28" s="3198">
        <v>582.47</v>
      </c>
      <c r="AO28" s="92"/>
      <c r="AP28" s="92"/>
      <c r="AQ28" s="92"/>
      <c r="AR28" s="92"/>
      <c r="AS28" s="92"/>
      <c r="AT28" s="93"/>
      <c r="AU28" s="94"/>
      <c r="AV28" s="1978">
        <f t="shared" si="37"/>
        <v>0</v>
      </c>
      <c r="AW28" s="1978">
        <f t="shared" si="38"/>
        <v>0</v>
      </c>
      <c r="AX28" s="1978">
        <f t="shared" si="39"/>
        <v>10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v>36</v>
      </c>
      <c r="D29" s="3013" t="s">
        <v>2985</v>
      </c>
      <c r="E29" s="87">
        <f t="shared" si="33"/>
        <v>3573.42</v>
      </c>
      <c r="F29" s="88"/>
      <c r="G29" s="89">
        <f t="shared" si="34"/>
        <v>11129</v>
      </c>
      <c r="H29" s="33">
        <f t="shared" si="35"/>
        <v>10589.47</v>
      </c>
      <c r="I29" s="3194">
        <v>10589.47</v>
      </c>
      <c r="J29" s="91"/>
      <c r="K29" s="1396"/>
      <c r="L29" s="91"/>
      <c r="M29" s="91"/>
      <c r="N29" s="91"/>
      <c r="O29" s="91"/>
      <c r="P29" s="91"/>
      <c r="Q29" s="91"/>
      <c r="R29" s="91"/>
      <c r="S29" s="91"/>
      <c r="T29" s="91"/>
      <c r="U29" s="91"/>
      <c r="V29" s="91"/>
      <c r="W29" s="91"/>
      <c r="X29" s="91"/>
      <c r="Y29" s="91"/>
      <c r="Z29" s="91"/>
      <c r="AA29" s="91"/>
      <c r="AB29" s="91"/>
      <c r="AC29" s="27">
        <f t="shared" si="36"/>
        <v>539.53</v>
      </c>
      <c r="AD29" s="92"/>
      <c r="AE29" s="92"/>
      <c r="AF29" s="1396"/>
      <c r="AG29" s="92"/>
      <c r="AH29" s="92"/>
      <c r="AI29" s="92"/>
      <c r="AJ29" s="92"/>
      <c r="AK29" s="92"/>
      <c r="AL29" s="92"/>
      <c r="AM29" s="92"/>
      <c r="AN29" s="3198">
        <v>539.53</v>
      </c>
      <c r="AO29" s="92"/>
      <c r="AP29" s="92"/>
      <c r="AQ29" s="92"/>
      <c r="AR29" s="92"/>
      <c r="AS29" s="92"/>
      <c r="AT29" s="93"/>
      <c r="AU29" s="94"/>
      <c r="AV29" s="1978">
        <f t="shared" si="37"/>
        <v>0</v>
      </c>
      <c r="AW29" s="1978">
        <f t="shared" si="38"/>
        <v>0</v>
      </c>
      <c r="AX29" s="1978">
        <f t="shared" si="39"/>
        <v>36</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v>37</v>
      </c>
      <c r="D30" s="3013" t="s">
        <v>2985</v>
      </c>
      <c r="E30" s="87">
        <f t="shared" si="33"/>
        <v>3935.2</v>
      </c>
      <c r="F30" s="88"/>
      <c r="G30" s="89">
        <f t="shared" si="34"/>
        <v>12255.7</v>
      </c>
      <c r="H30" s="33">
        <f t="shared" si="35"/>
        <v>11763.52</v>
      </c>
      <c r="I30" s="3194">
        <v>11763.52</v>
      </c>
      <c r="J30" s="91"/>
      <c r="K30" s="1396"/>
      <c r="L30" s="91"/>
      <c r="M30" s="91"/>
      <c r="N30" s="91"/>
      <c r="O30" s="91"/>
      <c r="P30" s="91"/>
      <c r="Q30" s="91"/>
      <c r="R30" s="91"/>
      <c r="S30" s="91"/>
      <c r="T30" s="91"/>
      <c r="U30" s="91"/>
      <c r="V30" s="91"/>
      <c r="W30" s="91"/>
      <c r="X30" s="91"/>
      <c r="Y30" s="91"/>
      <c r="Z30" s="91"/>
      <c r="AA30" s="91"/>
      <c r="AB30" s="91"/>
      <c r="AC30" s="27">
        <f t="shared" si="36"/>
        <v>492.18</v>
      </c>
      <c r="AD30" s="92"/>
      <c r="AE30" s="92"/>
      <c r="AF30" s="1396"/>
      <c r="AG30" s="92"/>
      <c r="AH30" s="92"/>
      <c r="AI30" s="92"/>
      <c r="AJ30" s="92"/>
      <c r="AK30" s="92"/>
      <c r="AL30" s="92"/>
      <c r="AM30" s="92"/>
      <c r="AN30" s="3198">
        <v>492.18</v>
      </c>
      <c r="AO30" s="92"/>
      <c r="AP30" s="92"/>
      <c r="AQ30" s="92"/>
      <c r="AR30" s="92"/>
      <c r="AS30" s="92"/>
      <c r="AT30" s="93"/>
      <c r="AU30" s="94"/>
      <c r="AV30" s="1978">
        <f t="shared" si="37"/>
        <v>0</v>
      </c>
      <c r="AW30" s="1978">
        <f t="shared" si="38"/>
        <v>0</v>
      </c>
      <c r="AX30" s="1978">
        <f t="shared" si="39"/>
        <v>37</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v>38</v>
      </c>
      <c r="D31" s="3013" t="s">
        <v>2985</v>
      </c>
      <c r="E31" s="87">
        <f t="shared" si="33"/>
        <v>2053.9299999999998</v>
      </c>
      <c r="F31" s="88"/>
      <c r="G31" s="89">
        <f t="shared" si="34"/>
        <v>6396.71</v>
      </c>
      <c r="H31" s="33">
        <f t="shared" si="35"/>
        <v>5874.14</v>
      </c>
      <c r="I31" s="3194">
        <v>5874.14</v>
      </c>
      <c r="J31" s="91"/>
      <c r="K31" s="1396"/>
      <c r="L31" s="91"/>
      <c r="M31" s="91"/>
      <c r="N31" s="91"/>
      <c r="O31" s="91"/>
      <c r="P31" s="91"/>
      <c r="Q31" s="91"/>
      <c r="R31" s="91"/>
      <c r="S31" s="91"/>
      <c r="T31" s="91"/>
      <c r="U31" s="91"/>
      <c r="V31" s="91"/>
      <c r="W31" s="91"/>
      <c r="X31" s="91"/>
      <c r="Y31" s="91"/>
      <c r="Z31" s="91"/>
      <c r="AA31" s="91"/>
      <c r="AB31" s="91"/>
      <c r="AC31" s="27">
        <f t="shared" si="36"/>
        <v>522.57000000000005</v>
      </c>
      <c r="AD31" s="92"/>
      <c r="AE31" s="92"/>
      <c r="AF31" s="1396"/>
      <c r="AG31" s="92"/>
      <c r="AH31" s="92"/>
      <c r="AI31" s="92"/>
      <c r="AJ31" s="92"/>
      <c r="AK31" s="92"/>
      <c r="AL31" s="92"/>
      <c r="AM31" s="92"/>
      <c r="AN31" s="3198">
        <v>522.57000000000005</v>
      </c>
      <c r="AO31" s="92"/>
      <c r="AP31" s="92"/>
      <c r="AQ31" s="92"/>
      <c r="AR31" s="92"/>
      <c r="AS31" s="92"/>
      <c r="AT31" s="93"/>
      <c r="AU31" s="94"/>
      <c r="AV31" s="1978">
        <f t="shared" si="37"/>
        <v>0</v>
      </c>
      <c r="AW31" s="1978">
        <f t="shared" si="38"/>
        <v>0</v>
      </c>
      <c r="AX31" s="1978">
        <f t="shared" si="39"/>
        <v>38</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c r="A32" s="84"/>
      <c r="B32" s="1393" t="s">
        <v>3120</v>
      </c>
      <c r="C32" s="1394" t="s">
        <v>3121</v>
      </c>
      <c r="D32" s="3013" t="s">
        <v>2985</v>
      </c>
      <c r="E32" s="87">
        <f t="shared" si="33"/>
        <v>62.13</v>
      </c>
      <c r="F32" s="88"/>
      <c r="G32" s="89">
        <f t="shared" si="34"/>
        <v>193.5</v>
      </c>
      <c r="H32" s="33">
        <f t="shared" si="35"/>
        <v>193.5</v>
      </c>
      <c r="I32" s="1396"/>
      <c r="J32" s="91"/>
      <c r="K32" s="1396"/>
      <c r="L32" s="91"/>
      <c r="M32" s="91"/>
      <c r="N32" s="91"/>
      <c r="O32" s="3194">
        <v>193.5</v>
      </c>
      <c r="P32" s="3195"/>
      <c r="Q32" s="3195"/>
      <c r="R32" s="91"/>
      <c r="S32" s="91"/>
      <c r="T32" s="91"/>
      <c r="U32" s="91"/>
      <c r="V32" s="91"/>
      <c r="W32" s="91"/>
      <c r="X32" s="91"/>
      <c r="Y32" s="91"/>
      <c r="Z32" s="91"/>
      <c r="AA32" s="91"/>
      <c r="AB32" s="91"/>
      <c r="AC32" s="2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t="str">
        <f t="shared" si="38"/>
        <v>春华园三期</v>
      </c>
      <c r="AX32" s="1978" t="str">
        <f t="shared" si="39"/>
        <v>配建1</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t="s">
        <v>3122</v>
      </c>
      <c r="D33" s="3013" t="s">
        <v>2985</v>
      </c>
      <c r="E33" s="87">
        <f t="shared" si="33"/>
        <v>61.78</v>
      </c>
      <c r="F33" s="88"/>
      <c r="G33" s="89">
        <f t="shared" si="34"/>
        <v>192.4</v>
      </c>
      <c r="H33" s="33">
        <f t="shared" si="35"/>
        <v>192.4</v>
      </c>
      <c r="I33" s="1396"/>
      <c r="J33" s="91"/>
      <c r="K33" s="1396"/>
      <c r="L33" s="91"/>
      <c r="M33" s="91"/>
      <c r="N33" s="91"/>
      <c r="O33" s="3194">
        <v>192.4</v>
      </c>
      <c r="P33" s="3195"/>
      <c r="Q33" s="3195"/>
      <c r="R33" s="91"/>
      <c r="S33" s="91"/>
      <c r="T33" s="91"/>
      <c r="U33" s="91"/>
      <c r="V33" s="91"/>
      <c r="W33" s="91"/>
      <c r="X33" s="91"/>
      <c r="Y33" s="91"/>
      <c r="Z33" s="91"/>
      <c r="AA33" s="91"/>
      <c r="AB33" s="91"/>
      <c r="AC33" s="2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t="str">
        <f t="shared" si="39"/>
        <v>配建2</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t="s">
        <v>3123</v>
      </c>
      <c r="D34" s="3013" t="s">
        <v>2985</v>
      </c>
      <c r="E34" s="87">
        <f t="shared" si="33"/>
        <v>61.78</v>
      </c>
      <c r="F34" s="88"/>
      <c r="G34" s="89">
        <f t="shared" si="34"/>
        <v>192.4</v>
      </c>
      <c r="H34" s="33">
        <f t="shared" si="35"/>
        <v>192.4</v>
      </c>
      <c r="I34" s="1396"/>
      <c r="J34" s="91"/>
      <c r="K34" s="1396"/>
      <c r="L34" s="91"/>
      <c r="M34" s="91"/>
      <c r="N34" s="91"/>
      <c r="O34" s="3194">
        <v>192.4</v>
      </c>
      <c r="P34" s="3195"/>
      <c r="Q34" s="3195"/>
      <c r="R34" s="91"/>
      <c r="S34" s="91"/>
      <c r="T34" s="91"/>
      <c r="U34" s="91"/>
      <c r="V34" s="91"/>
      <c r="W34" s="91"/>
      <c r="X34" s="91"/>
      <c r="Y34" s="91"/>
      <c r="Z34" s="91"/>
      <c r="AA34" s="91"/>
      <c r="AB34" s="91"/>
      <c r="AC34" s="2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t="str">
        <f t="shared" si="39"/>
        <v>配建3</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t="s">
        <v>3124</v>
      </c>
      <c r="D35" s="3013" t="s">
        <v>2985</v>
      </c>
      <c r="E35" s="87">
        <f t="shared" si="33"/>
        <v>12026.46</v>
      </c>
      <c r="F35" s="88"/>
      <c r="G35" s="89">
        <f t="shared" si="34"/>
        <v>37454.97</v>
      </c>
      <c r="H35" s="33">
        <f t="shared" si="35"/>
        <v>37454.97</v>
      </c>
      <c r="I35" s="1396"/>
      <c r="J35" s="91"/>
      <c r="K35" s="1396"/>
      <c r="L35" s="91"/>
      <c r="M35" s="91"/>
      <c r="N35" s="91"/>
      <c r="O35" s="3195"/>
      <c r="P35" s="3195"/>
      <c r="Q35" s="3195">
        <v>37454.97</v>
      </c>
      <c r="R35" s="91"/>
      <c r="S35" s="91"/>
      <c r="T35" s="91"/>
      <c r="U35" s="91"/>
      <c r="V35" s="91"/>
      <c r="W35" s="91"/>
      <c r="X35" s="91"/>
      <c r="Y35" s="91"/>
      <c r="Z35" s="91"/>
      <c r="AA35" s="91"/>
      <c r="AB35" s="91"/>
      <c r="AC35" s="2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t="str">
        <f t="shared" si="39"/>
        <v>地下车库</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28.5">
      <c r="A36" s="84"/>
      <c r="B36" s="1393" t="s">
        <v>3462</v>
      </c>
      <c r="C36" s="1394">
        <v>13</v>
      </c>
      <c r="D36" s="80" t="s">
        <v>1677</v>
      </c>
      <c r="E36" s="87">
        <f t="shared" si="33"/>
        <v>326.76</v>
      </c>
      <c r="F36" s="88"/>
      <c r="G36" s="89">
        <f t="shared" si="34"/>
        <v>1017.67</v>
      </c>
      <c r="H36" s="33">
        <f t="shared" si="35"/>
        <v>1017.67</v>
      </c>
      <c r="I36" s="1396">
        <v>1017.67</v>
      </c>
      <c r="J36" s="91"/>
      <c r="K36" s="1396"/>
      <c r="L36" s="91"/>
      <c r="M36" s="91"/>
      <c r="N36" s="91"/>
      <c r="O36" s="91"/>
      <c r="P36" s="91"/>
      <c r="Q36" s="91"/>
      <c r="R36" s="91"/>
      <c r="S36" s="91"/>
      <c r="T36" s="91"/>
      <c r="U36" s="91"/>
      <c r="V36" s="91"/>
      <c r="W36" s="91"/>
      <c r="X36" s="91"/>
      <c r="Y36" s="91"/>
      <c r="Z36" s="91"/>
      <c r="AA36" s="91"/>
      <c r="AB36" s="91"/>
      <c r="AC36" s="2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t="str">
        <f t="shared" si="38"/>
        <v>春华园四期</v>
      </c>
      <c r="AX36" s="1978">
        <f t="shared" si="39"/>
        <v>13</v>
      </c>
      <c r="AY36" s="95">
        <f t="shared" si="40"/>
        <v>326.76</v>
      </c>
      <c r="AZ36" s="87">
        <f t="shared" si="41"/>
        <v>1017.67</v>
      </c>
      <c r="BA36" s="87">
        <f t="shared" si="42"/>
        <v>1017.67</v>
      </c>
      <c r="BB36" s="87">
        <f t="shared" si="43"/>
        <v>1017.67</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t="s">
        <v>3124</v>
      </c>
      <c r="D37" s="80" t="s">
        <v>1677</v>
      </c>
      <c r="E37" s="87">
        <f t="shared" si="33"/>
        <v>14351.33</v>
      </c>
      <c r="F37" s="88"/>
      <c r="G37" s="89">
        <f t="shared" si="34"/>
        <v>44695.49</v>
      </c>
      <c r="H37" s="33">
        <f t="shared" si="35"/>
        <v>0</v>
      </c>
      <c r="I37" s="1396"/>
      <c r="J37" s="91"/>
      <c r="K37" s="1396"/>
      <c r="L37" s="91"/>
      <c r="M37" s="91"/>
      <c r="N37" s="91"/>
      <c r="O37" s="91"/>
      <c r="P37" s="91"/>
      <c r="Q37" s="91"/>
      <c r="R37" s="91"/>
      <c r="S37" s="91"/>
      <c r="T37" s="91"/>
      <c r="U37" s="91"/>
      <c r="V37" s="91"/>
      <c r="W37" s="91"/>
      <c r="X37" s="91"/>
      <c r="Y37" s="91"/>
      <c r="Z37" s="91"/>
      <c r="AA37" s="91"/>
      <c r="AB37" s="91"/>
      <c r="AC37" s="27">
        <f t="shared" si="36"/>
        <v>44695.49</v>
      </c>
      <c r="AD37" s="92"/>
      <c r="AE37" s="92"/>
      <c r="AF37" s="1396"/>
      <c r="AG37" s="92"/>
      <c r="AH37" s="92"/>
      <c r="AI37" s="92"/>
      <c r="AJ37" s="92"/>
      <c r="AK37" s="92"/>
      <c r="AL37" s="92">
        <v>154.63999999999999</v>
      </c>
      <c r="AM37" s="92"/>
      <c r="AN37" s="92">
        <v>44540.85</v>
      </c>
      <c r="AO37" s="92"/>
      <c r="AP37" s="92"/>
      <c r="AQ37" s="92"/>
      <c r="AR37" s="92"/>
      <c r="AS37" s="92"/>
      <c r="AT37" s="93"/>
      <c r="AU37" s="94"/>
      <c r="AV37" s="1978">
        <f t="shared" si="37"/>
        <v>0</v>
      </c>
      <c r="AW37" s="1978">
        <f t="shared" si="38"/>
        <v>0</v>
      </c>
      <c r="AX37" s="1978" t="str">
        <f t="shared" si="39"/>
        <v>地下车库</v>
      </c>
      <c r="AY37" s="95">
        <f t="shared" si="40"/>
        <v>14351.33</v>
      </c>
      <c r="AZ37" s="87">
        <f t="shared" si="41"/>
        <v>44695.49</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44695.49</v>
      </c>
      <c r="BM37" s="87">
        <f t="shared" si="54"/>
        <v>0</v>
      </c>
      <c r="BN37" s="87">
        <f t="shared" si="55"/>
        <v>0</v>
      </c>
      <c r="BO37" s="87">
        <f t="shared" si="56"/>
        <v>0</v>
      </c>
      <c r="BP37" s="87">
        <f t="shared" si="57"/>
        <v>0</v>
      </c>
      <c r="BQ37" s="87">
        <f t="shared" si="58"/>
        <v>154.63999999999999</v>
      </c>
      <c r="BR37" s="87">
        <f t="shared" si="59"/>
        <v>44540.85</v>
      </c>
      <c r="BS37" s="87">
        <f t="shared" si="60"/>
        <v>0</v>
      </c>
      <c r="BT37" s="96">
        <f t="shared" si="61"/>
        <v>0</v>
      </c>
    </row>
    <row r="38" spans="1:72" ht="28.5">
      <c r="A38" s="84"/>
      <c r="B38" s="1393" t="s">
        <v>3463</v>
      </c>
      <c r="C38" s="1394">
        <v>14</v>
      </c>
      <c r="D38" s="80" t="s">
        <v>1677</v>
      </c>
      <c r="E38" s="87">
        <f t="shared" si="33"/>
        <v>641.48</v>
      </c>
      <c r="F38" s="88"/>
      <c r="G38" s="89">
        <f t="shared" si="34"/>
        <v>1997.81</v>
      </c>
      <c r="H38" s="33">
        <f t="shared" si="35"/>
        <v>1997.81</v>
      </c>
      <c r="I38" s="1396">
        <v>1997.81</v>
      </c>
      <c r="J38" s="91"/>
      <c r="K38" s="1396"/>
      <c r="L38" s="91"/>
      <c r="M38" s="91"/>
      <c r="N38" s="91"/>
      <c r="O38" s="91"/>
      <c r="P38" s="91"/>
      <c r="Q38" s="91"/>
      <c r="R38" s="91"/>
      <c r="S38" s="91"/>
      <c r="T38" s="91"/>
      <c r="U38" s="91"/>
      <c r="V38" s="91"/>
      <c r="W38" s="91"/>
      <c r="X38" s="91"/>
      <c r="Y38" s="91"/>
      <c r="Z38" s="91"/>
      <c r="AA38" s="91"/>
      <c r="AB38" s="91"/>
      <c r="AC38" s="2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t="str">
        <f t="shared" si="38"/>
        <v>春华园五期</v>
      </c>
      <c r="AX38" s="1978">
        <f t="shared" si="39"/>
        <v>14</v>
      </c>
      <c r="AY38" s="95">
        <f t="shared" si="40"/>
        <v>641.48</v>
      </c>
      <c r="AZ38" s="87">
        <f t="shared" si="41"/>
        <v>1997.81</v>
      </c>
      <c r="BA38" s="87">
        <f t="shared" si="42"/>
        <v>1997.81</v>
      </c>
      <c r="BB38" s="87">
        <f t="shared" si="43"/>
        <v>1997.81</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v>15</v>
      </c>
      <c r="D39" s="80" t="s">
        <v>1677</v>
      </c>
      <c r="E39" s="87">
        <f t="shared" si="33"/>
        <v>1367.28</v>
      </c>
      <c r="F39" s="88"/>
      <c r="G39" s="89">
        <f t="shared" si="34"/>
        <v>4258.24</v>
      </c>
      <c r="H39" s="33">
        <f t="shared" si="35"/>
        <v>4258.24</v>
      </c>
      <c r="I39" s="1396">
        <v>4258.24</v>
      </c>
      <c r="J39" s="91"/>
      <c r="K39" s="1396"/>
      <c r="L39" s="91"/>
      <c r="M39" s="91"/>
      <c r="N39" s="91"/>
      <c r="O39" s="91"/>
      <c r="P39" s="91"/>
      <c r="Q39" s="91"/>
      <c r="R39" s="91"/>
      <c r="S39" s="91"/>
      <c r="T39" s="91"/>
      <c r="U39" s="91"/>
      <c r="V39" s="91"/>
      <c r="W39" s="91"/>
      <c r="X39" s="91"/>
      <c r="Y39" s="91"/>
      <c r="Z39" s="91"/>
      <c r="AA39" s="91"/>
      <c r="AB39" s="91"/>
      <c r="AC39" s="2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15</v>
      </c>
      <c r="AY39" s="95">
        <f t="shared" si="40"/>
        <v>1367.28</v>
      </c>
      <c r="AZ39" s="87">
        <f t="shared" si="41"/>
        <v>4258.24</v>
      </c>
      <c r="BA39" s="87">
        <f t="shared" si="42"/>
        <v>4258.24</v>
      </c>
      <c r="BB39" s="87">
        <f t="shared" si="43"/>
        <v>4258.24</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v>16</v>
      </c>
      <c r="D40" s="80" t="s">
        <v>1677</v>
      </c>
      <c r="E40" s="87">
        <f t="shared" si="33"/>
        <v>1631.59</v>
      </c>
      <c r="F40" s="88"/>
      <c r="G40" s="89">
        <f t="shared" si="34"/>
        <v>5081.3999999999996</v>
      </c>
      <c r="H40" s="33">
        <f t="shared" si="35"/>
        <v>5081.3999999999996</v>
      </c>
      <c r="I40" s="1396">
        <v>5081.3999999999996</v>
      </c>
      <c r="J40" s="91"/>
      <c r="K40" s="1396"/>
      <c r="L40" s="91"/>
      <c r="M40" s="91"/>
      <c r="N40" s="91"/>
      <c r="O40" s="91"/>
      <c r="P40" s="91"/>
      <c r="Q40" s="91"/>
      <c r="R40" s="91"/>
      <c r="S40" s="91"/>
      <c r="T40" s="91"/>
      <c r="U40" s="91"/>
      <c r="V40" s="91"/>
      <c r="W40" s="91"/>
      <c r="X40" s="91"/>
      <c r="Y40" s="91"/>
      <c r="Z40" s="91"/>
      <c r="AA40" s="91"/>
      <c r="AB40" s="91"/>
      <c r="AC40" s="2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16</v>
      </c>
      <c r="AY40" s="95">
        <f t="shared" si="40"/>
        <v>1631.59</v>
      </c>
      <c r="AZ40" s="87">
        <f t="shared" si="41"/>
        <v>5081.3999999999996</v>
      </c>
      <c r="BA40" s="87">
        <f t="shared" si="42"/>
        <v>5081.3999999999996</v>
      </c>
      <c r="BB40" s="87">
        <f t="shared" si="43"/>
        <v>5081.3999999999996</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v>17</v>
      </c>
      <c r="D41" s="80" t="s">
        <v>1677</v>
      </c>
      <c r="E41" s="87">
        <f t="shared" si="33"/>
        <v>1254.21</v>
      </c>
      <c r="F41" s="88"/>
      <c r="G41" s="89">
        <f t="shared" si="34"/>
        <v>3906.07</v>
      </c>
      <c r="H41" s="33">
        <f t="shared" si="35"/>
        <v>3906.07</v>
      </c>
      <c r="I41" s="1396">
        <v>3906.07</v>
      </c>
      <c r="J41" s="91"/>
      <c r="K41" s="1396"/>
      <c r="L41" s="91"/>
      <c r="M41" s="91"/>
      <c r="N41" s="91"/>
      <c r="O41" s="91"/>
      <c r="P41" s="91"/>
      <c r="Q41" s="91"/>
      <c r="R41" s="91"/>
      <c r="S41" s="91"/>
      <c r="T41" s="91"/>
      <c r="U41" s="91"/>
      <c r="V41" s="91"/>
      <c r="W41" s="91"/>
      <c r="X41" s="91"/>
      <c r="Y41" s="91"/>
      <c r="Z41" s="91"/>
      <c r="AA41" s="91"/>
      <c r="AB41" s="91"/>
      <c r="AC41" s="2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17</v>
      </c>
      <c r="AY41" s="95">
        <f t="shared" si="40"/>
        <v>1254.2</v>
      </c>
      <c r="AZ41" s="87">
        <f t="shared" si="41"/>
        <v>3906.07</v>
      </c>
      <c r="BA41" s="87">
        <f t="shared" si="42"/>
        <v>3906.07</v>
      </c>
      <c r="BB41" s="87">
        <f t="shared" si="43"/>
        <v>3906.07</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v>18</v>
      </c>
      <c r="D42" s="80" t="s">
        <v>1677</v>
      </c>
      <c r="E42" s="87">
        <f t="shared" si="33"/>
        <v>1254.21</v>
      </c>
      <c r="F42" s="88"/>
      <c r="G42" s="89">
        <f t="shared" si="34"/>
        <v>3906.07</v>
      </c>
      <c r="H42" s="33">
        <f t="shared" si="35"/>
        <v>3906.07</v>
      </c>
      <c r="I42" s="1396">
        <v>3906.07</v>
      </c>
      <c r="J42" s="91"/>
      <c r="K42" s="1396"/>
      <c r="L42" s="91"/>
      <c r="M42" s="91"/>
      <c r="N42" s="91"/>
      <c r="O42" s="91"/>
      <c r="P42" s="91"/>
      <c r="Q42" s="91"/>
      <c r="R42" s="91"/>
      <c r="S42" s="91"/>
      <c r="T42" s="91"/>
      <c r="U42" s="91"/>
      <c r="V42" s="91"/>
      <c r="W42" s="91"/>
      <c r="X42" s="91"/>
      <c r="Y42" s="91"/>
      <c r="Z42" s="91"/>
      <c r="AA42" s="91"/>
      <c r="AB42" s="91"/>
      <c r="AC42" s="2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18</v>
      </c>
      <c r="AY42" s="95">
        <f t="shared" si="40"/>
        <v>1254.2</v>
      </c>
      <c r="AZ42" s="87">
        <f t="shared" si="41"/>
        <v>3906.07</v>
      </c>
      <c r="BA42" s="87">
        <f t="shared" si="42"/>
        <v>3906.07</v>
      </c>
      <c r="BB42" s="87">
        <f t="shared" si="43"/>
        <v>3906.07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v>19</v>
      </c>
      <c r="D43" s="80" t="s">
        <v>1677</v>
      </c>
      <c r="E43" s="87">
        <f t="shared" si="33"/>
        <v>1584.11</v>
      </c>
      <c r="F43" s="88"/>
      <c r="G43" s="89">
        <f t="shared" si="34"/>
        <v>4933.51</v>
      </c>
      <c r="H43" s="33">
        <f t="shared" si="35"/>
        <v>4933.51</v>
      </c>
      <c r="I43" s="1396">
        <v>4933.51</v>
      </c>
      <c r="J43" s="91"/>
      <c r="K43" s="1396"/>
      <c r="L43" s="91"/>
      <c r="M43" s="91"/>
      <c r="N43" s="91"/>
      <c r="O43" s="91"/>
      <c r="P43" s="91"/>
      <c r="Q43" s="91"/>
      <c r="R43" s="91"/>
      <c r="S43" s="91"/>
      <c r="T43" s="91"/>
      <c r="U43" s="91"/>
      <c r="V43" s="91"/>
      <c r="W43" s="91"/>
      <c r="X43" s="91"/>
      <c r="Y43" s="91"/>
      <c r="Z43" s="91"/>
      <c r="AA43" s="91"/>
      <c r="AB43" s="91"/>
      <c r="AC43" s="2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19</v>
      </c>
      <c r="AY43" s="95">
        <f t="shared" si="40"/>
        <v>1584.11</v>
      </c>
      <c r="AZ43" s="87">
        <f t="shared" si="41"/>
        <v>4933.51</v>
      </c>
      <c r="BA43" s="87">
        <f t="shared" si="42"/>
        <v>4933.51</v>
      </c>
      <c r="BB43" s="87">
        <f t="shared" si="43"/>
        <v>4933.51</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v>30</v>
      </c>
      <c r="D44" s="80" t="s">
        <v>1677</v>
      </c>
      <c r="E44" s="87">
        <f t="shared" si="33"/>
        <v>1874.23</v>
      </c>
      <c r="F44" s="88"/>
      <c r="G44" s="89">
        <f t="shared" si="34"/>
        <v>5837.07</v>
      </c>
      <c r="H44" s="33">
        <f t="shared" si="35"/>
        <v>5837.07</v>
      </c>
      <c r="I44" s="1396">
        <v>5837.07</v>
      </c>
      <c r="J44" s="91"/>
      <c r="K44" s="1396"/>
      <c r="L44" s="91"/>
      <c r="M44" s="91"/>
      <c r="N44" s="91"/>
      <c r="O44" s="91"/>
      <c r="P44" s="91"/>
      <c r="Q44" s="91"/>
      <c r="R44" s="91"/>
      <c r="S44" s="91"/>
      <c r="T44" s="91"/>
      <c r="U44" s="91"/>
      <c r="V44" s="91"/>
      <c r="W44" s="91"/>
      <c r="X44" s="91"/>
      <c r="Y44" s="91"/>
      <c r="Z44" s="91"/>
      <c r="AA44" s="91"/>
      <c r="AB44" s="91"/>
      <c r="AC44" s="2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30</v>
      </c>
      <c r="AY44" s="95">
        <f t="shared" si="40"/>
        <v>1874.23</v>
      </c>
      <c r="AZ44" s="87">
        <f t="shared" si="41"/>
        <v>5837.07</v>
      </c>
      <c r="BA44" s="87">
        <f t="shared" si="42"/>
        <v>5837.07</v>
      </c>
      <c r="BB44" s="87">
        <f t="shared" si="43"/>
        <v>5837.07</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v>31</v>
      </c>
      <c r="D45" s="80" t="s">
        <v>1677</v>
      </c>
      <c r="E45" s="87">
        <f t="shared" si="33"/>
        <v>1874.23</v>
      </c>
      <c r="F45" s="88"/>
      <c r="G45" s="89">
        <f t="shared" si="34"/>
        <v>5837.07</v>
      </c>
      <c r="H45" s="33">
        <f t="shared" si="35"/>
        <v>5837.07</v>
      </c>
      <c r="I45" s="1396">
        <v>5837.07</v>
      </c>
      <c r="J45" s="91"/>
      <c r="K45" s="1396"/>
      <c r="L45" s="91"/>
      <c r="M45" s="91"/>
      <c r="N45" s="91"/>
      <c r="O45" s="91"/>
      <c r="P45" s="91"/>
      <c r="Q45" s="91"/>
      <c r="R45" s="91"/>
      <c r="S45" s="91"/>
      <c r="T45" s="91"/>
      <c r="U45" s="91"/>
      <c r="V45" s="91"/>
      <c r="W45" s="91"/>
      <c r="X45" s="91"/>
      <c r="Y45" s="91"/>
      <c r="Z45" s="91"/>
      <c r="AA45" s="91"/>
      <c r="AB45" s="91"/>
      <c r="AC45" s="2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31</v>
      </c>
      <c r="AY45" s="95">
        <f t="shared" si="40"/>
        <v>1874.23</v>
      </c>
      <c r="AZ45" s="87">
        <f t="shared" si="41"/>
        <v>5837.07</v>
      </c>
      <c r="BA45" s="87">
        <f t="shared" si="42"/>
        <v>5837.07</v>
      </c>
      <c r="BB45" s="87">
        <f t="shared" si="43"/>
        <v>5837.07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28.5">
      <c r="A46" s="84"/>
      <c r="B46" s="1393" t="s">
        <v>3133</v>
      </c>
      <c r="C46" s="1394">
        <v>29</v>
      </c>
      <c r="D46" s="80" t="s">
        <v>1677</v>
      </c>
      <c r="E46" s="87">
        <f t="shared" si="33"/>
        <v>1874.23</v>
      </c>
      <c r="F46" s="88"/>
      <c r="G46" s="89">
        <f t="shared" si="34"/>
        <v>5837.07</v>
      </c>
      <c r="H46" s="33">
        <f t="shared" si="35"/>
        <v>5837.07</v>
      </c>
      <c r="I46" s="1396">
        <v>5837.07</v>
      </c>
      <c r="J46" s="91"/>
      <c r="K46" s="1396"/>
      <c r="L46" s="91"/>
      <c r="M46" s="91"/>
      <c r="N46" s="91"/>
      <c r="O46" s="91"/>
      <c r="P46" s="91"/>
      <c r="Q46" s="91"/>
      <c r="R46" s="91"/>
      <c r="S46" s="91"/>
      <c r="T46" s="91"/>
      <c r="U46" s="91"/>
      <c r="V46" s="91"/>
      <c r="W46" s="91"/>
      <c r="X46" s="91"/>
      <c r="Y46" s="91"/>
      <c r="Z46" s="91"/>
      <c r="AA46" s="91"/>
      <c r="AB46" s="91"/>
      <c r="AC46" s="2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t="str">
        <f t="shared" si="38"/>
        <v>春华园六期</v>
      </c>
      <c r="AX46" s="1978">
        <f t="shared" si="39"/>
        <v>29</v>
      </c>
      <c r="AY46" s="95">
        <f t="shared" si="40"/>
        <v>1874.23</v>
      </c>
      <c r="AZ46" s="87">
        <f t="shared" si="41"/>
        <v>5837.07</v>
      </c>
      <c r="BA46" s="87">
        <f t="shared" si="42"/>
        <v>5837.07</v>
      </c>
      <c r="BB46" s="87">
        <f t="shared" si="43"/>
        <v>5837.07</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t="s">
        <v>3132</v>
      </c>
      <c r="D47" s="80" t="s">
        <v>1677</v>
      </c>
      <c r="E47" s="87">
        <f t="shared" si="33"/>
        <v>94.04</v>
      </c>
      <c r="F47" s="88"/>
      <c r="G47" s="89">
        <f t="shared" si="34"/>
        <v>292.87</v>
      </c>
      <c r="H47" s="33">
        <f t="shared" si="35"/>
        <v>0</v>
      </c>
      <c r="I47" s="1396"/>
      <c r="J47" s="91"/>
      <c r="K47" s="1396"/>
      <c r="L47" s="91"/>
      <c r="M47" s="91"/>
      <c r="N47" s="91"/>
      <c r="O47" s="91"/>
      <c r="P47" s="91"/>
      <c r="Q47" s="91"/>
      <c r="R47" s="91"/>
      <c r="S47" s="91"/>
      <c r="T47" s="91"/>
      <c r="U47" s="91"/>
      <c r="V47" s="91"/>
      <c r="W47" s="91"/>
      <c r="X47" s="91"/>
      <c r="Y47" s="91"/>
      <c r="Z47" s="91"/>
      <c r="AA47" s="91"/>
      <c r="AB47" s="91"/>
      <c r="AC47" s="27">
        <f t="shared" si="36"/>
        <v>292.87</v>
      </c>
      <c r="AD47" s="92"/>
      <c r="AE47" s="92"/>
      <c r="AF47" s="1394"/>
      <c r="AG47" s="92"/>
      <c r="AH47" s="92"/>
      <c r="AI47" s="92"/>
      <c r="AJ47" s="92"/>
      <c r="AK47" s="92"/>
      <c r="AL47" s="91">
        <v>292.87</v>
      </c>
      <c r="AM47" s="92"/>
      <c r="AN47" s="92"/>
      <c r="AO47" s="92"/>
      <c r="AP47" s="92"/>
      <c r="AQ47" s="92"/>
      <c r="AR47" s="92"/>
      <c r="AS47" s="92"/>
      <c r="AT47" s="93"/>
      <c r="AU47" s="94"/>
      <c r="AV47" s="1978">
        <f t="shared" si="37"/>
        <v>0</v>
      </c>
      <c r="AW47" s="1978">
        <f t="shared" si="38"/>
        <v>0</v>
      </c>
      <c r="AX47" s="1978" t="str">
        <f t="shared" si="39"/>
        <v>配建8</v>
      </c>
      <c r="AY47" s="95">
        <f t="shared" si="40"/>
        <v>94.04</v>
      </c>
      <c r="AZ47" s="87">
        <f t="shared" si="41"/>
        <v>292.87</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292.87</v>
      </c>
      <c r="BM47" s="87">
        <f t="shared" si="54"/>
        <v>0</v>
      </c>
      <c r="BN47" s="87">
        <f t="shared" si="55"/>
        <v>0</v>
      </c>
      <c r="BO47" s="87">
        <f t="shared" si="56"/>
        <v>0</v>
      </c>
      <c r="BP47" s="87">
        <f t="shared" si="57"/>
        <v>0</v>
      </c>
      <c r="BQ47" s="87">
        <f t="shared" si="58"/>
        <v>292.87</v>
      </c>
      <c r="BR47" s="87">
        <f t="shared" si="59"/>
        <v>0</v>
      </c>
      <c r="BS47" s="87">
        <f t="shared" si="60"/>
        <v>0</v>
      </c>
      <c r="BT47" s="96">
        <f t="shared" si="61"/>
        <v>0</v>
      </c>
    </row>
    <row r="48" spans="1:72">
      <c r="A48" s="84"/>
      <c r="B48" s="1393"/>
      <c r="C48" s="1394">
        <v>20</v>
      </c>
      <c r="D48" s="80" t="s">
        <v>1677</v>
      </c>
      <c r="E48" s="87">
        <f t="shared" si="33"/>
        <v>1584.11</v>
      </c>
      <c r="F48" s="88"/>
      <c r="G48" s="89">
        <f t="shared" si="34"/>
        <v>4933.51</v>
      </c>
      <c r="H48" s="33">
        <f t="shared" si="35"/>
        <v>4933.51</v>
      </c>
      <c r="I48" s="1394">
        <v>4933.51</v>
      </c>
      <c r="J48" s="91"/>
      <c r="K48" s="1394"/>
      <c r="L48" s="91"/>
      <c r="M48" s="91"/>
      <c r="N48" s="91"/>
      <c r="O48" s="91"/>
      <c r="P48" s="91"/>
      <c r="Q48" s="91"/>
      <c r="R48" s="91"/>
      <c r="S48" s="91"/>
      <c r="T48" s="91"/>
      <c r="U48" s="91"/>
      <c r="V48" s="91"/>
      <c r="W48" s="91"/>
      <c r="X48" s="91"/>
      <c r="Y48" s="91"/>
      <c r="Z48" s="91"/>
      <c r="AA48" s="91"/>
      <c r="AB48" s="91"/>
      <c r="AC48" s="27">
        <f t="shared" si="36"/>
        <v>0</v>
      </c>
      <c r="AD48" s="92"/>
      <c r="AE48" s="92"/>
      <c r="AF48" s="1394"/>
      <c r="AG48" s="92"/>
      <c r="AH48" s="92"/>
      <c r="AI48" s="92"/>
      <c r="AJ48" s="92"/>
      <c r="AK48" s="92"/>
      <c r="AL48" s="91"/>
      <c r="AM48" s="92"/>
      <c r="AN48" s="92"/>
      <c r="AO48" s="92"/>
      <c r="AP48" s="92"/>
      <c r="AQ48" s="92"/>
      <c r="AR48" s="92"/>
      <c r="AS48" s="92"/>
      <c r="AT48" s="93"/>
      <c r="AU48" s="94"/>
      <c r="AV48" s="1978">
        <f t="shared" si="37"/>
        <v>0</v>
      </c>
      <c r="AW48" s="1978">
        <f t="shared" si="38"/>
        <v>0</v>
      </c>
      <c r="AX48" s="1978">
        <f t="shared" si="39"/>
        <v>20</v>
      </c>
      <c r="AY48" s="95">
        <f t="shared" si="40"/>
        <v>1584.11</v>
      </c>
      <c r="AZ48" s="87">
        <f t="shared" si="41"/>
        <v>4933.51</v>
      </c>
      <c r="BA48" s="87">
        <f t="shared" si="42"/>
        <v>4933.51</v>
      </c>
      <c r="BB48" s="87">
        <f t="shared" si="43"/>
        <v>4933.51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v>21</v>
      </c>
      <c r="D49" s="80" t="s">
        <v>1677</v>
      </c>
      <c r="E49" s="87">
        <f t="shared" si="33"/>
        <v>1880.41</v>
      </c>
      <c r="F49" s="88"/>
      <c r="G49" s="89">
        <f t="shared" si="34"/>
        <v>5856.31</v>
      </c>
      <c r="H49" s="33">
        <f t="shared" si="35"/>
        <v>5856.31</v>
      </c>
      <c r="I49" s="1394">
        <v>5856.31</v>
      </c>
      <c r="J49" s="91"/>
      <c r="K49" s="1394"/>
      <c r="L49" s="91"/>
      <c r="M49" s="91"/>
      <c r="N49" s="91"/>
      <c r="O49" s="91"/>
      <c r="P49" s="91"/>
      <c r="Q49" s="91"/>
      <c r="R49" s="91"/>
      <c r="S49" s="91"/>
      <c r="T49" s="91"/>
      <c r="U49" s="91"/>
      <c r="V49" s="91"/>
      <c r="W49" s="91"/>
      <c r="X49" s="91"/>
      <c r="Y49" s="91"/>
      <c r="Z49" s="91"/>
      <c r="AA49" s="91"/>
      <c r="AB49" s="91"/>
      <c r="AC49" s="27">
        <f t="shared" si="36"/>
        <v>0</v>
      </c>
      <c r="AD49" s="92"/>
      <c r="AE49" s="92"/>
      <c r="AF49" s="1394"/>
      <c r="AG49" s="92"/>
      <c r="AH49" s="92"/>
      <c r="AI49" s="92"/>
      <c r="AJ49" s="92"/>
      <c r="AK49" s="92"/>
      <c r="AL49" s="91"/>
      <c r="AM49" s="92"/>
      <c r="AN49" s="92"/>
      <c r="AO49" s="92"/>
      <c r="AP49" s="92"/>
      <c r="AQ49" s="92"/>
      <c r="AR49" s="92"/>
      <c r="AS49" s="92"/>
      <c r="AT49" s="93"/>
      <c r="AU49" s="94"/>
      <c r="AV49" s="1978">
        <f t="shared" si="37"/>
        <v>0</v>
      </c>
      <c r="AW49" s="1978">
        <f t="shared" si="38"/>
        <v>0</v>
      </c>
      <c r="AX49" s="1978">
        <f t="shared" si="39"/>
        <v>21</v>
      </c>
      <c r="AY49" s="95">
        <f t="shared" si="40"/>
        <v>1880.41</v>
      </c>
      <c r="AZ49" s="87">
        <f t="shared" si="41"/>
        <v>5856.31</v>
      </c>
      <c r="BA49" s="87">
        <f t="shared" si="42"/>
        <v>5856.31</v>
      </c>
      <c r="BB49" s="87">
        <f t="shared" si="43"/>
        <v>5856.31</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v>22</v>
      </c>
      <c r="D50" s="80" t="s">
        <v>1677</v>
      </c>
      <c r="E50" s="87">
        <f t="shared" si="33"/>
        <v>1880.41</v>
      </c>
      <c r="F50" s="88"/>
      <c r="G50" s="89">
        <f t="shared" si="34"/>
        <v>5856.31</v>
      </c>
      <c r="H50" s="33">
        <f t="shared" si="35"/>
        <v>5856.31</v>
      </c>
      <c r="I50" s="1394">
        <v>5856.31</v>
      </c>
      <c r="J50" s="91"/>
      <c r="K50" s="1394"/>
      <c r="L50" s="91"/>
      <c r="M50" s="91"/>
      <c r="N50" s="91"/>
      <c r="O50" s="91"/>
      <c r="P50" s="91"/>
      <c r="Q50" s="91"/>
      <c r="R50" s="91"/>
      <c r="S50" s="91"/>
      <c r="T50" s="91"/>
      <c r="U50" s="91"/>
      <c r="V50" s="91"/>
      <c r="W50" s="91"/>
      <c r="X50" s="91"/>
      <c r="Y50" s="91"/>
      <c r="Z50" s="91"/>
      <c r="AA50" s="91"/>
      <c r="AB50" s="91"/>
      <c r="AC50" s="27">
        <f t="shared" si="36"/>
        <v>0</v>
      </c>
      <c r="AD50" s="92"/>
      <c r="AE50" s="92"/>
      <c r="AF50" s="1394"/>
      <c r="AG50" s="92"/>
      <c r="AH50" s="92"/>
      <c r="AI50" s="92"/>
      <c r="AJ50" s="92"/>
      <c r="AK50" s="92"/>
      <c r="AL50" s="91"/>
      <c r="AM50" s="92"/>
      <c r="AN50" s="92"/>
      <c r="AO50" s="92"/>
      <c r="AP50" s="92"/>
      <c r="AQ50" s="92"/>
      <c r="AR50" s="92"/>
      <c r="AS50" s="92"/>
      <c r="AT50" s="93"/>
      <c r="AU50" s="94"/>
      <c r="AV50" s="1978">
        <f t="shared" si="37"/>
        <v>0</v>
      </c>
      <c r="AW50" s="1978">
        <f t="shared" si="38"/>
        <v>0</v>
      </c>
      <c r="AX50" s="1978">
        <f t="shared" si="39"/>
        <v>22</v>
      </c>
      <c r="AY50" s="95">
        <f t="shared" si="40"/>
        <v>1880.41</v>
      </c>
      <c r="AZ50" s="87">
        <f t="shared" si="41"/>
        <v>5856.31</v>
      </c>
      <c r="BA50" s="87">
        <f t="shared" si="42"/>
        <v>5856.31</v>
      </c>
      <c r="BB50" s="87">
        <f t="shared" si="43"/>
        <v>5856.31</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28.5">
      <c r="A51" s="84"/>
      <c r="B51" s="1393" t="s">
        <v>3134</v>
      </c>
      <c r="C51" s="1394">
        <v>23</v>
      </c>
      <c r="D51" s="80" t="s">
        <v>1677</v>
      </c>
      <c r="E51" s="87">
        <f t="shared" si="33"/>
        <v>2940.24</v>
      </c>
      <c r="F51" s="88"/>
      <c r="G51" s="89">
        <f t="shared" si="34"/>
        <v>9157.0300000000007</v>
      </c>
      <c r="H51" s="33">
        <f t="shared" si="35"/>
        <v>8975.94</v>
      </c>
      <c r="I51" s="1394"/>
      <c r="J51" s="91"/>
      <c r="K51" s="1394"/>
      <c r="L51" s="91"/>
      <c r="M51" s="91">
        <v>8975.94</v>
      </c>
      <c r="N51" s="91"/>
      <c r="O51" s="91"/>
      <c r="P51" s="91"/>
      <c r="Q51" s="91"/>
      <c r="R51" s="91"/>
      <c r="S51" s="91"/>
      <c r="T51" s="91"/>
      <c r="U51" s="91"/>
      <c r="V51" s="91"/>
      <c r="W51" s="91"/>
      <c r="X51" s="91"/>
      <c r="Y51" s="91"/>
      <c r="Z51" s="91"/>
      <c r="AA51" s="91"/>
      <c r="AB51" s="91"/>
      <c r="AC51" s="27">
        <f t="shared" si="36"/>
        <v>181.09</v>
      </c>
      <c r="AD51" s="92"/>
      <c r="AE51" s="92"/>
      <c r="AF51" s="1394"/>
      <c r="AG51" s="92"/>
      <c r="AH51" s="92"/>
      <c r="AI51" s="92"/>
      <c r="AJ51" s="92"/>
      <c r="AK51" s="92"/>
      <c r="AL51" s="91"/>
      <c r="AM51" s="92"/>
      <c r="AN51" s="92">
        <v>181.09</v>
      </c>
      <c r="AO51" s="92"/>
      <c r="AP51" s="92"/>
      <c r="AQ51" s="92"/>
      <c r="AR51" s="92"/>
      <c r="AS51" s="92"/>
      <c r="AT51" s="93"/>
      <c r="AU51" s="94"/>
      <c r="AV51" s="1978">
        <f t="shared" si="37"/>
        <v>0</v>
      </c>
      <c r="AW51" s="1978" t="str">
        <f t="shared" si="38"/>
        <v>春华园七期</v>
      </c>
      <c r="AX51" s="1978">
        <f t="shared" si="39"/>
        <v>23</v>
      </c>
      <c r="AY51" s="95">
        <f t="shared" si="40"/>
        <v>2940.24</v>
      </c>
      <c r="AZ51" s="87">
        <f t="shared" si="41"/>
        <v>9157.0300000000007</v>
      </c>
      <c r="BA51" s="87">
        <f t="shared" si="42"/>
        <v>8975.94</v>
      </c>
      <c r="BB51" s="87">
        <f t="shared" si="43"/>
        <v>0</v>
      </c>
      <c r="BC51" s="87">
        <f t="shared" si="44"/>
        <v>0</v>
      </c>
      <c r="BD51" s="87">
        <f t="shared" si="45"/>
        <v>8975.94</v>
      </c>
      <c r="BE51" s="87">
        <f t="shared" si="46"/>
        <v>0</v>
      </c>
      <c r="BF51" s="87">
        <f t="shared" si="47"/>
        <v>0</v>
      </c>
      <c r="BG51" s="87">
        <f t="shared" si="48"/>
        <v>0</v>
      </c>
      <c r="BH51" s="87">
        <f t="shared" si="49"/>
        <v>0</v>
      </c>
      <c r="BI51" s="87">
        <f t="shared" si="50"/>
        <v>0</v>
      </c>
      <c r="BJ51" s="87">
        <f t="shared" si="51"/>
        <v>0</v>
      </c>
      <c r="BK51" s="87">
        <f t="shared" si="52"/>
        <v>0</v>
      </c>
      <c r="BL51" s="87">
        <f t="shared" si="53"/>
        <v>181.09</v>
      </c>
      <c r="BM51" s="87">
        <f t="shared" si="54"/>
        <v>0</v>
      </c>
      <c r="BN51" s="87">
        <f t="shared" si="55"/>
        <v>0</v>
      </c>
      <c r="BO51" s="87">
        <f t="shared" si="56"/>
        <v>0</v>
      </c>
      <c r="BP51" s="87">
        <f t="shared" si="57"/>
        <v>0</v>
      </c>
      <c r="BQ51" s="87">
        <f t="shared" si="58"/>
        <v>0</v>
      </c>
      <c r="BR51" s="87">
        <f t="shared" si="59"/>
        <v>181.09</v>
      </c>
      <c r="BS51" s="87">
        <f t="shared" si="60"/>
        <v>0</v>
      </c>
      <c r="BT51" s="96">
        <f t="shared" si="61"/>
        <v>0</v>
      </c>
    </row>
    <row r="52" spans="1:72">
      <c r="A52" s="84"/>
      <c r="B52" s="1393"/>
      <c r="C52" s="1394">
        <v>24</v>
      </c>
      <c r="D52" s="80" t="s">
        <v>1677</v>
      </c>
      <c r="E52" s="87">
        <f t="shared" si="33"/>
        <v>2702.1</v>
      </c>
      <c r="F52" s="88"/>
      <c r="G52" s="89">
        <f t="shared" si="34"/>
        <v>8415.3599999999988</v>
      </c>
      <c r="H52" s="33">
        <f t="shared" si="35"/>
        <v>8233.64</v>
      </c>
      <c r="I52" s="1394"/>
      <c r="J52" s="91"/>
      <c r="K52" s="1394"/>
      <c r="L52" s="91"/>
      <c r="M52" s="91">
        <v>8233.64</v>
      </c>
      <c r="N52" s="91"/>
      <c r="O52" s="91"/>
      <c r="P52" s="91"/>
      <c r="Q52" s="91"/>
      <c r="R52" s="91"/>
      <c r="S52" s="91"/>
      <c r="T52" s="91"/>
      <c r="U52" s="91"/>
      <c r="V52" s="91"/>
      <c r="W52" s="91"/>
      <c r="X52" s="91"/>
      <c r="Y52" s="91"/>
      <c r="Z52" s="91"/>
      <c r="AA52" s="91"/>
      <c r="AB52" s="91"/>
      <c r="AC52" s="27">
        <f t="shared" si="36"/>
        <v>181.72</v>
      </c>
      <c r="AD52" s="92"/>
      <c r="AE52" s="92"/>
      <c r="AF52" s="1394"/>
      <c r="AG52" s="92"/>
      <c r="AH52" s="92"/>
      <c r="AI52" s="92"/>
      <c r="AJ52" s="92"/>
      <c r="AK52" s="92"/>
      <c r="AL52" s="91"/>
      <c r="AM52" s="92"/>
      <c r="AN52" s="92">
        <v>181.72</v>
      </c>
      <c r="AO52" s="92"/>
      <c r="AP52" s="92"/>
      <c r="AQ52" s="92"/>
      <c r="AR52" s="92"/>
      <c r="AS52" s="92"/>
      <c r="AT52" s="93"/>
      <c r="AU52" s="94"/>
      <c r="AV52" s="1978">
        <f t="shared" si="37"/>
        <v>0</v>
      </c>
      <c r="AW52" s="1978">
        <f t="shared" si="38"/>
        <v>0</v>
      </c>
      <c r="AX52" s="1978">
        <f t="shared" si="39"/>
        <v>24</v>
      </c>
      <c r="AY52" s="95">
        <f t="shared" si="40"/>
        <v>2702.1</v>
      </c>
      <c r="AZ52" s="87">
        <f t="shared" si="41"/>
        <v>8415.3599999999988</v>
      </c>
      <c r="BA52" s="87">
        <f t="shared" si="42"/>
        <v>8233.64</v>
      </c>
      <c r="BB52" s="87">
        <f t="shared" si="43"/>
        <v>0</v>
      </c>
      <c r="BC52" s="87">
        <f t="shared" si="44"/>
        <v>0</v>
      </c>
      <c r="BD52" s="87">
        <f t="shared" si="45"/>
        <v>8233.64</v>
      </c>
      <c r="BE52" s="87">
        <f t="shared" si="46"/>
        <v>0</v>
      </c>
      <c r="BF52" s="87">
        <f t="shared" si="47"/>
        <v>0</v>
      </c>
      <c r="BG52" s="87">
        <f t="shared" si="48"/>
        <v>0</v>
      </c>
      <c r="BH52" s="87">
        <f t="shared" si="49"/>
        <v>0</v>
      </c>
      <c r="BI52" s="87">
        <f t="shared" si="50"/>
        <v>0</v>
      </c>
      <c r="BJ52" s="87">
        <f t="shared" si="51"/>
        <v>0</v>
      </c>
      <c r="BK52" s="87">
        <f t="shared" si="52"/>
        <v>0</v>
      </c>
      <c r="BL52" s="87">
        <f t="shared" si="53"/>
        <v>181.72</v>
      </c>
      <c r="BM52" s="87">
        <f t="shared" si="54"/>
        <v>0</v>
      </c>
      <c r="BN52" s="87">
        <f t="shared" si="55"/>
        <v>0</v>
      </c>
      <c r="BO52" s="87">
        <f t="shared" si="56"/>
        <v>0</v>
      </c>
      <c r="BP52" s="87">
        <f t="shared" si="57"/>
        <v>0</v>
      </c>
      <c r="BQ52" s="87">
        <f t="shared" si="58"/>
        <v>0</v>
      </c>
      <c r="BR52" s="87">
        <f t="shared" si="59"/>
        <v>181.72</v>
      </c>
      <c r="BS52" s="87">
        <f t="shared" si="60"/>
        <v>0</v>
      </c>
      <c r="BT52" s="96">
        <f t="shared" si="61"/>
        <v>0</v>
      </c>
    </row>
    <row r="53" spans="1:72">
      <c r="A53" s="84"/>
      <c r="B53" s="1393"/>
      <c r="C53" s="1394">
        <v>25</v>
      </c>
      <c r="D53" s="80" t="s">
        <v>1677</v>
      </c>
      <c r="E53" s="87">
        <f t="shared" si="33"/>
        <v>2701.9</v>
      </c>
      <c r="F53" s="88"/>
      <c r="G53" s="89">
        <f t="shared" si="34"/>
        <v>8414.73</v>
      </c>
      <c r="H53" s="33">
        <f t="shared" si="35"/>
        <v>8233.64</v>
      </c>
      <c r="I53" s="1394"/>
      <c r="J53" s="91"/>
      <c r="K53" s="1394"/>
      <c r="L53" s="91"/>
      <c r="M53" s="91">
        <v>8233.64</v>
      </c>
      <c r="N53" s="91"/>
      <c r="O53" s="91"/>
      <c r="P53" s="91"/>
      <c r="Q53" s="91"/>
      <c r="R53" s="91"/>
      <c r="S53" s="91"/>
      <c r="T53" s="91"/>
      <c r="U53" s="91"/>
      <c r="V53" s="91"/>
      <c r="W53" s="91"/>
      <c r="X53" s="91"/>
      <c r="Y53" s="91"/>
      <c r="Z53" s="91"/>
      <c r="AA53" s="91"/>
      <c r="AB53" s="91"/>
      <c r="AC53" s="27">
        <f t="shared" si="36"/>
        <v>181.09</v>
      </c>
      <c r="AD53" s="92"/>
      <c r="AE53" s="92"/>
      <c r="AF53" s="1394"/>
      <c r="AG53" s="92"/>
      <c r="AH53" s="92"/>
      <c r="AI53" s="92"/>
      <c r="AJ53" s="92"/>
      <c r="AK53" s="92"/>
      <c r="AL53" s="91"/>
      <c r="AM53" s="92"/>
      <c r="AN53" s="92">
        <v>181.09</v>
      </c>
      <c r="AO53" s="92"/>
      <c r="AP53" s="92"/>
      <c r="AQ53" s="92"/>
      <c r="AR53" s="92"/>
      <c r="AS53" s="92"/>
      <c r="AT53" s="93"/>
      <c r="AU53" s="94"/>
      <c r="AV53" s="1978">
        <f t="shared" si="37"/>
        <v>0</v>
      </c>
      <c r="AW53" s="1978">
        <f t="shared" si="38"/>
        <v>0</v>
      </c>
      <c r="AX53" s="1978">
        <f t="shared" si="39"/>
        <v>25</v>
      </c>
      <c r="AY53" s="95">
        <f t="shared" si="40"/>
        <v>2701.9</v>
      </c>
      <c r="AZ53" s="87">
        <f t="shared" si="41"/>
        <v>8414.73</v>
      </c>
      <c r="BA53" s="87">
        <f t="shared" si="42"/>
        <v>8233.64</v>
      </c>
      <c r="BB53" s="87">
        <f t="shared" si="43"/>
        <v>0</v>
      </c>
      <c r="BC53" s="87">
        <f t="shared" si="44"/>
        <v>0</v>
      </c>
      <c r="BD53" s="87">
        <f t="shared" si="45"/>
        <v>8233.64</v>
      </c>
      <c r="BE53" s="87">
        <f t="shared" si="46"/>
        <v>0</v>
      </c>
      <c r="BF53" s="87">
        <f t="shared" si="47"/>
        <v>0</v>
      </c>
      <c r="BG53" s="87">
        <f t="shared" si="48"/>
        <v>0</v>
      </c>
      <c r="BH53" s="87">
        <f t="shared" si="49"/>
        <v>0</v>
      </c>
      <c r="BI53" s="87">
        <f t="shared" si="50"/>
        <v>0</v>
      </c>
      <c r="BJ53" s="87">
        <f t="shared" si="51"/>
        <v>0</v>
      </c>
      <c r="BK53" s="87">
        <f t="shared" si="52"/>
        <v>0</v>
      </c>
      <c r="BL53" s="87">
        <f t="shared" si="53"/>
        <v>181.09</v>
      </c>
      <c r="BM53" s="87">
        <f t="shared" si="54"/>
        <v>0</v>
      </c>
      <c r="BN53" s="87">
        <f t="shared" si="55"/>
        <v>0</v>
      </c>
      <c r="BO53" s="87">
        <f t="shared" si="56"/>
        <v>0</v>
      </c>
      <c r="BP53" s="87">
        <f t="shared" si="57"/>
        <v>0</v>
      </c>
      <c r="BQ53" s="87">
        <f t="shared" si="58"/>
        <v>0</v>
      </c>
      <c r="BR53" s="87">
        <f t="shared" si="59"/>
        <v>181.09</v>
      </c>
      <c r="BS53" s="87">
        <f t="shared" si="60"/>
        <v>0</v>
      </c>
      <c r="BT53" s="96">
        <f t="shared" si="61"/>
        <v>0</v>
      </c>
    </row>
    <row r="54" spans="1:72">
      <c r="A54" s="84"/>
      <c r="B54" s="1393"/>
      <c r="C54" s="1394">
        <v>26</v>
      </c>
      <c r="D54" s="80" t="s">
        <v>1677</v>
      </c>
      <c r="E54" s="87">
        <f t="shared" si="33"/>
        <v>2940.06</v>
      </c>
      <c r="F54" s="88"/>
      <c r="G54" s="89">
        <f t="shared" si="34"/>
        <v>9156.4599999999991</v>
      </c>
      <c r="H54" s="33">
        <f t="shared" si="35"/>
        <v>9027.3799999999992</v>
      </c>
      <c r="I54" s="1394"/>
      <c r="J54" s="91"/>
      <c r="K54" s="1394"/>
      <c r="L54" s="91"/>
      <c r="M54" s="91">
        <v>8866</v>
      </c>
      <c r="N54" s="91"/>
      <c r="O54" s="91">
        <f>ROUND(9027.38-M54,2)</f>
        <v>161.38</v>
      </c>
      <c r="P54" s="91"/>
      <c r="Q54" s="91"/>
      <c r="R54" s="91"/>
      <c r="S54" s="91"/>
      <c r="T54" s="91"/>
      <c r="U54" s="91"/>
      <c r="V54" s="91"/>
      <c r="W54" s="91"/>
      <c r="X54" s="91"/>
      <c r="Y54" s="91"/>
      <c r="Z54" s="91"/>
      <c r="AA54" s="91"/>
      <c r="AB54" s="91"/>
      <c r="AC54" s="27">
        <f t="shared" si="36"/>
        <v>129.08000000000001</v>
      </c>
      <c r="AD54" s="92"/>
      <c r="AE54" s="92"/>
      <c r="AF54" s="1394"/>
      <c r="AG54" s="92"/>
      <c r="AH54" s="92"/>
      <c r="AI54" s="92"/>
      <c r="AJ54" s="92"/>
      <c r="AK54" s="92"/>
      <c r="AL54" s="91"/>
      <c r="AM54" s="92"/>
      <c r="AN54" s="92">
        <v>129.08000000000001</v>
      </c>
      <c r="AO54" s="92"/>
      <c r="AP54" s="92"/>
      <c r="AQ54" s="92"/>
      <c r="AR54" s="92"/>
      <c r="AS54" s="92"/>
      <c r="AT54" s="93"/>
      <c r="AU54" s="94"/>
      <c r="AV54" s="1978">
        <f t="shared" si="37"/>
        <v>0</v>
      </c>
      <c r="AW54" s="1978">
        <f t="shared" si="38"/>
        <v>0</v>
      </c>
      <c r="AX54" s="1978">
        <f t="shared" si="39"/>
        <v>26</v>
      </c>
      <c r="AY54" s="95">
        <f t="shared" si="40"/>
        <v>2940.06</v>
      </c>
      <c r="AZ54" s="87">
        <f t="shared" si="41"/>
        <v>9156.4599999999991</v>
      </c>
      <c r="BA54" s="87">
        <f t="shared" si="42"/>
        <v>9027.3799999999992</v>
      </c>
      <c r="BB54" s="87">
        <f t="shared" si="43"/>
        <v>0</v>
      </c>
      <c r="BC54" s="87">
        <f t="shared" si="44"/>
        <v>0</v>
      </c>
      <c r="BD54" s="87">
        <f t="shared" si="45"/>
        <v>8866</v>
      </c>
      <c r="BE54" s="87">
        <f t="shared" si="46"/>
        <v>161.38</v>
      </c>
      <c r="BF54" s="87">
        <f t="shared" si="47"/>
        <v>0</v>
      </c>
      <c r="BG54" s="87">
        <f t="shared" si="48"/>
        <v>0</v>
      </c>
      <c r="BH54" s="87">
        <f t="shared" si="49"/>
        <v>0</v>
      </c>
      <c r="BI54" s="87">
        <f t="shared" si="50"/>
        <v>0</v>
      </c>
      <c r="BJ54" s="87">
        <f t="shared" si="51"/>
        <v>0</v>
      </c>
      <c r="BK54" s="87">
        <f t="shared" si="52"/>
        <v>0</v>
      </c>
      <c r="BL54" s="87">
        <f t="shared" si="53"/>
        <v>129.08000000000001</v>
      </c>
      <c r="BM54" s="87">
        <f t="shared" si="54"/>
        <v>0</v>
      </c>
      <c r="BN54" s="87">
        <f t="shared" si="55"/>
        <v>0</v>
      </c>
      <c r="BO54" s="87">
        <f t="shared" si="56"/>
        <v>0</v>
      </c>
      <c r="BP54" s="87">
        <f t="shared" si="57"/>
        <v>0</v>
      </c>
      <c r="BQ54" s="87">
        <f t="shared" si="58"/>
        <v>0</v>
      </c>
      <c r="BR54" s="87">
        <f t="shared" si="59"/>
        <v>129.08000000000001</v>
      </c>
      <c r="BS54" s="87">
        <f t="shared" si="60"/>
        <v>0</v>
      </c>
      <c r="BT54" s="96">
        <f t="shared" si="61"/>
        <v>0</v>
      </c>
    </row>
    <row r="55" spans="1:72">
      <c r="A55" s="84"/>
      <c r="B55" s="1395"/>
      <c r="C55" s="1396">
        <v>27</v>
      </c>
      <c r="D55" s="80" t="s">
        <v>1677</v>
      </c>
      <c r="E55" s="87">
        <f t="shared" si="33"/>
        <v>3168.97</v>
      </c>
      <c r="F55" s="88"/>
      <c r="G55" s="89">
        <f t="shared" si="34"/>
        <v>9869.36</v>
      </c>
      <c r="H55" s="33">
        <f t="shared" si="35"/>
        <v>9740.2800000000007</v>
      </c>
      <c r="I55" s="1394"/>
      <c r="J55" s="91"/>
      <c r="K55" s="1394"/>
      <c r="L55" s="91"/>
      <c r="M55" s="1394">
        <v>9740.2800000000007</v>
      </c>
      <c r="N55" s="91"/>
      <c r="O55" s="91"/>
      <c r="P55" s="91"/>
      <c r="Q55" s="91"/>
      <c r="R55" s="91"/>
      <c r="S55" s="91"/>
      <c r="T55" s="91"/>
      <c r="U55" s="91"/>
      <c r="V55" s="91"/>
      <c r="W55" s="91"/>
      <c r="X55" s="91"/>
      <c r="Y55" s="91"/>
      <c r="Z55" s="91"/>
      <c r="AA55" s="91"/>
      <c r="AB55" s="91"/>
      <c r="AC55" s="27">
        <f t="shared" si="36"/>
        <v>129.08000000000001</v>
      </c>
      <c r="AD55" s="92"/>
      <c r="AE55" s="92"/>
      <c r="AF55" s="1394"/>
      <c r="AG55" s="92"/>
      <c r="AH55" s="92"/>
      <c r="AI55" s="92"/>
      <c r="AJ55" s="92"/>
      <c r="AK55" s="92"/>
      <c r="AL55" s="91"/>
      <c r="AM55" s="92"/>
      <c r="AN55" s="92">
        <v>129.08000000000001</v>
      </c>
      <c r="AO55" s="92"/>
      <c r="AP55" s="92"/>
      <c r="AQ55" s="92"/>
      <c r="AR55" s="92"/>
      <c r="AS55" s="92"/>
      <c r="AT55" s="93"/>
      <c r="AU55" s="94"/>
      <c r="AV55" s="1978">
        <f t="shared" si="37"/>
        <v>0</v>
      </c>
      <c r="AW55" s="1978">
        <f t="shared" si="38"/>
        <v>0</v>
      </c>
      <c r="AX55" s="1978">
        <f t="shared" si="39"/>
        <v>27</v>
      </c>
      <c r="AY55" s="95">
        <f t="shared" si="40"/>
        <v>3168.97</v>
      </c>
      <c r="AZ55" s="87">
        <f t="shared" si="41"/>
        <v>9869.36</v>
      </c>
      <c r="BA55" s="87">
        <f t="shared" si="42"/>
        <v>9740.2800000000007</v>
      </c>
      <c r="BB55" s="87">
        <f t="shared" si="43"/>
        <v>0</v>
      </c>
      <c r="BC55" s="87">
        <f t="shared" si="44"/>
        <v>0</v>
      </c>
      <c r="BD55" s="87">
        <f t="shared" si="45"/>
        <v>9740.2800000000007</v>
      </c>
      <c r="BE55" s="87">
        <f t="shared" si="46"/>
        <v>0</v>
      </c>
      <c r="BF55" s="87">
        <f t="shared" si="47"/>
        <v>0</v>
      </c>
      <c r="BG55" s="87">
        <f t="shared" si="48"/>
        <v>0</v>
      </c>
      <c r="BH55" s="87">
        <f t="shared" si="49"/>
        <v>0</v>
      </c>
      <c r="BI55" s="87">
        <f t="shared" si="50"/>
        <v>0</v>
      </c>
      <c r="BJ55" s="87">
        <f t="shared" si="51"/>
        <v>0</v>
      </c>
      <c r="BK55" s="87">
        <f t="shared" si="52"/>
        <v>0</v>
      </c>
      <c r="BL55" s="87">
        <f t="shared" si="53"/>
        <v>129.08000000000001</v>
      </c>
      <c r="BM55" s="87">
        <f t="shared" si="54"/>
        <v>0</v>
      </c>
      <c r="BN55" s="87">
        <f t="shared" si="55"/>
        <v>0</v>
      </c>
      <c r="BO55" s="87">
        <f t="shared" si="56"/>
        <v>0</v>
      </c>
      <c r="BP55" s="87">
        <f t="shared" si="57"/>
        <v>0</v>
      </c>
      <c r="BQ55" s="87">
        <f t="shared" si="58"/>
        <v>0</v>
      </c>
      <c r="BR55" s="87">
        <f t="shared" si="59"/>
        <v>129.08000000000001</v>
      </c>
      <c r="BS55" s="87">
        <f t="shared" si="60"/>
        <v>0</v>
      </c>
      <c r="BT55" s="96">
        <f t="shared" si="61"/>
        <v>0</v>
      </c>
    </row>
    <row r="56" spans="1:72">
      <c r="A56" s="84"/>
      <c r="B56" s="85"/>
      <c r="C56" s="85">
        <v>28</v>
      </c>
      <c r="D56" s="80" t="s">
        <v>1677</v>
      </c>
      <c r="E56" s="87">
        <f t="shared" si="33"/>
        <v>3171.34</v>
      </c>
      <c r="F56" s="88"/>
      <c r="G56" s="89">
        <f t="shared" si="34"/>
        <v>9876.76</v>
      </c>
      <c r="H56" s="33">
        <f t="shared" si="35"/>
        <v>9694.69</v>
      </c>
      <c r="I56" s="91"/>
      <c r="J56" s="91"/>
      <c r="K56" s="91"/>
      <c r="L56" s="91"/>
      <c r="M56" s="91">
        <v>9694.69</v>
      </c>
      <c r="N56" s="91"/>
      <c r="O56" s="91"/>
      <c r="P56" s="91"/>
      <c r="Q56" s="91"/>
      <c r="R56" s="91"/>
      <c r="S56" s="91"/>
      <c r="T56" s="91"/>
      <c r="U56" s="91"/>
      <c r="V56" s="91"/>
      <c r="W56" s="91"/>
      <c r="X56" s="91"/>
      <c r="Y56" s="91"/>
      <c r="Z56" s="91"/>
      <c r="AA56" s="91"/>
      <c r="AB56" s="91"/>
      <c r="AC56" s="27">
        <f t="shared" si="36"/>
        <v>182.07</v>
      </c>
      <c r="AD56" s="92"/>
      <c r="AE56" s="92"/>
      <c r="AF56" s="92"/>
      <c r="AG56" s="92"/>
      <c r="AH56" s="92"/>
      <c r="AI56" s="92"/>
      <c r="AJ56" s="92"/>
      <c r="AK56" s="92"/>
      <c r="AL56" s="91"/>
      <c r="AM56" s="92"/>
      <c r="AN56" s="92">
        <v>182.07</v>
      </c>
      <c r="AO56" s="92"/>
      <c r="AP56" s="92"/>
      <c r="AQ56" s="92"/>
      <c r="AR56" s="92"/>
      <c r="AS56" s="92"/>
      <c r="AT56" s="93"/>
      <c r="AU56" s="94"/>
      <c r="AV56" s="1978">
        <f t="shared" si="37"/>
        <v>0</v>
      </c>
      <c r="AW56" s="1978">
        <f t="shared" si="38"/>
        <v>0</v>
      </c>
      <c r="AX56" s="1978">
        <f t="shared" si="39"/>
        <v>28</v>
      </c>
      <c r="AY56" s="95">
        <f t="shared" si="40"/>
        <v>3171.34</v>
      </c>
      <c r="AZ56" s="87">
        <f t="shared" si="41"/>
        <v>9876.76</v>
      </c>
      <c r="BA56" s="87">
        <f t="shared" si="42"/>
        <v>9694.69</v>
      </c>
      <c r="BB56" s="87">
        <f t="shared" si="43"/>
        <v>0</v>
      </c>
      <c r="BC56" s="87">
        <f t="shared" si="44"/>
        <v>0</v>
      </c>
      <c r="BD56" s="87">
        <f t="shared" si="45"/>
        <v>9694.69</v>
      </c>
      <c r="BE56" s="87">
        <f t="shared" si="46"/>
        <v>0</v>
      </c>
      <c r="BF56" s="87">
        <f t="shared" si="47"/>
        <v>0</v>
      </c>
      <c r="BG56" s="87">
        <f t="shared" si="48"/>
        <v>0</v>
      </c>
      <c r="BH56" s="87">
        <f t="shared" si="49"/>
        <v>0</v>
      </c>
      <c r="BI56" s="87">
        <f t="shared" si="50"/>
        <v>0</v>
      </c>
      <c r="BJ56" s="87">
        <f t="shared" si="51"/>
        <v>0</v>
      </c>
      <c r="BK56" s="87">
        <f t="shared" si="52"/>
        <v>0</v>
      </c>
      <c r="BL56" s="87">
        <f t="shared" si="53"/>
        <v>182.07</v>
      </c>
      <c r="BM56" s="87">
        <f t="shared" si="54"/>
        <v>0</v>
      </c>
      <c r="BN56" s="87">
        <f t="shared" si="55"/>
        <v>0</v>
      </c>
      <c r="BO56" s="87">
        <f t="shared" si="56"/>
        <v>0</v>
      </c>
      <c r="BP56" s="87">
        <f t="shared" si="57"/>
        <v>0</v>
      </c>
      <c r="BQ56" s="87">
        <f t="shared" si="58"/>
        <v>0</v>
      </c>
      <c r="BR56" s="87">
        <f t="shared" si="59"/>
        <v>182.07</v>
      </c>
      <c r="BS56" s="87">
        <f t="shared" si="60"/>
        <v>0</v>
      </c>
      <c r="BT56" s="96">
        <f t="shared" si="61"/>
        <v>0</v>
      </c>
    </row>
    <row r="57" spans="1:72">
      <c r="A57" s="84"/>
      <c r="B57" s="85"/>
      <c r="C57" s="85" t="s">
        <v>3135</v>
      </c>
      <c r="D57" s="80" t="s">
        <v>1677</v>
      </c>
      <c r="E57" s="87">
        <f t="shared" si="33"/>
        <v>62.67</v>
      </c>
      <c r="F57" s="88"/>
      <c r="G57" s="89">
        <f t="shared" si="34"/>
        <v>195.18</v>
      </c>
      <c r="H57" s="33">
        <f t="shared" si="35"/>
        <v>0</v>
      </c>
      <c r="I57" s="91"/>
      <c r="J57" s="91"/>
      <c r="K57" s="91"/>
      <c r="L57" s="91"/>
      <c r="M57" s="91"/>
      <c r="N57" s="91"/>
      <c r="O57" s="91"/>
      <c r="P57" s="91"/>
      <c r="Q57" s="91"/>
      <c r="R57" s="91"/>
      <c r="S57" s="91"/>
      <c r="T57" s="91"/>
      <c r="U57" s="91"/>
      <c r="V57" s="91"/>
      <c r="W57" s="91"/>
      <c r="X57" s="91"/>
      <c r="Y57" s="91"/>
      <c r="Z57" s="91"/>
      <c r="AA57" s="91"/>
      <c r="AB57" s="91"/>
      <c r="AC57" s="27">
        <f t="shared" si="36"/>
        <v>195.18</v>
      </c>
      <c r="AD57" s="92"/>
      <c r="AE57" s="92"/>
      <c r="AF57" s="92"/>
      <c r="AG57" s="92"/>
      <c r="AH57" s="92"/>
      <c r="AI57" s="92"/>
      <c r="AJ57" s="92"/>
      <c r="AK57" s="92"/>
      <c r="AL57" s="91">
        <v>195.18</v>
      </c>
      <c r="AM57" s="92"/>
      <c r="AN57" s="92"/>
      <c r="AO57" s="92"/>
      <c r="AP57" s="92"/>
      <c r="AQ57" s="92"/>
      <c r="AR57" s="92"/>
      <c r="AS57" s="92"/>
      <c r="AT57" s="93"/>
      <c r="AU57" s="94"/>
      <c r="AV57" s="1978">
        <f t="shared" si="37"/>
        <v>0</v>
      </c>
      <c r="AW57" s="1978">
        <f t="shared" si="38"/>
        <v>0</v>
      </c>
      <c r="AX57" s="1978" t="str">
        <f t="shared" si="39"/>
        <v>配建5</v>
      </c>
      <c r="AY57" s="95">
        <f t="shared" si="40"/>
        <v>62.67</v>
      </c>
      <c r="AZ57" s="87">
        <f t="shared" si="41"/>
        <v>195.18</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195.18</v>
      </c>
      <c r="BM57" s="87">
        <f t="shared" si="54"/>
        <v>0</v>
      </c>
      <c r="BN57" s="87">
        <f t="shared" si="55"/>
        <v>0</v>
      </c>
      <c r="BO57" s="87">
        <f t="shared" si="56"/>
        <v>0</v>
      </c>
      <c r="BP57" s="87">
        <f t="shared" si="57"/>
        <v>0</v>
      </c>
      <c r="BQ57" s="87">
        <f t="shared" si="58"/>
        <v>195.18</v>
      </c>
      <c r="BR57" s="87">
        <f t="shared" si="59"/>
        <v>0</v>
      </c>
      <c r="BS57" s="87">
        <f t="shared" si="60"/>
        <v>0</v>
      </c>
      <c r="BT57" s="96">
        <f t="shared" si="61"/>
        <v>0</v>
      </c>
    </row>
    <row r="58" spans="1:72">
      <c r="A58" s="84"/>
      <c r="B58" s="85"/>
      <c r="C58" s="85" t="s">
        <v>3136</v>
      </c>
      <c r="D58" s="80" t="s">
        <v>1677</v>
      </c>
      <c r="E58" s="87">
        <f t="shared" si="33"/>
        <v>41.35</v>
      </c>
      <c r="F58" s="88"/>
      <c r="G58" s="89">
        <f t="shared" si="34"/>
        <v>128.78</v>
      </c>
      <c r="H58" s="33">
        <f t="shared" si="35"/>
        <v>0</v>
      </c>
      <c r="I58" s="91"/>
      <c r="J58" s="91"/>
      <c r="K58" s="91"/>
      <c r="L58" s="91"/>
      <c r="M58" s="91"/>
      <c r="N58" s="91"/>
      <c r="O58" s="91"/>
      <c r="P58" s="91"/>
      <c r="Q58" s="91"/>
      <c r="R58" s="91"/>
      <c r="S58" s="91"/>
      <c r="T58" s="91"/>
      <c r="U58" s="91"/>
      <c r="V58" s="91"/>
      <c r="W58" s="91"/>
      <c r="X58" s="91"/>
      <c r="Y58" s="91"/>
      <c r="Z58" s="91"/>
      <c r="AA58" s="91"/>
      <c r="AB58" s="91"/>
      <c r="AC58" s="27">
        <f t="shared" si="36"/>
        <v>128.78</v>
      </c>
      <c r="AD58" s="92"/>
      <c r="AE58" s="92"/>
      <c r="AF58" s="92"/>
      <c r="AG58" s="92"/>
      <c r="AH58" s="92"/>
      <c r="AI58" s="92"/>
      <c r="AJ58" s="92"/>
      <c r="AK58" s="92"/>
      <c r="AL58" s="91">
        <v>128.78</v>
      </c>
      <c r="AM58" s="92"/>
      <c r="AN58" s="92"/>
      <c r="AO58" s="92"/>
      <c r="AP58" s="92"/>
      <c r="AQ58" s="92"/>
      <c r="AR58" s="92"/>
      <c r="AS58" s="92"/>
      <c r="AT58" s="93"/>
      <c r="AU58" s="94"/>
      <c r="AV58" s="1978">
        <f t="shared" si="37"/>
        <v>0</v>
      </c>
      <c r="AW58" s="1978">
        <f t="shared" si="38"/>
        <v>0</v>
      </c>
      <c r="AX58" s="1978" t="str">
        <f t="shared" si="39"/>
        <v>配建4</v>
      </c>
      <c r="AY58" s="95">
        <f t="shared" si="40"/>
        <v>41.35</v>
      </c>
      <c r="AZ58" s="87">
        <f t="shared" si="41"/>
        <v>128.78</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128.78</v>
      </c>
      <c r="BM58" s="87">
        <f t="shared" si="54"/>
        <v>0</v>
      </c>
      <c r="BN58" s="87">
        <f t="shared" si="55"/>
        <v>0</v>
      </c>
      <c r="BO58" s="87">
        <f t="shared" si="56"/>
        <v>0</v>
      </c>
      <c r="BP58" s="87">
        <f t="shared" si="57"/>
        <v>0</v>
      </c>
      <c r="BQ58" s="87">
        <f t="shared" si="58"/>
        <v>128.78</v>
      </c>
      <c r="BR58" s="87">
        <f t="shared" si="59"/>
        <v>0</v>
      </c>
      <c r="BS58" s="87">
        <f t="shared" si="60"/>
        <v>0</v>
      </c>
      <c r="BT58" s="96">
        <f t="shared" si="61"/>
        <v>0</v>
      </c>
    </row>
    <row r="59" spans="1:72">
      <c r="A59" s="84"/>
      <c r="B59" s="85"/>
      <c r="C59" s="85" t="s">
        <v>3137</v>
      </c>
      <c r="D59" s="80" t="s">
        <v>1677</v>
      </c>
      <c r="E59" s="87">
        <f t="shared" si="33"/>
        <v>120.54</v>
      </c>
      <c r="F59" s="88"/>
      <c r="G59" s="89">
        <f t="shared" si="34"/>
        <v>375.42</v>
      </c>
      <c r="H59" s="33">
        <f t="shared" si="35"/>
        <v>0</v>
      </c>
      <c r="I59" s="91"/>
      <c r="J59" s="91"/>
      <c r="K59" s="91"/>
      <c r="L59" s="91"/>
      <c r="M59" s="91"/>
      <c r="N59" s="91"/>
      <c r="O59" s="91"/>
      <c r="P59" s="91"/>
      <c r="Q59" s="91"/>
      <c r="R59" s="91"/>
      <c r="S59" s="91"/>
      <c r="T59" s="91"/>
      <c r="U59" s="91"/>
      <c r="V59" s="91"/>
      <c r="W59" s="91"/>
      <c r="X59" s="91"/>
      <c r="Y59" s="91"/>
      <c r="Z59" s="91"/>
      <c r="AA59" s="91"/>
      <c r="AB59" s="91"/>
      <c r="AC59" s="27">
        <f t="shared" si="36"/>
        <v>375.42</v>
      </c>
      <c r="AD59" s="92"/>
      <c r="AE59" s="92"/>
      <c r="AF59" s="92"/>
      <c r="AG59" s="92"/>
      <c r="AH59" s="92"/>
      <c r="AI59" s="92"/>
      <c r="AJ59" s="92"/>
      <c r="AK59" s="92"/>
      <c r="AL59" s="91">
        <v>375.42</v>
      </c>
      <c r="AM59" s="92"/>
      <c r="AN59" s="92"/>
      <c r="AO59" s="92"/>
      <c r="AP59" s="92"/>
      <c r="AQ59" s="92"/>
      <c r="AR59" s="92"/>
      <c r="AS59" s="92"/>
      <c r="AT59" s="93"/>
      <c r="AU59" s="94"/>
      <c r="AV59" s="1978">
        <f t="shared" si="37"/>
        <v>0</v>
      </c>
      <c r="AW59" s="1978">
        <f t="shared" si="38"/>
        <v>0</v>
      </c>
      <c r="AX59" s="1978" t="str">
        <f t="shared" si="39"/>
        <v>配建6</v>
      </c>
      <c r="AY59" s="95">
        <f t="shared" si="40"/>
        <v>120.54</v>
      </c>
      <c r="AZ59" s="87">
        <f t="shared" si="41"/>
        <v>375.42</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375.42</v>
      </c>
      <c r="BM59" s="87">
        <f t="shared" si="54"/>
        <v>0</v>
      </c>
      <c r="BN59" s="87">
        <f t="shared" si="55"/>
        <v>0</v>
      </c>
      <c r="BO59" s="87">
        <f t="shared" si="56"/>
        <v>0</v>
      </c>
      <c r="BP59" s="87">
        <f t="shared" si="57"/>
        <v>0</v>
      </c>
      <c r="BQ59" s="87">
        <f t="shared" si="58"/>
        <v>375.42</v>
      </c>
      <c r="BR59" s="87">
        <f t="shared" si="59"/>
        <v>0</v>
      </c>
      <c r="BS59" s="87">
        <f t="shared" si="60"/>
        <v>0</v>
      </c>
      <c r="BT59" s="96">
        <f t="shared" si="61"/>
        <v>0</v>
      </c>
    </row>
    <row r="60" spans="1:72">
      <c r="A60" s="84"/>
      <c r="B60" s="85"/>
      <c r="C60" s="85" t="s">
        <v>3138</v>
      </c>
      <c r="D60" s="80" t="s">
        <v>1677</v>
      </c>
      <c r="E60" s="87">
        <f t="shared" si="33"/>
        <v>62.16</v>
      </c>
      <c r="F60" s="88"/>
      <c r="G60" s="89">
        <f t="shared" si="34"/>
        <v>193.59</v>
      </c>
      <c r="H60" s="33">
        <f t="shared" si="35"/>
        <v>0</v>
      </c>
      <c r="I60" s="91"/>
      <c r="J60" s="91"/>
      <c r="K60" s="91"/>
      <c r="L60" s="91"/>
      <c r="M60" s="91"/>
      <c r="N60" s="91"/>
      <c r="O60" s="91"/>
      <c r="P60" s="91"/>
      <c r="Q60" s="91"/>
      <c r="R60" s="91"/>
      <c r="S60" s="91"/>
      <c r="T60" s="91"/>
      <c r="U60" s="91"/>
      <c r="V60" s="91"/>
      <c r="W60" s="91"/>
      <c r="X60" s="91"/>
      <c r="Y60" s="91"/>
      <c r="Z60" s="91"/>
      <c r="AA60" s="91"/>
      <c r="AB60" s="91"/>
      <c r="AC60" s="27">
        <f t="shared" si="36"/>
        <v>193.59</v>
      </c>
      <c r="AD60" s="92"/>
      <c r="AE60" s="92"/>
      <c r="AF60" s="92"/>
      <c r="AG60" s="92"/>
      <c r="AH60" s="92"/>
      <c r="AI60" s="92"/>
      <c r="AJ60" s="92"/>
      <c r="AK60" s="92"/>
      <c r="AL60" s="91">
        <v>193.59</v>
      </c>
      <c r="AM60" s="92"/>
      <c r="AN60" s="92"/>
      <c r="AO60" s="92"/>
      <c r="AP60" s="92"/>
      <c r="AQ60" s="92"/>
      <c r="AR60" s="92"/>
      <c r="AS60" s="92"/>
      <c r="AT60" s="93"/>
      <c r="AU60" s="94"/>
      <c r="AV60" s="1978">
        <f t="shared" si="37"/>
        <v>0</v>
      </c>
      <c r="AW60" s="1978">
        <f t="shared" si="38"/>
        <v>0</v>
      </c>
      <c r="AX60" s="1978" t="str">
        <f t="shared" si="39"/>
        <v>配建7</v>
      </c>
      <c r="AY60" s="95">
        <f t="shared" si="40"/>
        <v>62.16</v>
      </c>
      <c r="AZ60" s="87">
        <f t="shared" si="41"/>
        <v>193.59</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193.59</v>
      </c>
      <c r="BM60" s="87">
        <f t="shared" si="54"/>
        <v>0</v>
      </c>
      <c r="BN60" s="87">
        <f t="shared" si="55"/>
        <v>0</v>
      </c>
      <c r="BO60" s="87">
        <f t="shared" si="56"/>
        <v>0</v>
      </c>
      <c r="BP60" s="87">
        <f t="shared" si="57"/>
        <v>0</v>
      </c>
      <c r="BQ60" s="87">
        <f t="shared" si="58"/>
        <v>193.59</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200</v>
      </c>
      <c r="B1" s="1983"/>
      <c r="C1" s="1983"/>
      <c r="D1" s="1983"/>
      <c r="E1" s="1983"/>
      <c r="F1" s="1983"/>
      <c r="G1" s="1983"/>
      <c r="H1" s="1983"/>
      <c r="I1" s="1983"/>
      <c r="J1" s="1983"/>
      <c r="K1" s="1983"/>
      <c r="L1" s="1983"/>
    </row>
    <row r="2" spans="1:16" ht="15">
      <c r="A2" s="3302" t="s">
        <v>201</v>
      </c>
      <c r="B2" s="3302"/>
      <c r="C2" s="3302"/>
      <c r="D2" s="1974" t="s">
        <v>202</v>
      </c>
      <c r="E2" s="106" t="s">
        <v>203</v>
      </c>
      <c r="F2" s="1983"/>
      <c r="G2" s="1198"/>
      <c r="H2" s="1199"/>
      <c r="I2" s="1200" t="s">
        <v>855</v>
      </c>
      <c r="J2" s="1983"/>
      <c r="K2" s="1983"/>
      <c r="L2" s="1983"/>
    </row>
    <row r="3" spans="1:16" ht="15.75" thickBot="1">
      <c r="A3" s="3303" t="s">
        <v>204</v>
      </c>
      <c r="B3" s="3303"/>
      <c r="C3" s="3303"/>
      <c r="D3" s="107">
        <f>'数据-基础表'!AY6</f>
        <v>51383.96</v>
      </c>
      <c r="E3" s="107">
        <f>'数据-基础表'!AZ5</f>
        <v>160029.13999999998</v>
      </c>
      <c r="F3" s="1983"/>
      <c r="G3" s="280" t="s">
        <v>856</v>
      </c>
      <c r="H3" s="275" t="s">
        <v>857</v>
      </c>
      <c r="I3" s="1975">
        <f>ROUND('数据-基础表'!B3/'数据-基础表'!A3,2)</f>
        <v>3.11</v>
      </c>
      <c r="J3" s="1983"/>
      <c r="K3" s="1983"/>
      <c r="L3" s="1983"/>
    </row>
    <row r="4" spans="1:16" ht="15">
      <c r="A4" s="3304"/>
      <c r="B4" s="3305"/>
      <c r="C4" s="3306"/>
      <c r="D4" s="108" t="s">
        <v>202</v>
      </c>
      <c r="E4" s="109" t="s">
        <v>203</v>
      </c>
      <c r="F4" s="1983"/>
      <c r="G4" s="1201"/>
      <c r="H4" s="275" t="s">
        <v>858</v>
      </c>
      <c r="I4" s="1975">
        <f>ROUND(SUMIF('数据-基础表'!I9:AS9,"地上",'数据-基础表'!I5:AS5)/'数据-基础表'!A3,2)</f>
        <v>2.2999999999999998</v>
      </c>
      <c r="J4" s="1983"/>
      <c r="K4" s="1983"/>
      <c r="L4" s="1983"/>
    </row>
    <row r="5" spans="1:16">
      <c r="A5" s="110" t="s">
        <v>205</v>
      </c>
      <c r="B5" s="3307" t="s">
        <v>228</v>
      </c>
      <c r="C5" s="3307"/>
      <c r="D5" s="111">
        <f>ROUND($D$3*E5/$E$3,2)</f>
        <v>36284.050000000003</v>
      </c>
      <c r="E5" s="112">
        <f>SUMIF('数据-基础表'!$11:$11,"住宅",'数据-基础表'!$5:$5)</f>
        <v>113002.29999999999</v>
      </c>
      <c r="F5" s="1983"/>
      <c r="G5" s="280" t="s">
        <v>859</v>
      </c>
      <c r="H5" s="275" t="s">
        <v>857</v>
      </c>
      <c r="I5" s="1975">
        <f>ROUND(E31/D31,2)</f>
        <v>3.11</v>
      </c>
      <c r="J5" s="1983"/>
      <c r="K5" s="1983"/>
      <c r="L5" s="1983"/>
    </row>
    <row r="6" spans="1:16" ht="15" thickBot="1">
      <c r="A6" s="113"/>
      <c r="B6" s="3307" t="s">
        <v>206</v>
      </c>
      <c r="C6" s="3307"/>
      <c r="D6" s="111">
        <f>ROUND($D$3*E6/$E$3,2)</f>
        <v>15099.91</v>
      </c>
      <c r="E6" s="112">
        <f>E3-E5</f>
        <v>47026.84</v>
      </c>
      <c r="F6" s="1983"/>
      <c r="G6" s="1201"/>
      <c r="H6" s="275" t="s">
        <v>858</v>
      </c>
      <c r="I6" s="1975">
        <f>ROUND(F31/D31,2)</f>
        <v>2.23</v>
      </c>
      <c r="J6" s="1983"/>
      <c r="K6" s="1983"/>
      <c r="L6" s="1983"/>
    </row>
    <row r="7" spans="1:16" ht="15">
      <c r="A7" s="3299"/>
      <c r="B7" s="3300"/>
      <c r="C7" s="3301"/>
      <c r="D7" s="108" t="s">
        <v>202</v>
      </c>
      <c r="E7" s="114" t="s">
        <v>229</v>
      </c>
      <c r="F7" s="1983"/>
      <c r="G7" s="1156" t="s">
        <v>1644</v>
      </c>
      <c r="H7" s="1157"/>
      <c r="I7" s="1845"/>
      <c r="J7" s="1983"/>
      <c r="K7" s="1983"/>
      <c r="L7" s="1983"/>
    </row>
    <row r="8" spans="1:16">
      <c r="A8" s="110" t="s">
        <v>207</v>
      </c>
      <c r="B8" s="115" t="s">
        <v>208</v>
      </c>
      <c r="C8" s="111" t="s">
        <v>209</v>
      </c>
      <c r="D8" s="111">
        <f t="shared" ref="D8:D15" si="0">ROUND($D$3*E8/$E$3,2)</f>
        <v>36335.870000000003</v>
      </c>
      <c r="E8" s="116">
        <f>SUMIF('数据-基础表'!BB10:BK10,"地上",'数据-基础表'!BB5:BK5)</f>
        <v>113163.68</v>
      </c>
      <c r="F8" s="1983"/>
      <c r="G8" s="1985"/>
      <c r="H8" s="1985"/>
      <c r="I8" s="1983"/>
      <c r="J8" s="1983"/>
      <c r="K8" s="1983"/>
      <c r="L8" s="1983"/>
    </row>
    <row r="9" spans="1:16">
      <c r="A9" s="117"/>
      <c r="B9" s="118"/>
      <c r="C9" s="111" t="s">
        <v>210</v>
      </c>
      <c r="D9" s="111">
        <f t="shared" si="0"/>
        <v>0</v>
      </c>
      <c r="E9" s="119">
        <v>0</v>
      </c>
      <c r="F9" s="1983"/>
      <c r="G9" s="1985"/>
      <c r="H9" s="1985"/>
      <c r="I9" s="1983"/>
      <c r="J9" s="1983"/>
      <c r="K9" s="1983"/>
      <c r="L9" s="1983"/>
    </row>
    <row r="10" spans="1:16">
      <c r="A10" s="117"/>
      <c r="B10" s="118"/>
      <c r="C10" s="111" t="s">
        <v>211</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2323</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212</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2330</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230</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231</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213</v>
      </c>
      <c r="D16" s="115">
        <f>SUM(D8:D15)</f>
        <v>36335.870000000003</v>
      </c>
      <c r="E16" s="120">
        <f>SUM(E8:E15)</f>
        <v>113163.68</v>
      </c>
      <c r="F16" s="1983"/>
      <c r="G16" s="1985"/>
      <c r="H16" s="968" t="s">
        <v>217</v>
      </c>
      <c r="I16" s="969"/>
      <c r="J16" s="1983"/>
      <c r="K16" s="3293" t="s">
        <v>2560</v>
      </c>
      <c r="L16" s="3294"/>
      <c r="M16" s="3294"/>
      <c r="N16" s="3294"/>
      <c r="O16" s="3294"/>
      <c r="P16" s="3295"/>
    </row>
    <row r="17" spans="1:19" ht="15">
      <c r="A17" s="121" t="s">
        <v>214</v>
      </c>
      <c r="B17" s="122" t="s">
        <v>215</v>
      </c>
      <c r="C17" s="2297" t="s">
        <v>2311</v>
      </c>
      <c r="D17" s="108" t="s">
        <v>202</v>
      </c>
      <c r="E17" s="124" t="s">
        <v>203</v>
      </c>
      <c r="F17" s="125"/>
      <c r="G17" s="1365"/>
      <c r="H17" s="970" t="s">
        <v>216</v>
      </c>
      <c r="I17" s="971" t="s">
        <v>2310</v>
      </c>
      <c r="J17" s="1983"/>
      <c r="K17" s="3296" t="s">
        <v>2561</v>
      </c>
      <c r="L17" s="3297"/>
      <c r="M17" s="3298"/>
      <c r="N17" s="3296" t="s">
        <v>2562</v>
      </c>
      <c r="O17" s="3297"/>
      <c r="P17" s="3298"/>
      <c r="R17" s="2298" t="s">
        <v>2309</v>
      </c>
      <c r="S17" s="144"/>
    </row>
    <row r="18" spans="1:19" ht="15">
      <c r="A18" s="117"/>
      <c r="B18" s="128"/>
      <c r="C18" s="129"/>
      <c r="D18" s="2641"/>
      <c r="E18" s="130" t="s">
        <v>218</v>
      </c>
      <c r="F18" s="131" t="s">
        <v>219</v>
      </c>
      <c r="G18" s="1366" t="s">
        <v>220</v>
      </c>
      <c r="H18" s="972" t="s">
        <v>221</v>
      </c>
      <c r="I18" s="973" t="s">
        <v>222</v>
      </c>
      <c r="J18" s="1983"/>
      <c r="K18" s="2604" t="s">
        <v>2563</v>
      </c>
      <c r="L18" s="2605" t="s">
        <v>2564</v>
      </c>
      <c r="M18" s="2606" t="s">
        <v>2565</v>
      </c>
      <c r="N18" s="2604" t="s">
        <v>2563</v>
      </c>
      <c r="O18" s="2605" t="s">
        <v>2564</v>
      </c>
      <c r="P18" s="2606" t="s">
        <v>2565</v>
      </c>
      <c r="R18" s="2299" t="s">
        <v>2307</v>
      </c>
      <c r="S18" s="2299" t="s">
        <v>2308</v>
      </c>
    </row>
    <row r="19" spans="1:19">
      <c r="A19" s="133"/>
      <c r="B19" s="115" t="s">
        <v>223</v>
      </c>
      <c r="C19" s="3022" t="s">
        <v>3139</v>
      </c>
      <c r="D19" s="111">
        <f t="shared" ref="D19:D26" si="1">ROUND($D$3*E19/$E$3,2)</f>
        <v>19027.259999999998</v>
      </c>
      <c r="E19" s="134">
        <f t="shared" ref="E19:E26" si="2">SUM(F19:G19)</f>
        <v>59258.109999999993</v>
      </c>
      <c r="F19" s="135">
        <f>SUM('数据-基础表'!I36:I60)</f>
        <v>59258.109999999993</v>
      </c>
      <c r="G19" s="1367"/>
      <c r="H19" s="974">
        <f>ROUND($D$3*I19/$E$3,2)</f>
        <v>7879.93</v>
      </c>
      <c r="I19" s="116">
        <f>IF($I$17="自定义",P19,M19)</f>
        <v>24541.08</v>
      </c>
      <c r="J19" s="1983"/>
      <c r="K19" s="2607">
        <f t="shared" ref="K19:K26" si="3">ROUND(E$28*E19/E$27,2)</f>
        <v>24541.08</v>
      </c>
      <c r="L19" s="275">
        <f t="shared" ref="L19:L26" si="4">ROUND(IF(COUNTIF(C19,"*住宅*")&gt;0,E$29*E19/E$32,0),2)</f>
        <v>0</v>
      </c>
      <c r="M19" s="2608">
        <f>K19+L19</f>
        <v>24541.08</v>
      </c>
      <c r="N19" s="2609"/>
      <c r="O19" s="2610"/>
      <c r="P19" s="2611">
        <f>N19+O19</f>
        <v>0</v>
      </c>
      <c r="R19" s="275">
        <f t="shared" ref="R19:S26" si="5">D19+H19</f>
        <v>26907.19</v>
      </c>
      <c r="S19" s="2300">
        <f t="shared" si="5"/>
        <v>83799.19</v>
      </c>
    </row>
    <row r="20" spans="1:19">
      <c r="A20" s="138"/>
      <c r="B20" s="115" t="s">
        <v>224</v>
      </c>
      <c r="C20" s="3022" t="s">
        <v>3140</v>
      </c>
      <c r="D20" s="111">
        <f t="shared" si="1"/>
        <v>0</v>
      </c>
      <c r="E20" s="134">
        <f t="shared" si="2"/>
        <v>0</v>
      </c>
      <c r="F20" s="135">
        <f>SUM('数据-基础表'!K36:K60)</f>
        <v>0</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224</v>
      </c>
      <c r="C21" s="3022" t="s">
        <v>3141</v>
      </c>
      <c r="D21" s="111">
        <f t="shared" si="1"/>
        <v>17256.79</v>
      </c>
      <c r="E21" s="134">
        <f t="shared" si="2"/>
        <v>53744.19</v>
      </c>
      <c r="F21" s="135">
        <f>SUM('数据-基础表'!M36:M60)</f>
        <v>53744.19</v>
      </c>
      <c r="G21" s="1367"/>
      <c r="H21" s="974">
        <f t="shared" si="6"/>
        <v>7146.71</v>
      </c>
      <c r="I21" s="116">
        <f t="shared" si="7"/>
        <v>22257.55</v>
      </c>
      <c r="J21" s="1983"/>
      <c r="K21" s="2607">
        <f t="shared" si="3"/>
        <v>22257.55</v>
      </c>
      <c r="L21" s="275">
        <f t="shared" si="4"/>
        <v>0</v>
      </c>
      <c r="M21" s="2608">
        <f t="shared" si="8"/>
        <v>22257.55</v>
      </c>
      <c r="N21" s="2609"/>
      <c r="O21" s="2610"/>
      <c r="P21" s="2611">
        <f t="shared" si="9"/>
        <v>0</v>
      </c>
      <c r="R21" s="275">
        <f t="shared" si="5"/>
        <v>24403.5</v>
      </c>
      <c r="S21" s="2300">
        <f t="shared" si="5"/>
        <v>76001.740000000005</v>
      </c>
    </row>
    <row r="22" spans="1:19">
      <c r="A22" s="138"/>
      <c r="B22" s="115" t="s">
        <v>224</v>
      </c>
      <c r="C22" s="3199" t="s">
        <v>3430</v>
      </c>
      <c r="D22" s="111">
        <f t="shared" si="1"/>
        <v>51.82</v>
      </c>
      <c r="E22" s="134">
        <f t="shared" si="2"/>
        <v>161.38</v>
      </c>
      <c r="F22" s="140">
        <f>SUM('数据-基础表'!O36:O60)</f>
        <v>161.38</v>
      </c>
      <c r="G22" s="1368"/>
      <c r="H22" s="974">
        <f t="shared" si="6"/>
        <v>21.46</v>
      </c>
      <c r="I22" s="116">
        <f t="shared" si="7"/>
        <v>66.83</v>
      </c>
      <c r="J22" s="1983"/>
      <c r="K22" s="2607">
        <f t="shared" si="3"/>
        <v>66.83</v>
      </c>
      <c r="L22" s="275">
        <f t="shared" si="4"/>
        <v>0</v>
      </c>
      <c r="M22" s="2608">
        <f t="shared" si="8"/>
        <v>66.83</v>
      </c>
      <c r="N22" s="2609"/>
      <c r="O22" s="2610"/>
      <c r="P22" s="2611">
        <f t="shared" si="9"/>
        <v>0</v>
      </c>
      <c r="R22" s="275">
        <f t="shared" si="5"/>
        <v>73.28</v>
      </c>
      <c r="S22" s="2300">
        <f t="shared" si="5"/>
        <v>228.20999999999998</v>
      </c>
    </row>
    <row r="23" spans="1:19">
      <c r="A23" s="138"/>
      <c r="B23" s="115" t="s">
        <v>224</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224</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224</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224</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213</v>
      </c>
      <c r="D27" s="134">
        <f>SUM(D19:D26)</f>
        <v>36335.870000000003</v>
      </c>
      <c r="E27" s="143">
        <f>IF(SUM(E19:E26)='数据-基础表'!BA5,SUM(E19:E26),IF(F27="地上面积有误","面积有误","地下面积有误"))</f>
        <v>113163.68</v>
      </c>
      <c r="F27" s="134">
        <f>IF(SUM(F19:F26)=E8,SUM(F19:F26),"地上面积有误")</f>
        <v>113163.68</v>
      </c>
      <c r="G27" s="112">
        <f>SUM(G19:G26)</f>
        <v>0</v>
      </c>
      <c r="H27" s="975">
        <f>SUM(H19:H26)</f>
        <v>15048.099999999999</v>
      </c>
      <c r="I27" s="976">
        <f>SUM(I19:I26)</f>
        <v>46865.460000000006</v>
      </c>
      <c r="J27" s="1983"/>
      <c r="K27" s="2616">
        <f>SUM(K19:K26)</f>
        <v>46865.460000000006</v>
      </c>
      <c r="L27" s="2617">
        <f>SUM(L19:L26)</f>
        <v>0</v>
      </c>
      <c r="M27" s="2618">
        <f>SUM(M19:M26)</f>
        <v>46865.460000000006</v>
      </c>
      <c r="N27" s="2616">
        <f t="shared" ref="N27:O27" si="10">SUM(N19:N26)</f>
        <v>0</v>
      </c>
      <c r="O27" s="2617">
        <f t="shared" si="10"/>
        <v>0</v>
      </c>
      <c r="P27" s="2619">
        <f>SUM(P19:P26)</f>
        <v>0</v>
      </c>
      <c r="R27" s="2304" t="str">
        <f>IF(SUM(R19:R26)=$D$3,SUM(R19:R26),SUM(R19:R26)&amp;"误差"&amp;ROUND(SUM(R19:R26)-$D$3,2))</f>
        <v>51383.97误差0.01</v>
      </c>
      <c r="S27" s="275">
        <f>IF(SUM(S19:S26)=$E$3,SUM(S19:S26),SUM(S19:S26)&amp;"误差"&amp;ROUND(SUM(S19:S26)-E3,2))</f>
        <v>160029.13999999998</v>
      </c>
    </row>
    <row r="28" spans="1:19">
      <c r="A28" s="138"/>
      <c r="B28" s="115" t="s">
        <v>225</v>
      </c>
      <c r="C28" s="136" t="s">
        <v>226</v>
      </c>
      <c r="D28" s="111">
        <f>ROUND($D$3*E28/$E$3,2)</f>
        <v>15048.09</v>
      </c>
      <c r="E28" s="134">
        <f>SUM(F28:G28)</f>
        <v>46865.46</v>
      </c>
      <c r="F28" s="144">
        <f>'数据-基础表'!BQ5+'数据-基础表'!BS5</f>
        <v>1340.48</v>
      </c>
      <c r="G28" s="145">
        <f>'数据-基础表'!BR5+'数据-基础表'!BT5</f>
        <v>45524.979999999996</v>
      </c>
      <c r="H28" s="1983"/>
      <c r="I28" s="1983"/>
      <c r="J28" s="1983"/>
      <c r="K28" s="1983"/>
      <c r="L28" s="1983"/>
    </row>
    <row r="29" spans="1:19">
      <c r="A29" s="138"/>
      <c r="B29" s="115" t="s">
        <v>225</v>
      </c>
      <c r="C29" s="2312" t="s">
        <v>2318</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213</v>
      </c>
      <c r="D30" s="134">
        <f>SUM(D28:D29)</f>
        <v>15048.09</v>
      </c>
      <c r="E30" s="134">
        <f>SUM(E28:E29)</f>
        <v>46865.46</v>
      </c>
      <c r="F30" s="134">
        <f>SUM(F28:F29)</f>
        <v>1340.48</v>
      </c>
      <c r="G30" s="112">
        <f>SUM(G28:G29)</f>
        <v>45524.979999999996</v>
      </c>
      <c r="H30" s="1983"/>
      <c r="I30" s="1983"/>
      <c r="J30" s="1983"/>
      <c r="K30" s="1983"/>
      <c r="L30" s="1983"/>
    </row>
    <row r="31" spans="1:19" ht="32.25" customHeight="1" thickBot="1">
      <c r="A31" s="1369"/>
      <c r="B31" s="1370" t="s">
        <v>227</v>
      </c>
      <c r="C31" s="2329" t="s">
        <v>2320</v>
      </c>
      <c r="D31" s="1371">
        <f>D27+D30</f>
        <v>51383.960000000006</v>
      </c>
      <c r="E31" s="1371">
        <f>E27+E30</f>
        <v>160029.13999999998</v>
      </c>
      <c r="F31" s="1372">
        <f>F27+F30</f>
        <v>114504.15999999999</v>
      </c>
      <c r="G31" s="1373">
        <f>G27+G30</f>
        <v>45524.979999999996</v>
      </c>
      <c r="H31" s="1983"/>
      <c r="I31" s="1983"/>
      <c r="J31" s="1983"/>
      <c r="K31" s="1983"/>
      <c r="L31" s="1983"/>
    </row>
    <row r="32" spans="1:19">
      <c r="A32" s="1983"/>
      <c r="B32" s="2362" t="s">
        <v>2319</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8" sqref="H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232</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233</v>
      </c>
      <c r="B2" s="2337">
        <f>项目基本情况!D3</f>
        <v>43325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234</v>
      </c>
      <c r="C5" s="157" t="s">
        <v>235</v>
      </c>
      <c r="D5" s="158" t="s">
        <v>236</v>
      </c>
      <c r="E5" s="159" t="s">
        <v>237</v>
      </c>
      <c r="F5" s="160" t="s">
        <v>238</v>
      </c>
      <c r="G5" s="159" t="s">
        <v>239</v>
      </c>
      <c r="H5" s="159" t="s">
        <v>860</v>
      </c>
      <c r="I5" s="159" t="s">
        <v>861</v>
      </c>
      <c r="J5" s="161" t="s">
        <v>240</v>
      </c>
      <c r="K5" s="162" t="s">
        <v>241</v>
      </c>
      <c r="L5" s="163" t="s">
        <v>242</v>
      </c>
      <c r="M5" s="164" t="s">
        <v>243</v>
      </c>
      <c r="N5" s="1219" t="s">
        <v>2822</v>
      </c>
      <c r="O5" s="163" t="s">
        <v>244</v>
      </c>
      <c r="P5" s="165" t="s">
        <v>245</v>
      </c>
      <c r="Q5" s="166" t="s">
        <v>246</v>
      </c>
      <c r="R5" s="167" t="s">
        <v>247</v>
      </c>
      <c r="S5" s="2620" t="s">
        <v>2566</v>
      </c>
      <c r="T5" s="168" t="s">
        <v>248</v>
      </c>
      <c r="U5" s="169" t="s">
        <v>249</v>
      </c>
      <c r="V5" s="159" t="s">
        <v>250</v>
      </c>
      <c r="W5" s="159" t="s">
        <v>251</v>
      </c>
      <c r="X5" s="1818"/>
      <c r="Y5" s="170" t="s">
        <v>252</v>
      </c>
      <c r="Z5" s="171" t="s">
        <v>253</v>
      </c>
      <c r="AA5" s="159" t="s">
        <v>250</v>
      </c>
      <c r="AB5" s="159" t="s">
        <v>251</v>
      </c>
      <c r="AC5" s="1819"/>
      <c r="AD5" s="172" t="s">
        <v>252</v>
      </c>
      <c r="AE5" s="1" t="s">
        <v>868</v>
      </c>
      <c r="AF5" s="159" t="s">
        <v>254</v>
      </c>
      <c r="AG5" s="170" t="s">
        <v>255</v>
      </c>
      <c r="AH5" s="1819" t="s">
        <v>2321</v>
      </c>
      <c r="AI5" s="171" t="s">
        <v>2290</v>
      </c>
      <c r="AJ5" s="171" t="s">
        <v>256</v>
      </c>
      <c r="AK5" s="159" t="s">
        <v>257</v>
      </c>
      <c r="AL5" s="159" t="s">
        <v>258</v>
      </c>
      <c r="AM5" s="172" t="s">
        <v>259</v>
      </c>
      <c r="AN5" s="2390" t="s">
        <v>2369</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洋房</v>
      </c>
      <c r="B6" s="2336" t="str">
        <f>IF(A6=0,"","经营性")</f>
        <v>经营性</v>
      </c>
      <c r="C6" s="173" t="s">
        <v>921</v>
      </c>
      <c r="D6" s="2307">
        <f>SUMIF(项目基本情况!D$15:I$15,C6,项目基本情况!D$18:I$18)</f>
        <v>70</v>
      </c>
      <c r="E6" s="2308">
        <f>IF(B6="","",SUMIF(项目基本情况!D$15:I$15,C6,项目基本情况!D$17:I$17))</f>
        <v>63670</v>
      </c>
      <c r="F6" s="174">
        <f>SUMIF(项目基本情况!D$15:I$15,C6,项目基本情况!D$19:I$19)</f>
        <v>55.73</v>
      </c>
      <c r="G6" s="175">
        <f>IF(ISERROR(ROUND(POWER(1+H6,D6-F6)*(POWER(1+H6,F6)-1)/(POWER(1+H6,D6)-1),3)),0,ROUND(POWER(1+H6,D6-F6)*(POWER(1+H6,F6)-1)/(POWER(1+H6,D6)-1),3))</f>
        <v>0.94899999999999995</v>
      </c>
      <c r="H6" s="3023">
        <v>0.04</v>
      </c>
      <c r="I6" s="3023">
        <v>4.4999999999999998E-2</v>
      </c>
      <c r="J6" s="176"/>
      <c r="K6" s="179">
        <f>SUMIF('数据-汇总表'!C$19:C$33,'数据-取费表'!A6,'数据-汇总表'!E$19:E$33)</f>
        <v>59258.109999999993</v>
      </c>
      <c r="L6" s="3024">
        <v>2500</v>
      </c>
      <c r="M6" s="177">
        <f t="shared" ref="M6:M14" si="0">ROUND(K6*L6/10000,0)</f>
        <v>14815</v>
      </c>
      <c r="N6" s="3025">
        <v>0</v>
      </c>
      <c r="O6" s="177">
        <f>IF($N$5="成新度","——",ROUND(M6*N6,0))</f>
        <v>0</v>
      </c>
      <c r="P6" s="178">
        <f>IF($N$5="成新度","——",M6-O6)</f>
        <v>14815</v>
      </c>
      <c r="Q6" s="3206">
        <v>0.12</v>
      </c>
      <c r="R6" s="179">
        <f>SUMIF('数据-汇总表'!C$19:C$33,A6,'数据-汇总表'!R$19:R$33)</f>
        <v>26907.19</v>
      </c>
      <c r="S6" s="132">
        <f>IF('数据-汇总表'!$I$17="按面积比例",SUMIF('数据-汇总表'!C$19:C$33,A6,'数据-汇总表'!K$19:K$33),SUMIF('数据-汇总表'!C$19:C$33,A6,'数据-汇总表'!N$19:N$33))</f>
        <v>24541.08</v>
      </c>
      <c r="T6" s="2233">
        <f>IF($T$4="按面积比例",IF(ISERROR(ROUND($M$14*S6/S$16,0)),"0",ROUND($M$14*S6/S$16,0)),"需自行计算录入")</f>
        <v>6135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7"/>
      <c r="AN6" s="2391"/>
      <c r="AO6" s="1999"/>
      <c r="AP6" s="1204">
        <f>ROUND(1-1/(1+H6)^F6,3)</f>
        <v>0.88800000000000001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小高层</v>
      </c>
      <c r="B7" s="2336" t="str">
        <f t="shared" ref="B7:B13" si="1">IF(A7=0,"","经营性")</f>
        <v>经营性</v>
      </c>
      <c r="C7" s="173"/>
      <c r="D7" s="2307">
        <f>SUMIF(项目基本情况!D$15:I$15,C7,项目基本情况!D$18:I$18)</f>
        <v>0</v>
      </c>
      <c r="E7" s="2308">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高层</v>
      </c>
      <c r="B8" s="2336" t="str">
        <f t="shared" si="1"/>
        <v>经营性</v>
      </c>
      <c r="C8" s="173" t="s">
        <v>921</v>
      </c>
      <c r="D8" s="2307">
        <f>SUMIF(项目基本情况!D$15:I$15,C8,项目基本情况!D$18:I$18)</f>
        <v>70</v>
      </c>
      <c r="E8" s="2308">
        <f>IF(B8="","",SUMIF(项目基本情况!D$15:I$15,C8,项目基本情况!D$17:I$17))</f>
        <v>63670</v>
      </c>
      <c r="F8" s="174">
        <f>SUMIF(项目基本情况!D$15:I$15,C8,项目基本情况!D$19:I$19)</f>
        <v>55.73</v>
      </c>
      <c r="G8" s="175">
        <f t="shared" si="2"/>
        <v>0.94899999999999995</v>
      </c>
      <c r="H8" s="3023">
        <f>H6</f>
        <v>0.04</v>
      </c>
      <c r="I8" s="3023">
        <f>I6</f>
        <v>4.4999999999999998E-2</v>
      </c>
      <c r="J8" s="176"/>
      <c r="K8" s="179">
        <f>SUMIF('数据-汇总表'!C$19:C$33,'数据-取费表'!A8,'数据-汇总表'!E$19:E$33)</f>
        <v>53744.19</v>
      </c>
      <c r="L8" s="3024">
        <f>L6</f>
        <v>2500</v>
      </c>
      <c r="M8" s="177">
        <f>ROUND(K8*L8/10000,0)</f>
        <v>13436</v>
      </c>
      <c r="N8" s="3025">
        <f>N6</f>
        <v>0</v>
      </c>
      <c r="O8" s="177">
        <f t="shared" si="3"/>
        <v>0</v>
      </c>
      <c r="P8" s="178">
        <f t="shared" si="4"/>
        <v>13436</v>
      </c>
      <c r="Q8" s="3206">
        <v>0.08</v>
      </c>
      <c r="R8" s="179">
        <f>SUMIF('数据-汇总表'!C$19:C$33,A8,'数据-汇总表'!R$19:R$33)</f>
        <v>24403.5</v>
      </c>
      <c r="S8" s="132">
        <f>IF('数据-汇总表'!$I$17="按面积比例",SUMIF('数据-汇总表'!C$19:C$33,A8,'数据-汇总表'!K$19:K$33),SUMIF('数据-汇总表'!C$19:C$33,A8,'数据-汇总表'!N$19:N$33))</f>
        <v>22257.55</v>
      </c>
      <c r="T8" s="2233">
        <f t="shared" si="5"/>
        <v>5564</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底商</v>
      </c>
      <c r="B9" s="2336" t="str">
        <f t="shared" si="1"/>
        <v>经营性</v>
      </c>
      <c r="C9" s="173" t="s">
        <v>2981</v>
      </c>
      <c r="D9" s="2307">
        <f>SUMIF(项目基本情况!D$15:I$15,C9,项目基本情况!D$18:I$18)</f>
        <v>40</v>
      </c>
      <c r="E9" s="2308">
        <f>IF(B9="","",SUMIF(项目基本情况!D$15:I$15,C9,项目基本情况!D$17:I$17))</f>
        <v>52713</v>
      </c>
      <c r="F9" s="174">
        <f>SUMIF(项目基本情况!D$15:I$15,C9,项目基本情况!D$19:I$19)</f>
        <v>25.72</v>
      </c>
      <c r="G9" s="175">
        <f t="shared" si="2"/>
        <v>0.83299999999999996</v>
      </c>
      <c r="H9" s="176">
        <v>0.05</v>
      </c>
      <c r="I9" s="176">
        <v>5.5E-2</v>
      </c>
      <c r="J9" s="176"/>
      <c r="K9" s="179">
        <f>SUMIF('数据-汇总表'!C$19:C$33,'数据-取费表'!A9,'数据-汇总表'!E$19:E$33)</f>
        <v>161.38</v>
      </c>
      <c r="L9" s="193">
        <f>L6</f>
        <v>2500</v>
      </c>
      <c r="M9" s="177">
        <f t="shared" si="0"/>
        <v>40</v>
      </c>
      <c r="N9" s="194">
        <f>N6</f>
        <v>0</v>
      </c>
      <c r="O9" s="177">
        <f t="shared" si="3"/>
        <v>0</v>
      </c>
      <c r="P9" s="178">
        <f t="shared" si="4"/>
        <v>40</v>
      </c>
      <c r="Q9" s="192">
        <v>0.15</v>
      </c>
      <c r="R9" s="179">
        <f>SUMIF('数据-汇总表'!C$19:C$33,A9,'数据-汇总表'!R$19:R$33)</f>
        <v>73.28</v>
      </c>
      <c r="S9" s="132">
        <f>IF('数据-汇总表'!$I$17="按面积比例",SUMIF('数据-汇总表'!C$19:C$33,A9,'数据-汇总表'!K$19:K$33),SUMIF('数据-汇总表'!C$19:C$33,A9,'数据-汇总表'!N$19:N$33))</f>
        <v>66.83</v>
      </c>
      <c r="T9" s="2233">
        <f t="shared" si="5"/>
        <v>17</v>
      </c>
      <c r="U9" s="180"/>
      <c r="V9" s="181"/>
      <c r="W9" s="181"/>
      <c r="X9" s="2320"/>
      <c r="Y9" s="182"/>
      <c r="Z9" s="183"/>
      <c r="AA9" s="176"/>
      <c r="AB9" s="176"/>
      <c r="AC9" s="2323"/>
      <c r="AD9" s="184"/>
      <c r="AE9" s="972">
        <f t="shared" ca="1" si="6"/>
        <v>0</v>
      </c>
      <c r="AF9" s="141"/>
      <c r="AG9" s="1213">
        <f t="shared" si="7"/>
        <v>0</v>
      </c>
      <c r="AH9" s="141"/>
      <c r="AI9" s="187"/>
      <c r="AJ9" s="188"/>
      <c r="AK9" s="189"/>
      <c r="AL9" s="190"/>
      <c r="AM9" s="3037"/>
      <c r="AN9" s="2391"/>
      <c r="AO9" s="1999"/>
      <c r="AP9" s="1204">
        <f t="shared" si="8"/>
        <v>0.71499999999999997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1678</v>
      </c>
      <c r="C14" s="2306" t="s">
        <v>2312</v>
      </c>
      <c r="D14" s="2307"/>
      <c r="E14" s="2308"/>
      <c r="F14" s="174"/>
      <c r="G14" s="175"/>
      <c r="H14" s="2309"/>
      <c r="I14" s="2309"/>
      <c r="J14" s="2309"/>
      <c r="K14" s="179">
        <f>SUMIF('数据-汇总表'!C$19:C$33,'数据-取费表'!A14,'数据-汇总表'!E$19:E$33)</f>
        <v>46865.46</v>
      </c>
      <c r="L14" s="193">
        <f>L6</f>
        <v>2500</v>
      </c>
      <c r="M14" s="177">
        <f t="shared" si="0"/>
        <v>11716</v>
      </c>
      <c r="N14" s="194">
        <v>0</v>
      </c>
      <c r="O14" s="177">
        <f t="shared" si="3"/>
        <v>0</v>
      </c>
      <c r="P14" s="178">
        <f t="shared" si="4"/>
        <v>11716</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1678</v>
      </c>
      <c r="C15" s="2306" t="s">
        <v>2313</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260</v>
      </c>
      <c r="B16" s="199"/>
      <c r="C16" s="200"/>
      <c r="D16" s="201"/>
      <c r="E16" s="199"/>
      <c r="F16" s="199"/>
      <c r="G16" s="202">
        <f>ROUND(SUMPRODUCT(G6:G13,K6:K13)/SUMPRODUCT((G6:G13&gt;0)*(K6:K13)),3)</f>
        <v>0.94899999999999995</v>
      </c>
      <c r="H16" s="203">
        <f>ROUND(SUMPRODUCT(H6:H13,K6:K13)/SUMPRODUCT((H6:H13&gt;0)*(K6:K13)),3)</f>
        <v>0.04</v>
      </c>
      <c r="I16" s="204"/>
      <c r="J16" s="204"/>
      <c r="K16" s="205">
        <f>SUM(K6:K15)</f>
        <v>160029.13999999998</v>
      </c>
      <c r="L16" s="206">
        <f>ROUND(M16*10000/SUM(K6:K14),0)</f>
        <v>2500</v>
      </c>
      <c r="M16" s="206">
        <f>SUM(M6:M14)</f>
        <v>40007</v>
      </c>
      <c r="N16" s="207">
        <f>ROUND(SUMPRODUCT(M6:M14,N6:N14)/M16,3)</f>
        <v>0</v>
      </c>
      <c r="O16" s="206">
        <f>SUM(O6:O14)</f>
        <v>0</v>
      </c>
      <c r="P16" s="206">
        <f>SUM(P6:P14)</f>
        <v>40007</v>
      </c>
      <c r="Q16" s="208">
        <f>ROUND(SUMPRODUCT(Q6:Q13,K6:K13)/SUMPRODUCT((Q6:Q13&gt;0)*(K6:K13)),2)</f>
        <v>0.1</v>
      </c>
      <c r="R16" s="2310">
        <f>SUM(R6:R13)</f>
        <v>51383.97</v>
      </c>
      <c r="S16" s="209">
        <f>SUM(S6:S13)</f>
        <v>46865.460000000006</v>
      </c>
      <c r="T16" s="210">
        <f>IF(SUMIF(T6:T13,"&lt;9E307")=M14,SUMIF(T6:T13,"&lt;9E307"),"有误，请检查")</f>
        <v>11716</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0.88800000000000001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261</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262</v>
      </c>
      <c r="B19" s="218">
        <v>0</v>
      </c>
      <c r="C19" s="2363" t="s">
        <v>2332</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263</v>
      </c>
      <c r="B20" s="220">
        <v>3</v>
      </c>
      <c r="C20" s="2363" t="s">
        <v>2331</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264</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265</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266</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267</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268</v>
      </c>
      <c r="B26" s="225" t="s">
        <v>269</v>
      </c>
      <c r="C26" s="1994" t="s">
        <v>270</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2334</v>
      </c>
      <c r="B27" s="227">
        <v>290</v>
      </c>
      <c r="C27" s="2366" t="s">
        <v>2338</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2335</v>
      </c>
      <c r="B28" s="229">
        <v>320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2333</v>
      </c>
      <c r="B29" s="232">
        <f ca="1">'剩余法-待开发'!C21+'剩余法-待开发'!C22</f>
        <v>4782</v>
      </c>
      <c r="C29" s="1552" t="s">
        <v>2336</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271</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272</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273</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276</v>
      </c>
      <c r="B33" s="1378">
        <v>0.03</v>
      </c>
      <c r="C33" s="2364" t="s">
        <v>2883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277</v>
      </c>
      <c r="B34" s="233">
        <v>0.05</v>
      </c>
      <c r="C34" s="2364" t="s">
        <v>2884</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274</v>
      </c>
      <c r="B35" s="229">
        <v>200</v>
      </c>
      <c r="C35" s="2364" t="s">
        <v>2885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275</v>
      </c>
      <c r="B36" s="234">
        <v>1.4999999999999999E-2</v>
      </c>
      <c r="C36" s="2364" t="s">
        <v>2886</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278</v>
      </c>
      <c r="B37" s="236">
        <v>0.02</v>
      </c>
      <c r="C37" s="2364" t="s">
        <v>2887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279</v>
      </c>
      <c r="B38" s="233">
        <v>0.02</v>
      </c>
      <c r="C38" s="2364" t="s">
        <v>2887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2451</v>
      </c>
      <c r="B40" s="2480">
        <f ca="1">存贷款利率!E2</f>
        <v>4.7500000000000001E-2</v>
      </c>
      <c r="C40" s="2364" t="s">
        <v>2337</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280</v>
      </c>
      <c r="B41" s="238">
        <f>B42+B43</f>
        <v>6.6000000000000003E-2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281</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282</v>
      </c>
      <c r="B43" s="241">
        <f>B42*(B44+B45+B46)+B47</f>
        <v>1.6E-2</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283</v>
      </c>
      <c r="B44" s="242">
        <v>7.0000000000000007E-2</v>
      </c>
      <c r="C44" s="2364" t="s">
        <v>2888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284</v>
      </c>
      <c r="B45" s="240">
        <v>0.03</v>
      </c>
      <c r="C45" s="2366" t="s">
        <v>2889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285</v>
      </c>
      <c r="B46" s="240">
        <v>0.02</v>
      </c>
      <c r="C46" s="2366" t="s">
        <v>2890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286</v>
      </c>
      <c r="B47" s="244">
        <v>0.01</v>
      </c>
      <c r="C47" s="3072" t="s">
        <v>2891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287</v>
      </c>
      <c r="B48" s="246">
        <v>0.03</v>
      </c>
      <c r="C48" s="3073" t="s">
        <v>2892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288</v>
      </c>
      <c r="B49" s="240">
        <v>5.0000000000000001E-4</v>
      </c>
      <c r="C49" s="3073" t="s">
        <v>2893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289</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290</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291</v>
      </c>
      <c r="B52" s="250">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292</v>
      </c>
      <c r="B53" s="251" t="s">
        <v>1095</v>
      </c>
      <c r="C53" s="3074" t="s">
        <v>2894</v>
      </c>
      <c r="D53" s="3075" t="s">
        <v>2895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2896</v>
      </c>
      <c r="B54" s="186">
        <v>25</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2897</v>
      </c>
      <c r="B55" s="186">
        <v>20</v>
      </c>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2898</v>
      </c>
      <c r="B56" s="186">
        <v>15</v>
      </c>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2899</v>
      </c>
      <c r="B57" s="186">
        <v>10</v>
      </c>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2900</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2901</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2902</v>
      </c>
      <c r="B60" s="186">
        <v>1</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8" t="s">
        <v>1662</v>
      </c>
      <c r="B1" s="3309"/>
      <c r="C1" s="3309"/>
      <c r="D1" s="3309"/>
      <c r="E1" s="3309"/>
      <c r="F1" s="3309"/>
      <c r="G1" s="3309"/>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42.75">
      <c r="A3" s="1227" t="s">
        <v>1665</v>
      </c>
      <c r="B3" s="1228" t="s">
        <v>1652</v>
      </c>
      <c r="C3" s="3182" t="s">
        <v>2998</v>
      </c>
      <c r="D3" s="2008"/>
      <c r="E3" s="1229" t="s">
        <v>1665</v>
      </c>
      <c r="F3" s="1230" t="s">
        <v>1653</v>
      </c>
      <c r="G3" s="3081" t="s">
        <v>2910</v>
      </c>
      <c r="H3" s="2007"/>
      <c r="I3" s="2007"/>
      <c r="J3" s="2007"/>
      <c r="K3" s="2007"/>
      <c r="L3" s="2007"/>
      <c r="M3" s="2007"/>
      <c r="N3" s="2007"/>
      <c r="O3" s="2007"/>
      <c r="P3" s="2007"/>
      <c r="Q3" s="2007"/>
      <c r="R3" s="2007"/>
    </row>
    <row r="4" spans="1:18" ht="40.5">
      <c r="A4" s="1229"/>
      <c r="B4" s="1231" t="s">
        <v>1666</v>
      </c>
      <c r="C4" s="3183" t="s">
        <v>3000</v>
      </c>
      <c r="D4" s="2008"/>
      <c r="E4" s="1232"/>
      <c r="F4" s="1233" t="s">
        <v>1667</v>
      </c>
      <c r="G4" s="3080" t="s">
        <v>2907</v>
      </c>
      <c r="H4" s="2007"/>
      <c r="I4" s="2007"/>
      <c r="J4" s="2007"/>
      <c r="K4" s="2007"/>
      <c r="L4" s="2007"/>
      <c r="M4" s="2007"/>
      <c r="N4" s="2007"/>
      <c r="O4" s="2007"/>
      <c r="P4" s="2007"/>
      <c r="Q4" s="2007"/>
      <c r="R4" s="2007"/>
    </row>
    <row r="5" spans="1:18" ht="27">
      <c r="A5" s="1229"/>
      <c r="B5" s="1231" t="s">
        <v>1668</v>
      </c>
      <c r="C5" s="3079"/>
      <c r="D5" s="2008"/>
      <c r="E5" s="1232"/>
      <c r="F5" s="1231" t="s">
        <v>2540</v>
      </c>
      <c r="G5" s="3080" t="s">
        <v>2908</v>
      </c>
      <c r="H5" s="2007"/>
      <c r="I5" s="2007"/>
      <c r="J5" s="2007"/>
      <c r="K5" s="2007"/>
      <c r="L5" s="2007"/>
      <c r="M5" s="2007"/>
      <c r="N5" s="2007"/>
      <c r="O5" s="2007"/>
      <c r="P5" s="2007"/>
      <c r="Q5" s="2007"/>
      <c r="R5" s="2007"/>
    </row>
    <row r="6" spans="1:18" ht="27">
      <c r="A6" s="1229"/>
      <c r="B6" s="1231" t="s">
        <v>1654</v>
      </c>
      <c r="C6" s="3184" t="s">
        <v>3001</v>
      </c>
      <c r="D6" s="2008"/>
      <c r="E6" s="1232"/>
      <c r="F6" s="1231" t="s">
        <v>2541</v>
      </c>
      <c r="G6" s="3080" t="s">
        <v>2906</v>
      </c>
      <c r="H6" s="2007"/>
      <c r="I6" s="2007"/>
      <c r="J6" s="2007"/>
      <c r="K6" s="2007"/>
      <c r="L6" s="2007"/>
      <c r="M6" s="2007"/>
      <c r="N6" s="2007"/>
      <c r="O6" s="2007"/>
      <c r="P6" s="2007"/>
      <c r="Q6" s="2007"/>
      <c r="R6" s="2007"/>
    </row>
    <row r="7" spans="1:18" ht="41.25" thickBot="1">
      <c r="A7" s="1229"/>
      <c r="B7" s="1231" t="s">
        <v>2540</v>
      </c>
      <c r="C7" s="3184" t="s">
        <v>3000</v>
      </c>
      <c r="D7" s="2009"/>
      <c r="E7" s="1234"/>
      <c r="F7" s="1235" t="s">
        <v>1669</v>
      </c>
      <c r="G7" s="3082" t="s">
        <v>2909</v>
      </c>
      <c r="H7" s="2007"/>
      <c r="I7" s="2007"/>
      <c r="J7" s="2007"/>
      <c r="K7" s="2007"/>
      <c r="L7" s="2007"/>
      <c r="M7" s="2007"/>
      <c r="N7" s="2007"/>
      <c r="O7" s="2007"/>
      <c r="P7" s="2007"/>
      <c r="Q7" s="2007"/>
      <c r="R7" s="2007"/>
    </row>
    <row r="8" spans="1:18">
      <c r="A8" s="1229"/>
      <c r="B8" s="1231" t="s">
        <v>2541</v>
      </c>
      <c r="C8" s="3184" t="s">
        <v>3003</v>
      </c>
      <c r="D8" s="2009"/>
      <c r="E8" s="2009"/>
      <c r="F8" s="1553"/>
      <c r="G8" s="1553"/>
      <c r="H8" s="2007"/>
      <c r="I8" s="2007"/>
      <c r="J8" s="2007"/>
      <c r="K8" s="2007"/>
      <c r="L8" s="2007"/>
      <c r="M8" s="2007"/>
      <c r="N8" s="2007"/>
      <c r="O8" s="2007"/>
      <c r="P8" s="2007"/>
      <c r="Q8" s="2007"/>
      <c r="R8" s="2007"/>
    </row>
    <row r="9" spans="1:18">
      <c r="A9" s="1229"/>
      <c r="B9" s="1231" t="s">
        <v>1655</v>
      </c>
      <c r="C9" s="3183" t="s">
        <v>3001</v>
      </c>
      <c r="D9" s="2008"/>
      <c r="E9" s="2009"/>
      <c r="F9" s="1553"/>
      <c r="G9" s="1553"/>
      <c r="H9" s="2007"/>
      <c r="I9" s="2007"/>
      <c r="J9" s="2007"/>
      <c r="K9" s="2007"/>
      <c r="L9" s="2007"/>
      <c r="M9" s="2007"/>
      <c r="N9" s="2007"/>
      <c r="O9" s="2007"/>
      <c r="P9" s="2007"/>
      <c r="Q9" s="2007"/>
      <c r="R9" s="2007"/>
    </row>
    <row r="10" spans="1:18" s="2015" customFormat="1" ht="14.25" thickBot="1">
      <c r="A10" s="1236"/>
      <c r="B10" s="1237" t="s">
        <v>1670</v>
      </c>
      <c r="C10" s="3185" t="s">
        <v>3004</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1671</v>
      </c>
      <c r="B13" s="2577"/>
      <c r="C13" s="2577"/>
      <c r="D13" s="1224"/>
      <c r="E13" s="2577"/>
      <c r="F13" s="2577"/>
      <c r="G13" s="2577"/>
    </row>
    <row r="14" spans="1:18" ht="14.25" thickBot="1">
      <c r="A14" s="1238"/>
      <c r="B14" s="1239"/>
      <c r="C14" s="1240" t="s">
        <v>1663</v>
      </c>
      <c r="D14" s="2008"/>
      <c r="E14" s="1241"/>
      <c r="F14" s="1241"/>
      <c r="G14" s="1223" t="s">
        <v>1664</v>
      </c>
    </row>
    <row r="15" spans="1:18" ht="40.5">
      <c r="A15" s="2587" t="s">
        <v>1656</v>
      </c>
      <c r="B15" s="1242" t="s">
        <v>1652</v>
      </c>
      <c r="C15" s="1243" t="str">
        <f>C3</f>
        <v>较好</v>
      </c>
      <c r="D15" s="2008"/>
      <c r="E15" s="2584" t="s">
        <v>1657</v>
      </c>
      <c r="F15" s="1242" t="s">
        <v>1672</v>
      </c>
      <c r="G15" s="1244" t="str">
        <f>G3</f>
        <v>估价对象位于XX开发区，园区建设成熟度XX，产业集聚程度XX</v>
      </c>
    </row>
    <row r="16" spans="1:18" ht="40.5">
      <c r="A16" s="2588"/>
      <c r="B16" s="1245" t="s">
        <v>1666</v>
      </c>
      <c r="C16" s="1246" t="str">
        <f>C4</f>
        <v>一般</v>
      </c>
      <c r="D16" s="2008"/>
      <c r="E16" s="2585"/>
      <c r="F16" s="1247" t="s">
        <v>1667</v>
      </c>
      <c r="G16" s="1005" t="str">
        <f>G4</f>
        <v>估价对象周边道路状况、公共交通通达情况、停车便捷程度，综合评价交通便捷度较好</v>
      </c>
    </row>
    <row r="17" spans="1:7" ht="14.25">
      <c r="A17" s="2588"/>
      <c r="B17" s="1245" t="s">
        <v>1668</v>
      </c>
      <c r="C17" s="1246">
        <f>C5</f>
        <v>0</v>
      </c>
      <c r="D17" s="2009"/>
      <c r="E17" s="2585"/>
      <c r="F17" s="1247" t="s">
        <v>1673</v>
      </c>
      <c r="G17" s="2793"/>
    </row>
    <row r="18" spans="1:7" ht="40.5">
      <c r="A18" s="2588"/>
      <c r="B18" s="1247" t="s">
        <v>1654</v>
      </c>
      <c r="C18" s="1005" t="str">
        <f>C6</f>
        <v>较好</v>
      </c>
      <c r="D18" s="2009"/>
      <c r="E18" s="2585"/>
      <c r="F18" s="1247" t="s">
        <v>1669</v>
      </c>
      <c r="G18" s="1005" t="str">
        <f>G7</f>
        <v>该园区内是否有污染型企业，绿化情况，卫生条件，整体环境状况判断</v>
      </c>
    </row>
    <row r="19" spans="1:7" ht="27">
      <c r="A19" s="2588"/>
      <c r="B19" s="1247" t="s">
        <v>1658</v>
      </c>
      <c r="C19" s="3186" t="s">
        <v>3005</v>
      </c>
      <c r="D19" s="2008"/>
      <c r="E19" s="2585"/>
      <c r="F19" s="1231" t="s">
        <v>2540</v>
      </c>
      <c r="G19" s="1005" t="str">
        <f>G5</f>
        <v>估价对象所在区域公共配套设施齐备情况</v>
      </c>
    </row>
    <row r="20" spans="1:7" ht="27">
      <c r="A20" s="2588"/>
      <c r="B20" s="1247" t="s">
        <v>1659</v>
      </c>
      <c r="C20" s="1246" t="str">
        <f>C9</f>
        <v>较好</v>
      </c>
      <c r="D20" s="2009"/>
      <c r="E20" s="2585"/>
      <c r="F20" s="1231" t="s">
        <v>2541</v>
      </c>
      <c r="G20" s="1005" t="str">
        <f>G6</f>
        <v>估价对象所在区域基础设施水平</v>
      </c>
    </row>
    <row r="21" spans="1:7" ht="14.25">
      <c r="A21" s="2588"/>
      <c r="B21" s="1231" t="s">
        <v>2540</v>
      </c>
      <c r="C21" s="1005" t="str">
        <f>C7</f>
        <v>一般</v>
      </c>
      <c r="D21" s="2008"/>
      <c r="E21" s="2585"/>
      <c r="F21" s="1247" t="s">
        <v>1660</v>
      </c>
      <c r="G21" s="3083"/>
    </row>
    <row r="22" spans="1:7" ht="14.25">
      <c r="A22" s="2588"/>
      <c r="B22" s="1231" t="s">
        <v>2541</v>
      </c>
      <c r="C22" s="1005" t="str">
        <f>C8</f>
        <v>七通</v>
      </c>
      <c r="D22" s="2008"/>
      <c r="E22" s="2585"/>
      <c r="F22" s="1247" t="s">
        <v>1670</v>
      </c>
      <c r="G22" s="2793"/>
    </row>
    <row r="23" spans="1:7" ht="15" thickBot="1">
      <c r="A23" s="2588"/>
      <c r="B23" s="1247" t="s">
        <v>1660</v>
      </c>
      <c r="C23" s="3083"/>
      <c r="E23" s="2586"/>
      <c r="F23" s="1248" t="s">
        <v>1674</v>
      </c>
      <c r="G23" s="3084"/>
    </row>
    <row r="24" spans="1:7" ht="14.25" thickBot="1">
      <c r="A24" s="2589"/>
      <c r="B24" s="1248" t="s">
        <v>1661</v>
      </c>
      <c r="C24" s="1249"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B14" sqref="B14"/>
    </sheetView>
  </sheetViews>
  <sheetFormatPr defaultColWidth="14.625" defaultRowHeight="13.5"/>
  <cols>
    <col min="1" max="1" width="24.375" customWidth="1"/>
  </cols>
  <sheetData>
    <row r="1" spans="1:9" ht="16.5">
      <c r="A1" s="3043" t="s">
        <v>2838</v>
      </c>
      <c r="B1" s="3043">
        <f>SUM(B14:B23)</f>
        <v>160029.13999999998</v>
      </c>
      <c r="C1" s="3044"/>
      <c r="D1" s="3044"/>
      <c r="E1" s="3044"/>
      <c r="F1" s="3044"/>
    </row>
    <row r="2" spans="1:9" ht="16.5">
      <c r="A2" s="3043" t="s">
        <v>2839</v>
      </c>
      <c r="B2" s="3043">
        <f>SUM(C14:C23)</f>
        <v>51383.96</v>
      </c>
      <c r="C2" s="3044"/>
      <c r="D2" s="3044"/>
      <c r="E2" s="3044"/>
      <c r="F2" s="3044"/>
    </row>
    <row r="3" spans="1:9" ht="16.5">
      <c r="A3" s="3043" t="s">
        <v>2840</v>
      </c>
      <c r="B3" s="3045">
        <f>项目基本情况!D3</f>
        <v>43325</v>
      </c>
      <c r="C3" s="3044"/>
      <c r="D3" s="3044"/>
      <c r="E3" s="3044"/>
      <c r="F3" s="3044"/>
    </row>
    <row r="4" spans="1:9" ht="33">
      <c r="A4" s="3043" t="s">
        <v>2841</v>
      </c>
      <c r="B4" s="3043" t="s">
        <v>2842</v>
      </c>
      <c r="C4" s="3043" t="s">
        <v>2843</v>
      </c>
      <c r="D4" s="3043" t="s">
        <v>2844</v>
      </c>
      <c r="E4" s="3044"/>
      <c r="F4" s="3044"/>
    </row>
    <row r="5" spans="1:9" ht="16.5">
      <c r="A5" s="3043" t="s">
        <v>2845</v>
      </c>
      <c r="B5" s="3043">
        <f ca="1">SUM(D14:D23)</f>
        <v>174684</v>
      </c>
      <c r="C5" s="3043">
        <f ca="1">ROUND(B5*10000/$B$1,0)</f>
        <v>10916</v>
      </c>
      <c r="D5" s="3043">
        <f ca="1">ROUND(B5*10000/$B$2,0)</f>
        <v>33996</v>
      </c>
      <c r="E5" s="3044"/>
      <c r="F5" s="3044"/>
    </row>
    <row r="6" spans="1:9" ht="16.5">
      <c r="A6" s="3043" t="s">
        <v>2846</v>
      </c>
      <c r="B6" s="3043">
        <f ca="1">SUM(G14:G23)</f>
        <v>174684</v>
      </c>
      <c r="C6" s="3043">
        <f t="shared" ref="C6:C8" ca="1" si="0">ROUND(B6*10000/$B$1,0)</f>
        <v>10916</v>
      </c>
      <c r="D6" s="3043">
        <f t="shared" ref="D6:D8" ca="1" si="1">ROUND(B6*10000/$B$2,0)</f>
        <v>33996</v>
      </c>
      <c r="E6" s="3044"/>
      <c r="F6" s="3044"/>
    </row>
    <row r="7" spans="1:9" ht="16.5">
      <c r="A7" s="3043" t="s">
        <v>2847</v>
      </c>
      <c r="B7" s="3043">
        <f>SUM(H14:H23)</f>
        <v>0</v>
      </c>
      <c r="C7" s="3043">
        <f t="shared" si="0"/>
        <v>0</v>
      </c>
      <c r="D7" s="3043">
        <f t="shared" si="1"/>
        <v>0</v>
      </c>
      <c r="E7" s="3044"/>
      <c r="F7" s="3044"/>
    </row>
    <row r="8" spans="1:9" ht="16.5">
      <c r="A8" s="3043" t="s">
        <v>2848</v>
      </c>
      <c r="B8" s="3043">
        <f ca="1">SUM(I14:I23)</f>
        <v>95870</v>
      </c>
      <c r="C8" s="3043">
        <f t="shared" ca="1" si="0"/>
        <v>5991</v>
      </c>
      <c r="D8" s="3043">
        <f t="shared" ca="1" si="1"/>
        <v>18658</v>
      </c>
      <c r="E8" s="3044"/>
      <c r="F8" s="3044"/>
    </row>
    <row r="9" spans="1:9" ht="16.5">
      <c r="A9" s="3043" t="s">
        <v>2849</v>
      </c>
      <c r="B9" s="3046"/>
      <c r="C9" s="3044"/>
      <c r="D9" s="3044"/>
      <c r="E9" s="3044"/>
      <c r="F9" s="3044"/>
    </row>
    <row r="10" spans="1:9" ht="16.5">
      <c r="A10" s="3043" t="s">
        <v>2850</v>
      </c>
      <c r="B10" s="3046"/>
      <c r="C10" s="3044"/>
      <c r="D10" s="3044"/>
      <c r="E10" s="3044"/>
      <c r="F10" s="3044"/>
    </row>
    <row r="11" spans="1:9" ht="16.5">
      <c r="A11" s="3043" t="s">
        <v>2867</v>
      </c>
      <c r="B11" s="3046"/>
      <c r="C11" s="3044"/>
      <c r="D11" s="3044"/>
      <c r="E11" s="3044"/>
      <c r="F11" s="3044"/>
    </row>
    <row r="12" spans="1:9" ht="16.5">
      <c r="A12" s="3044"/>
      <c r="B12" s="3044"/>
      <c r="C12" s="3044"/>
      <c r="D12" s="3044"/>
      <c r="E12" s="3044"/>
      <c r="F12" s="3044"/>
    </row>
    <row r="13" spans="1:9" ht="33">
      <c r="A13" s="3049" t="s">
        <v>2866</v>
      </c>
      <c r="B13" s="3047" t="s">
        <v>2838</v>
      </c>
      <c r="C13" s="3047" t="s">
        <v>2839</v>
      </c>
      <c r="D13" s="3047" t="s">
        <v>2851</v>
      </c>
      <c r="E13" s="3043" t="s">
        <v>2865</v>
      </c>
      <c r="F13" s="3043" t="s">
        <v>2844</v>
      </c>
      <c r="G13" s="3047" t="s">
        <v>2852</v>
      </c>
      <c r="H13" s="3047" t="s">
        <v>2853</v>
      </c>
      <c r="I13" s="3047" t="s">
        <v>2854</v>
      </c>
    </row>
    <row r="14" spans="1:9" ht="16.5">
      <c r="A14" s="3050" t="s">
        <v>2864</v>
      </c>
      <c r="B14" s="3047">
        <f>结果表!L38</f>
        <v>160029.13999999998</v>
      </c>
      <c r="C14" s="3047">
        <f>结果表!K38</f>
        <v>51383.96</v>
      </c>
      <c r="D14" s="3047">
        <f ca="1">结果表!C42</f>
        <v>174684</v>
      </c>
      <c r="E14" s="3047">
        <f ca="1">ROUND(D14*10000/B14,0)</f>
        <v>10916</v>
      </c>
      <c r="F14" s="3047">
        <f ca="1">ROUND(D14*10000/C14,0)</f>
        <v>33996</v>
      </c>
      <c r="G14" s="3047">
        <f ca="1">结果表!C44</f>
        <v>174684</v>
      </c>
      <c r="H14" s="3047" t="str">
        <f>结果表!C45</f>
        <v>——</v>
      </c>
      <c r="I14" s="3047">
        <f ca="1">结果表!C46</f>
        <v>95870</v>
      </c>
    </row>
    <row r="15" spans="1:9" ht="16.5">
      <c r="A15" s="3050" t="s">
        <v>2855</v>
      </c>
      <c r="B15" s="3051"/>
      <c r="C15" s="3051"/>
      <c r="D15" s="3051"/>
      <c r="E15" s="3047" t="e">
        <f t="shared" ref="E15:E23" si="2">ROUND(D15*10000/B15,0)</f>
        <v>#DIV/0!</v>
      </c>
      <c r="F15" s="3047" t="e">
        <f t="shared" ref="F15:F23" si="3">ROUND(D15*10000/C15,0)</f>
        <v>#DIV/0!</v>
      </c>
      <c r="G15" s="3048"/>
      <c r="H15" s="3048"/>
      <c r="I15" s="3051"/>
    </row>
    <row r="16" spans="1:9" ht="16.5">
      <c r="A16" s="3050" t="s">
        <v>2856</v>
      </c>
      <c r="B16" s="3051"/>
      <c r="C16" s="3051"/>
      <c r="D16" s="3051"/>
      <c r="E16" s="3047" t="e">
        <f t="shared" si="2"/>
        <v>#DIV/0!</v>
      </c>
      <c r="F16" s="3047" t="e">
        <f t="shared" si="3"/>
        <v>#DIV/0!</v>
      </c>
      <c r="G16" s="3048"/>
      <c r="H16" s="3048"/>
      <c r="I16" s="3051"/>
    </row>
    <row r="17" spans="1:9" ht="16.5">
      <c r="A17" s="3050" t="s">
        <v>2857</v>
      </c>
      <c r="B17" s="3051"/>
      <c r="C17" s="3051"/>
      <c r="D17" s="3051"/>
      <c r="E17" s="3047" t="e">
        <f t="shared" si="2"/>
        <v>#DIV/0!</v>
      </c>
      <c r="F17" s="3047" t="e">
        <f t="shared" si="3"/>
        <v>#DIV/0!</v>
      </c>
      <c r="G17" s="3048"/>
      <c r="H17" s="3048"/>
      <c r="I17" s="3051"/>
    </row>
    <row r="18" spans="1:9" ht="16.5">
      <c r="A18" s="3050" t="s">
        <v>2858</v>
      </c>
      <c r="B18" s="3051"/>
      <c r="C18" s="3051"/>
      <c r="D18" s="3051"/>
      <c r="E18" s="3047" t="e">
        <f t="shared" si="2"/>
        <v>#DIV/0!</v>
      </c>
      <c r="F18" s="3047" t="e">
        <f t="shared" si="3"/>
        <v>#DIV/0!</v>
      </c>
      <c r="G18" s="3051"/>
      <c r="H18" s="3051"/>
      <c r="I18" s="3051"/>
    </row>
    <row r="19" spans="1:9" ht="16.5">
      <c r="A19" s="3050" t="s">
        <v>2859</v>
      </c>
      <c r="B19" s="3051"/>
      <c r="C19" s="3051"/>
      <c r="D19" s="3051"/>
      <c r="E19" s="3047" t="e">
        <f t="shared" si="2"/>
        <v>#DIV/0!</v>
      </c>
      <c r="F19" s="3047" t="e">
        <f t="shared" si="3"/>
        <v>#DIV/0!</v>
      </c>
      <c r="G19" s="3051"/>
      <c r="H19" s="3051"/>
      <c r="I19" s="3051"/>
    </row>
    <row r="20" spans="1:9" ht="16.5">
      <c r="A20" s="3050" t="s">
        <v>2860</v>
      </c>
      <c r="B20" s="3051"/>
      <c r="C20" s="3051"/>
      <c r="D20" s="3051"/>
      <c r="E20" s="3047" t="e">
        <f t="shared" si="2"/>
        <v>#DIV/0!</v>
      </c>
      <c r="F20" s="3047" t="e">
        <f t="shared" si="3"/>
        <v>#DIV/0!</v>
      </c>
      <c r="G20" s="3051"/>
      <c r="H20" s="3051"/>
      <c r="I20" s="3051"/>
    </row>
    <row r="21" spans="1:9" ht="16.5">
      <c r="A21" s="3050" t="s">
        <v>2861</v>
      </c>
      <c r="B21" s="3051"/>
      <c r="C21" s="3051"/>
      <c r="D21" s="3051"/>
      <c r="E21" s="3047" t="e">
        <f t="shared" si="2"/>
        <v>#DIV/0!</v>
      </c>
      <c r="F21" s="3047" t="e">
        <f t="shared" si="3"/>
        <v>#DIV/0!</v>
      </c>
      <c r="G21" s="3051"/>
      <c r="H21" s="3051"/>
      <c r="I21" s="3051"/>
    </row>
    <row r="22" spans="1:9" ht="16.5">
      <c r="A22" s="3050" t="s">
        <v>2862</v>
      </c>
      <c r="B22" s="3051"/>
      <c r="C22" s="3051"/>
      <c r="D22" s="3051"/>
      <c r="E22" s="3047" t="e">
        <f t="shared" si="2"/>
        <v>#DIV/0!</v>
      </c>
      <c r="F22" s="3047" t="e">
        <f t="shared" si="3"/>
        <v>#DIV/0!</v>
      </c>
      <c r="G22" s="3051"/>
      <c r="H22" s="3051"/>
      <c r="I22" s="3051"/>
    </row>
    <row r="23" spans="1:9" ht="16.5">
      <c r="A23" s="3050" t="s">
        <v>2863</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5" zoomScaleNormal="100" zoomScaleSheetLayoutView="100" zoomScalePageLayoutView="80" workbookViewId="0">
      <selection activeCell="C103" sqref="C103:C115"/>
    </sheetView>
  </sheetViews>
  <sheetFormatPr defaultColWidth="12.625" defaultRowHeight="21.75" customHeight="1"/>
  <cols>
    <col min="1" max="1" width="12.75" style="1250" bestFit="1" customWidth="1"/>
    <col min="2" max="2" width="20.3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21.37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3107</v>
      </c>
      <c r="E1" s="1805" t="s">
        <v>2056</v>
      </c>
      <c r="F1" s="1807" t="s">
        <v>3108</v>
      </c>
      <c r="G1" s="311"/>
      <c r="H1" s="311"/>
      <c r="I1" s="311"/>
      <c r="J1" s="2028"/>
      <c r="K1" s="2028"/>
      <c r="L1" s="2028"/>
      <c r="M1" s="2028"/>
      <c r="N1" s="2028"/>
      <c r="O1" s="2028"/>
      <c r="P1" s="2028"/>
      <c r="Q1" s="2028"/>
      <c r="R1" s="2028"/>
      <c r="S1" s="2028"/>
      <c r="T1" s="2028"/>
      <c r="U1" s="2028"/>
      <c r="V1" s="2028"/>
    </row>
    <row r="2" spans="1:22" ht="21.75" customHeight="1" thickBot="1">
      <c r="A2" s="3346" t="str">
        <f>项目基本情况!K2</f>
        <v>天津市滨海新区开发区海滨大道以西、新港四号路以北远洋琨庭项目110地块住宅、商业用房出让国有建设用地使用权</v>
      </c>
      <c r="B2" s="3347"/>
      <c r="C2" s="3348"/>
      <c r="D2" s="3348"/>
      <c r="E2" s="3348"/>
      <c r="F2" s="3348"/>
      <c r="G2" s="3347"/>
      <c r="H2" s="3347"/>
      <c r="I2" s="3349"/>
      <c r="J2" s="2029"/>
      <c r="K2" s="2028"/>
      <c r="L2" s="2028"/>
      <c r="M2" s="2028"/>
      <c r="N2" s="2028"/>
      <c r="O2" s="2028"/>
      <c r="P2" s="2028"/>
      <c r="Q2" s="2028"/>
      <c r="R2" s="2028"/>
      <c r="S2" s="2028"/>
      <c r="T2" s="2028"/>
      <c r="U2" s="2028"/>
      <c r="V2" s="2028"/>
    </row>
    <row r="3" spans="1:22" ht="14.25">
      <c r="A3" s="3339" t="s">
        <v>296</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8" t="s">
        <v>297</v>
      </c>
      <c r="B4" s="259" t="s">
        <v>298</v>
      </c>
      <c r="C4" s="260" t="s">
        <v>3105</v>
      </c>
      <c r="D4" s="260" t="s">
        <v>3106</v>
      </c>
      <c r="E4" s="3311" t="s">
        <v>299</v>
      </c>
      <c r="F4" s="3312"/>
      <c r="G4" s="3312"/>
      <c r="H4" s="3312"/>
      <c r="I4" s="3341"/>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0" t="s">
        <v>300</v>
      </c>
      <c r="B5" s="3336">
        <v>25</v>
      </c>
      <c r="C5" s="3334"/>
      <c r="D5" s="3338"/>
      <c r="E5" s="261" t="s">
        <v>301</v>
      </c>
      <c r="F5" s="262"/>
      <c r="G5" s="262"/>
      <c r="H5" s="262"/>
      <c r="I5" s="263"/>
      <c r="J5" s="2029"/>
      <c r="K5" s="2028"/>
      <c r="L5" s="2028"/>
      <c r="M5" s="2028"/>
      <c r="N5" s="2028"/>
      <c r="O5" s="2028"/>
      <c r="P5" s="2028"/>
      <c r="Q5" s="2028"/>
      <c r="R5" s="2028"/>
      <c r="S5" s="2028"/>
      <c r="T5" s="2028"/>
      <c r="U5" s="2028"/>
      <c r="V5" s="2028"/>
    </row>
    <row r="6" spans="1:22" ht="14.25">
      <c r="A6" s="3310"/>
      <c r="B6" s="3336"/>
      <c r="C6" s="3337"/>
      <c r="D6" s="3338"/>
      <c r="E6" s="261" t="s">
        <v>302</v>
      </c>
      <c r="F6" s="262"/>
      <c r="G6" s="262"/>
      <c r="H6" s="262"/>
      <c r="I6" s="263"/>
      <c r="J6" s="2029"/>
      <c r="K6" s="2028"/>
      <c r="L6" s="2028"/>
      <c r="M6" s="2028"/>
      <c r="N6" s="2028"/>
      <c r="O6" s="2028"/>
      <c r="P6" s="2028"/>
      <c r="Q6" s="2028"/>
      <c r="R6" s="2028"/>
      <c r="S6" s="2028"/>
      <c r="T6" s="2028"/>
      <c r="U6" s="2028"/>
      <c r="V6" s="2028"/>
    </row>
    <row r="7" spans="1:22" ht="14.25">
      <c r="A7" s="3310"/>
      <c r="B7" s="3336"/>
      <c r="C7" s="3335"/>
      <c r="D7" s="3338"/>
      <c r="E7" s="261" t="s">
        <v>303</v>
      </c>
      <c r="F7" s="262"/>
      <c r="G7" s="262"/>
      <c r="H7" s="262"/>
      <c r="I7" s="263"/>
      <c r="J7" s="2029"/>
      <c r="K7" s="2028"/>
      <c r="L7" s="2028"/>
      <c r="M7" s="2028"/>
      <c r="N7" s="2028"/>
      <c r="O7" s="2028"/>
      <c r="P7" s="2028"/>
      <c r="Q7" s="2028"/>
      <c r="R7" s="2028"/>
      <c r="S7" s="2028"/>
      <c r="T7" s="2028"/>
      <c r="U7" s="2028"/>
      <c r="V7" s="2028"/>
    </row>
    <row r="8" spans="1:22" ht="14.25">
      <c r="A8" s="3310" t="s">
        <v>304</v>
      </c>
      <c r="B8" s="3336">
        <v>15</v>
      </c>
      <c r="C8" s="3334"/>
      <c r="D8" s="3338"/>
      <c r="E8" s="261" t="s">
        <v>305</v>
      </c>
      <c r="F8" s="262"/>
      <c r="G8" s="262"/>
      <c r="H8" s="262"/>
      <c r="I8" s="263"/>
      <c r="J8" s="2029"/>
      <c r="K8" s="2028"/>
      <c r="L8" s="2028"/>
      <c r="M8" s="2028"/>
      <c r="N8" s="2028"/>
      <c r="O8" s="2028"/>
      <c r="P8" s="2028"/>
      <c r="Q8" s="2028"/>
      <c r="R8" s="2028"/>
      <c r="S8" s="2028"/>
      <c r="T8" s="2028"/>
      <c r="U8" s="2028"/>
      <c r="V8" s="2028"/>
    </row>
    <row r="9" spans="1:22" ht="14.25">
      <c r="A9" s="3310"/>
      <c r="B9" s="3336"/>
      <c r="C9" s="3335"/>
      <c r="D9" s="3338"/>
      <c r="E9" s="261" t="s">
        <v>306</v>
      </c>
      <c r="F9" s="262"/>
      <c r="G9" s="262"/>
      <c r="H9" s="262"/>
      <c r="I9" s="263"/>
      <c r="J9" s="2029"/>
      <c r="K9" s="2028"/>
      <c r="L9" s="2028"/>
      <c r="M9" s="2028"/>
      <c r="N9" s="2028"/>
      <c r="O9" s="2028"/>
      <c r="P9" s="2028"/>
      <c r="Q9" s="2028"/>
      <c r="R9" s="2028"/>
      <c r="S9" s="2028"/>
      <c r="T9" s="2028"/>
      <c r="U9" s="2028"/>
      <c r="V9" s="2028"/>
    </row>
    <row r="10" spans="1:22" ht="14.25">
      <c r="A10" s="3310" t="s">
        <v>307</v>
      </c>
      <c r="B10" s="3336">
        <v>15</v>
      </c>
      <c r="C10" s="3334"/>
      <c r="D10" s="3338"/>
      <c r="E10" s="261" t="s">
        <v>308</v>
      </c>
      <c r="F10" s="262"/>
      <c r="G10" s="262"/>
      <c r="H10" s="262"/>
      <c r="I10" s="263"/>
      <c r="J10" s="2029"/>
      <c r="K10" s="2028"/>
      <c r="L10" s="2028"/>
      <c r="M10" s="2028"/>
      <c r="N10" s="2028"/>
      <c r="O10" s="2028"/>
      <c r="P10" s="2028"/>
      <c r="Q10" s="2028"/>
      <c r="R10" s="2028"/>
      <c r="S10" s="2028"/>
      <c r="T10" s="2028"/>
      <c r="U10" s="2028"/>
      <c r="V10" s="2028"/>
    </row>
    <row r="11" spans="1:22" ht="14.25">
      <c r="A11" s="3310"/>
      <c r="B11" s="3336"/>
      <c r="C11" s="3335"/>
      <c r="D11" s="3338"/>
      <c r="E11" s="261" t="s">
        <v>309</v>
      </c>
      <c r="F11" s="262"/>
      <c r="G11" s="262"/>
      <c r="H11" s="262"/>
      <c r="I11" s="263"/>
      <c r="J11" s="2029"/>
      <c r="K11" s="2028"/>
      <c r="L11" s="2028"/>
      <c r="M11" s="2028"/>
      <c r="N11" s="2028"/>
      <c r="O11" s="2028"/>
      <c r="P11" s="2028"/>
      <c r="Q11" s="2028"/>
      <c r="R11" s="2028"/>
      <c r="S11" s="2028"/>
      <c r="T11" s="2028"/>
      <c r="U11" s="2028"/>
      <c r="V11" s="2028"/>
    </row>
    <row r="12" spans="1:22" ht="14.25">
      <c r="A12" s="3310" t="s">
        <v>310</v>
      </c>
      <c r="B12" s="3336">
        <v>15</v>
      </c>
      <c r="C12" s="3334"/>
      <c r="D12" s="3338"/>
      <c r="E12" s="261" t="s">
        <v>311</v>
      </c>
      <c r="F12" s="262"/>
      <c r="G12" s="262"/>
      <c r="H12" s="262"/>
      <c r="I12" s="263"/>
      <c r="J12" s="2029"/>
      <c r="K12" s="2028"/>
      <c r="L12" s="2028"/>
      <c r="M12" s="2028"/>
      <c r="N12" s="2028"/>
      <c r="O12" s="2028"/>
      <c r="P12" s="2028"/>
      <c r="Q12" s="2028"/>
      <c r="R12" s="2028"/>
      <c r="S12" s="2028"/>
      <c r="T12" s="2028"/>
      <c r="U12" s="2028"/>
      <c r="V12" s="2028"/>
    </row>
    <row r="13" spans="1:22" ht="14.25">
      <c r="A13" s="3310"/>
      <c r="B13" s="3336"/>
      <c r="C13" s="3335"/>
      <c r="D13" s="3338"/>
      <c r="E13" s="261" t="s">
        <v>312</v>
      </c>
      <c r="F13" s="262"/>
      <c r="G13" s="262"/>
      <c r="H13" s="262"/>
      <c r="I13" s="263"/>
      <c r="J13" s="2029"/>
      <c r="K13" s="2028"/>
      <c r="L13" s="2028"/>
      <c r="M13" s="2028"/>
      <c r="N13" s="2028"/>
      <c r="O13" s="2028"/>
      <c r="P13" s="2028"/>
      <c r="Q13" s="2028"/>
      <c r="R13" s="2028"/>
      <c r="S13" s="2028"/>
      <c r="T13" s="2028"/>
      <c r="U13" s="2028"/>
      <c r="V13" s="2028"/>
    </row>
    <row r="14" spans="1:22" ht="14.25">
      <c r="A14" s="3310" t="s">
        <v>313</v>
      </c>
      <c r="B14" s="3336">
        <v>30</v>
      </c>
      <c r="C14" s="3334">
        <v>5</v>
      </c>
      <c r="D14" s="3338">
        <v>5</v>
      </c>
      <c r="E14" s="261" t="s">
        <v>314</v>
      </c>
      <c r="F14" s="262"/>
      <c r="G14" s="262"/>
      <c r="H14" s="262"/>
      <c r="I14" s="263"/>
      <c r="J14" s="2029"/>
      <c r="K14" s="2028"/>
      <c r="L14" s="2028"/>
      <c r="M14" s="2028"/>
      <c r="N14" s="2028"/>
      <c r="O14" s="2028"/>
      <c r="P14" s="2028"/>
      <c r="Q14" s="2028"/>
      <c r="R14" s="2028"/>
      <c r="S14" s="2028"/>
      <c r="T14" s="2028"/>
      <c r="U14" s="2028"/>
      <c r="V14" s="2028"/>
    </row>
    <row r="15" spans="1:22" ht="14.25">
      <c r="A15" s="3310"/>
      <c r="B15" s="3336"/>
      <c r="C15" s="3337"/>
      <c r="D15" s="3338"/>
      <c r="E15" s="261" t="s">
        <v>315</v>
      </c>
      <c r="F15" s="262"/>
      <c r="G15" s="262"/>
      <c r="H15" s="262"/>
      <c r="I15" s="263"/>
      <c r="J15" s="2029"/>
      <c r="K15" s="2028"/>
      <c r="L15" s="2028"/>
      <c r="M15" s="2028"/>
      <c r="N15" s="2028"/>
      <c r="O15" s="2028"/>
      <c r="P15" s="2028"/>
      <c r="Q15" s="2028"/>
      <c r="R15" s="2028"/>
      <c r="S15" s="2028"/>
      <c r="T15" s="2028"/>
      <c r="U15" s="2028"/>
      <c r="V15" s="2028"/>
    </row>
    <row r="16" spans="1:22" ht="14.25">
      <c r="A16" s="3310"/>
      <c r="B16" s="3336"/>
      <c r="C16" s="3335"/>
      <c r="D16" s="3338"/>
      <c r="E16" s="261" t="s">
        <v>316</v>
      </c>
      <c r="F16" s="262"/>
      <c r="G16" s="262"/>
      <c r="H16" s="262"/>
      <c r="I16" s="263"/>
      <c r="J16" s="2029"/>
      <c r="K16" s="2028"/>
      <c r="L16" s="2028"/>
      <c r="M16" s="2028"/>
      <c r="N16" s="2028"/>
      <c r="O16" s="2028"/>
      <c r="P16" s="2028"/>
      <c r="Q16" s="2028"/>
      <c r="R16" s="2028"/>
      <c r="S16" s="2028"/>
      <c r="T16" s="2028"/>
      <c r="U16" s="2028"/>
      <c r="V16" s="2028"/>
    </row>
    <row r="17" spans="1:26" ht="15">
      <c r="A17" s="264" t="s">
        <v>317</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318</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319</v>
      </c>
      <c r="B19" s="269" t="s">
        <v>320</v>
      </c>
      <c r="C19" s="270">
        <f ca="1">SUMIF(INDIRECT("'"&amp;C4&amp;"'"&amp;"!A:A"),结果表!B19,INDIRECT("'"&amp;C4&amp;"'"&amp;"!B:B"))</f>
        <v>177237</v>
      </c>
      <c r="D19" s="271">
        <f ca="1">SUMIF(INDIRECT("'"&amp;D4&amp;"'"&amp;"!A:A"),结果表!B19,INDIRECT("'"&amp;D4&amp;"'"&amp;"!B:B"))</f>
        <v>172130</v>
      </c>
      <c r="E19" s="268" t="s">
        <v>321</v>
      </c>
      <c r="F19" s="269" t="s">
        <v>320</v>
      </c>
      <c r="G19" s="272">
        <f ca="1">ROUND(C19*$C$18+D19*$D$18,0)</f>
        <v>174684</v>
      </c>
      <c r="H19" s="273" t="s">
        <v>322</v>
      </c>
      <c r="I19" s="311"/>
      <c r="J19" s="2028"/>
      <c r="K19" s="2028"/>
      <c r="L19" s="2028"/>
      <c r="M19" s="2028"/>
      <c r="N19" s="2028"/>
      <c r="O19" s="2028"/>
      <c r="P19" s="2028"/>
      <c r="Q19" s="2028"/>
      <c r="R19" s="2028"/>
      <c r="S19" s="2028"/>
      <c r="T19" s="2028"/>
      <c r="U19" s="2028"/>
      <c r="V19" s="2028"/>
    </row>
    <row r="20" spans="1:26" ht="15">
      <c r="A20" s="274"/>
      <c r="B20" s="275" t="s">
        <v>323</v>
      </c>
      <c r="C20" s="276">
        <f ca="1">SUMIF(INDIRECT("'"&amp;C4&amp;"'"&amp;"!A:A"),结果表!B20,INDIRECT("'"&amp;C4&amp;"'"&amp;"!B:B"))</f>
        <v>11075</v>
      </c>
      <c r="D20" s="277">
        <f ca="1">SUMIF(INDIRECT("'"&amp;D4&amp;"'"&amp;"!A:A"),结果表!B20,INDIRECT("'"&amp;D4&amp;"'"&amp;"!B:B"))</f>
        <v>10756</v>
      </c>
      <c r="E20" s="274"/>
      <c r="F20" s="275" t="s">
        <v>323</v>
      </c>
      <c r="G20" s="278">
        <f ca="1">ROUND(C20*$C$18+D20*$D$18,0)</f>
        <v>10916</v>
      </c>
      <c r="H20" s="279" t="s">
        <v>324</v>
      </c>
      <c r="I20" s="311"/>
      <c r="J20" s="2028"/>
      <c r="K20" s="2028"/>
      <c r="L20" s="2028"/>
      <c r="M20" s="2028"/>
      <c r="N20" s="2028"/>
      <c r="O20" s="2028"/>
      <c r="P20" s="2028"/>
      <c r="Q20" s="2028"/>
      <c r="R20" s="2028"/>
      <c r="S20" s="2028"/>
      <c r="T20" s="2028"/>
      <c r="U20" s="2028"/>
      <c r="V20" s="2028"/>
    </row>
    <row r="21" spans="1:26" ht="15" customHeight="1">
      <c r="A21" s="274"/>
      <c r="B21" s="280" t="s">
        <v>325</v>
      </c>
      <c r="C21" s="281">
        <f ca="1">SUMIF(INDIRECT("'"&amp;C4&amp;"'"&amp;"!A:A"),结果表!B21,INDIRECT("'"&amp;C4&amp;"'"&amp;"!B:B"))</f>
        <v>34493</v>
      </c>
      <c r="D21" s="151">
        <f ca="1">SUMIF(INDIRECT("'"&amp;D4&amp;"'"&amp;"!A:A"),结果表!B21,INDIRECT("'"&amp;D4&amp;"'"&amp;"!B:B"))</f>
        <v>33499</v>
      </c>
      <c r="E21" s="274"/>
      <c r="F21" s="280" t="s">
        <v>325</v>
      </c>
      <c r="G21" s="282">
        <f ca="1">ROUND(C21*$C$18+D21*$D$18,0)</f>
        <v>33996</v>
      </c>
      <c r="H21" s="1251" t="s">
        <v>324</v>
      </c>
      <c r="I21" s="311"/>
      <c r="J21" s="2028"/>
      <c r="K21" s="2028"/>
      <c r="L21" s="2028"/>
      <c r="M21" s="2028"/>
      <c r="N21" s="2028"/>
      <c r="O21" s="2028"/>
      <c r="P21" s="2028"/>
      <c r="Q21" s="2028"/>
      <c r="R21" s="2028"/>
      <c r="S21" s="2028"/>
      <c r="T21" s="2028"/>
      <c r="U21" s="2028"/>
      <c r="V21" s="2028"/>
    </row>
    <row r="22" spans="1:26" ht="15.75" thickBot="1">
      <c r="A22" s="126" t="s">
        <v>326</v>
      </c>
      <c r="B22" s="1252"/>
      <c r="C22" s="1253"/>
      <c r="D22" s="283">
        <f ca="1">IF(C19&lt;D19,D19/C19-1,C19/D19-1)</f>
        <v>2.9669435891477303E-2</v>
      </c>
      <c r="E22" s="284"/>
      <c r="F22" s="285"/>
      <c r="G22" s="286">
        <f ca="1">ROUND(G19/('数据-汇总表'!D3/666.67),0)</f>
        <v>2266</v>
      </c>
      <c r="H22" s="287" t="s">
        <v>327</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328</v>
      </c>
      <c r="B24" s="269" t="s">
        <v>320</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17"/>
      <c r="B25" s="1321" t="s">
        <v>329</v>
      </c>
      <c r="C25" s="290">
        <f>IF(B30=0,0,C30)</f>
        <v>0</v>
      </c>
      <c r="D25" s="291"/>
      <c r="E25" s="311"/>
      <c r="F25" s="311"/>
      <c r="G25" s="311"/>
      <c r="H25" s="311"/>
      <c r="I25" s="311"/>
      <c r="J25" s="2028"/>
      <c r="K25" s="1255" t="str">
        <f ca="1">项目基本情况!B16&amp;"国有建设用地使用权价格："&amp;O38&amp;"万元"</f>
        <v>出让国有建设用地使用权价格：174684万元</v>
      </c>
      <c r="L25" s="1256"/>
      <c r="M25" s="1256"/>
      <c r="N25" s="1256"/>
      <c r="O25" s="1257"/>
      <c r="P25" s="2028"/>
      <c r="Q25" s="2028"/>
      <c r="R25" s="2028"/>
      <c r="S25" s="2028"/>
      <c r="T25" s="2028"/>
      <c r="U25" s="2028"/>
      <c r="V25" s="2028"/>
    </row>
    <row r="26" spans="1:26" s="1254" customFormat="1" ht="18">
      <c r="A26" s="293" t="s">
        <v>330</v>
      </c>
      <c r="B26" s="294" t="s">
        <v>331</v>
      </c>
      <c r="C26" s="294" t="s">
        <v>332</v>
      </c>
      <c r="D26" s="295" t="s">
        <v>333</v>
      </c>
      <c r="E26" s="311"/>
      <c r="F26" s="311"/>
      <c r="G26" s="311"/>
      <c r="H26" s="311"/>
      <c r="I26" s="311"/>
      <c r="J26" s="2028"/>
      <c r="K26" s="1258" t="str">
        <f ca="1">"大写金额：人民币"&amp;NUMBERSTRING(INT(O38*10000),2)&amp;"元整"</f>
        <v>大写金额：人民币壹拾柒亿肆仟陆佰捌拾肆万元整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单位面积地价：33996元/平方米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楼面地价：10916元/平方米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抵押价格：174684万元</v>
      </c>
      <c r="L29" s="1252"/>
      <c r="M29" s="1252"/>
      <c r="N29" s="1252"/>
      <c r="O29" s="1251"/>
      <c r="P29" s="2028"/>
      <c r="V29" s="2028"/>
    </row>
    <row r="30" spans="1:26" ht="18.75" thickBot="1">
      <c r="A30" s="3126" t="s">
        <v>334</v>
      </c>
      <c r="B30" s="309"/>
      <c r="C30" s="309"/>
      <c r="D30" s="310"/>
      <c r="E30" s="3127" t="s">
        <v>2957</v>
      </c>
      <c r="F30" s="311"/>
      <c r="G30" s="311"/>
      <c r="H30" s="311"/>
      <c r="I30" s="311"/>
      <c r="J30" s="2028"/>
      <c r="K30" s="1258" t="str">
        <f ca="1">IF(K29="——","——","大写金额：人民币"&amp;NUMBERSTRING(INT(O39*10000),2)&amp;"元整")</f>
        <v>大写金额：人民币壹拾柒亿肆仟陆佰捌拾肆万元整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335</v>
      </c>
      <c r="B32" s="1381" t="s">
        <v>1687</v>
      </c>
      <c r="C32" s="1382">
        <f ca="1">G19-C24</f>
        <v>174684</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338</v>
      </c>
      <c r="B33" s="1384" t="s">
        <v>1689</v>
      </c>
      <c r="C33" s="264">
        <f ca="1">ROUND(C32*10000/'数据-汇总表'!E3,0)</f>
        <v>10916</v>
      </c>
      <c r="D33" s="1385" t="s">
        <v>1690</v>
      </c>
      <c r="E33" s="3316" t="s">
        <v>336</v>
      </c>
      <c r="F33" s="296" t="s">
        <v>337</v>
      </c>
      <c r="G33" s="297"/>
      <c r="H33" s="980"/>
      <c r="I33" s="1259"/>
      <c r="J33" s="2028"/>
      <c r="K33" s="1258" t="str">
        <f ca="1">IF(项目基本情况!E9="——","——","抵押净值："&amp;C46&amp;"万元")</f>
        <v>抵押净值：95870万元</v>
      </c>
      <c r="L33" s="1252"/>
      <c r="M33" s="1252"/>
      <c r="N33" s="1252"/>
      <c r="O33" s="1251"/>
      <c r="P33" s="2028"/>
      <c r="V33" s="2028"/>
    </row>
    <row r="34" spans="1:26" s="1254" customFormat="1" ht="18.75" thickBot="1">
      <c r="A34" s="300"/>
      <c r="B34" s="1386" t="s">
        <v>1691</v>
      </c>
      <c r="C34" s="264">
        <f ca="1">ROUND(C32*10000/'数据-汇总表'!D3,0)</f>
        <v>33996</v>
      </c>
      <c r="D34" s="1387" t="s">
        <v>1690</v>
      </c>
      <c r="E34" s="3357"/>
      <c r="F34" s="127" t="s">
        <v>339</v>
      </c>
      <c r="G34" s="299"/>
      <c r="H34" s="105"/>
      <c r="I34" s="311"/>
      <c r="J34" s="2028"/>
      <c r="K34" s="1261" t="str">
        <f ca="1">IF(K33="——","——","大写金额：人民币"&amp;NUMBERSTRING(INT(O41*10000),2)&amp;"元整")</f>
        <v>大写金额：人民币玖亿伍仟捌佰柒拾万元整</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2266</v>
      </c>
      <c r="D35" s="1390" t="s">
        <v>1692</v>
      </c>
      <c r="E35" s="3358"/>
      <c r="F35" s="301" t="s">
        <v>340</v>
      </c>
      <c r="G35" s="982"/>
      <c r="H35" s="981" t="s">
        <v>341</v>
      </c>
      <c r="I35" s="311"/>
      <c r="J35" s="2028"/>
      <c r="K35" s="3331" t="s">
        <v>348</v>
      </c>
      <c r="L35" s="3331" t="s">
        <v>349</v>
      </c>
      <c r="M35" s="1264" t="s">
        <v>350</v>
      </c>
      <c r="N35" s="3331" t="s">
        <v>351</v>
      </c>
      <c r="O35" s="3331" t="s">
        <v>352</v>
      </c>
      <c r="P35" s="2028"/>
      <c r="V35" s="2028"/>
    </row>
    <row r="36" spans="1:26" ht="16.5" customHeight="1">
      <c r="A36" s="303" t="s">
        <v>342</v>
      </c>
      <c r="B36" s="304" t="s">
        <v>331</v>
      </c>
      <c r="C36" s="305" t="s">
        <v>343</v>
      </c>
      <c r="D36" s="305" t="s">
        <v>344</v>
      </c>
      <c r="E36" s="306" t="s">
        <v>345</v>
      </c>
      <c r="F36" s="311"/>
      <c r="G36" s="311"/>
      <c r="H36" s="311"/>
      <c r="I36" s="311"/>
      <c r="J36" s="2030"/>
      <c r="K36" s="3332"/>
      <c r="L36" s="3332"/>
      <c r="M36" s="1266" t="s">
        <v>353</v>
      </c>
      <c r="N36" s="3332"/>
      <c r="O36" s="3332"/>
      <c r="P36" s="2028"/>
      <c r="V36" s="2028"/>
    </row>
    <row r="37" spans="1:26" ht="16.5" customHeight="1" thickBot="1">
      <c r="A37" s="1260" t="s">
        <v>346</v>
      </c>
      <c r="B37" s="307"/>
      <c r="C37" s="294"/>
      <c r="D37" s="294"/>
      <c r="E37" s="295"/>
      <c r="F37" s="311"/>
      <c r="G37" s="311"/>
      <c r="H37" s="311"/>
      <c r="I37" s="311"/>
      <c r="J37" s="2030"/>
      <c r="K37" s="3333"/>
      <c r="L37" s="3333"/>
      <c r="M37" s="1267"/>
      <c r="N37" s="3333"/>
      <c r="O37" s="3333"/>
      <c r="P37" s="2028"/>
      <c r="V37" s="2028"/>
    </row>
    <row r="38" spans="1:26" ht="16.5" customHeight="1" thickBot="1">
      <c r="A38" s="1260" t="s">
        <v>347</v>
      </c>
      <c r="B38" s="307"/>
      <c r="C38" s="294"/>
      <c r="D38" s="294"/>
      <c r="E38" s="295"/>
      <c r="F38" s="311"/>
      <c r="G38" s="311"/>
      <c r="H38" s="311"/>
      <c r="I38" s="311"/>
      <c r="J38" s="2030"/>
      <c r="K38" s="1268">
        <f>'数据-汇总表'!D3</f>
        <v>51383.96</v>
      </c>
      <c r="L38" s="1269">
        <f>'数据-汇总表'!E3</f>
        <v>160029.13999999998</v>
      </c>
      <c r="M38" s="1269">
        <f ca="1">C34</f>
        <v>33996</v>
      </c>
      <c r="N38" s="1269">
        <f ca="1">C33</f>
        <v>10916</v>
      </c>
      <c r="O38" s="1270">
        <f ca="1">C32</f>
        <v>174684</v>
      </c>
      <c r="P38" s="2028"/>
      <c r="V38" s="2028"/>
    </row>
    <row r="39" spans="1:26" ht="16.5" customHeight="1" thickBot="1">
      <c r="A39" s="1265"/>
      <c r="B39" s="308"/>
      <c r="C39" s="309"/>
      <c r="D39" s="309"/>
      <c r="E39" s="310"/>
      <c r="F39" s="311"/>
      <c r="G39" s="311"/>
      <c r="H39" s="311"/>
      <c r="I39" s="311"/>
      <c r="J39" s="2030"/>
      <c r="K39" s="3376" t="str">
        <f>MID(A44,3,LEN(A44)-2)</f>
        <v>抵押价格</v>
      </c>
      <c r="L39" s="3377"/>
      <c r="M39" s="3377"/>
      <c r="N39" s="3378"/>
      <c r="O39" s="1392">
        <f ca="1">C44</f>
        <v>174684</v>
      </c>
      <c r="P39" s="2028"/>
      <c r="V39" s="2028"/>
    </row>
    <row r="40" spans="1:26" ht="19.5" thickBot="1">
      <c r="A40" s="104" t="s">
        <v>871</v>
      </c>
      <c r="B40" s="311"/>
      <c r="C40" s="311"/>
      <c r="D40" s="311"/>
      <c r="E40" s="311"/>
      <c r="F40" s="311"/>
      <c r="G40" s="311"/>
      <c r="H40" s="311"/>
      <c r="I40" s="311"/>
      <c r="J40" s="2030"/>
      <c r="K40" s="3376" t="str">
        <f t="shared" ref="K40:K41" si="0">MID(A45,3,LEN(A45)-2)</f>
        <v/>
      </c>
      <c r="L40" s="3377"/>
      <c r="M40" s="3377"/>
      <c r="N40" s="3378"/>
      <c r="O40" s="1392" t="str">
        <f>C45</f>
        <v>——</v>
      </c>
      <c r="P40" s="2028"/>
      <c r="V40" s="2028"/>
    </row>
    <row r="41" spans="1:26" ht="16.5" thickBot="1">
      <c r="A41" s="312" t="s">
        <v>354</v>
      </c>
      <c r="B41" s="313"/>
      <c r="C41" s="314" t="s">
        <v>355</v>
      </c>
      <c r="D41" s="315" t="s">
        <v>356</v>
      </c>
      <c r="E41" s="315" t="s">
        <v>357</v>
      </c>
      <c r="F41" s="316" t="s">
        <v>358</v>
      </c>
      <c r="G41" s="311"/>
      <c r="H41" s="311"/>
      <c r="I41" s="311"/>
      <c r="J41" s="2030"/>
      <c r="K41" s="3376" t="str">
        <f t="shared" si="0"/>
        <v>抵押净值</v>
      </c>
      <c r="L41" s="3377"/>
      <c r="M41" s="3377"/>
      <c r="N41" s="3378"/>
      <c r="O41" s="1392">
        <f ca="1">C46</f>
        <v>95870</v>
      </c>
      <c r="P41" s="2028"/>
      <c r="V41" s="2028"/>
    </row>
    <row r="42" spans="1:26" ht="29.25">
      <c r="A42" s="3318" t="s">
        <v>2066</v>
      </c>
      <c r="B42" s="3319"/>
      <c r="C42" s="264">
        <f ca="1">C32</f>
        <v>174684</v>
      </c>
      <c r="D42" s="317">
        <f ca="1">C33</f>
        <v>10916</v>
      </c>
      <c r="E42" s="317">
        <f ca="1">C34</f>
        <v>33996</v>
      </c>
      <c r="F42" s="318">
        <f ca="1">C35</f>
        <v>2266</v>
      </c>
      <c r="G42" s="311"/>
      <c r="H42" s="311"/>
      <c r="I42" s="319"/>
      <c r="J42" s="2030"/>
      <c r="K42" s="1271" t="s">
        <v>359</v>
      </c>
      <c r="L42" s="2047" t="s">
        <v>360</v>
      </c>
      <c r="M42" s="1272" t="s">
        <v>361</v>
      </c>
      <c r="N42" s="2048" t="s">
        <v>362</v>
      </c>
      <c r="O42" s="2049" t="s">
        <v>363</v>
      </c>
      <c r="P42" s="2028"/>
      <c r="V42" s="2028"/>
    </row>
    <row r="43" spans="1:26" ht="30">
      <c r="A43" s="3329" t="s">
        <v>2724</v>
      </c>
      <c r="B43" s="3330"/>
      <c r="C43" s="264">
        <f>IF(H33="正常操作",G33+G34+G35,G34+G35)</f>
        <v>0</v>
      </c>
      <c r="D43" s="317" t="s">
        <v>43</v>
      </c>
      <c r="E43" s="317" t="s">
        <v>44</v>
      </c>
      <c r="F43" s="318" t="s">
        <v>44</v>
      </c>
      <c r="G43" s="2866" t="s">
        <v>950</v>
      </c>
      <c r="H43" s="311"/>
      <c r="I43" s="319"/>
      <c r="J43" s="2030"/>
      <c r="K43" s="1273" t="str">
        <f>C4</f>
        <v>比较法-住宅、综合</v>
      </c>
      <c r="L43" s="1274">
        <f ca="1">IF(L42="估价结果/万元",C19,C20)</f>
        <v>177237</v>
      </c>
      <c r="M43" s="1275">
        <f>C18</f>
        <v>0.5</v>
      </c>
      <c r="N43" s="1276">
        <f ca="1">IF(N42="测算结果/万元",G19,G20)</f>
        <v>174684</v>
      </c>
      <c r="O43" s="1277">
        <f ca="1">IF(O42="最终结果/万元",C32,C33)</f>
        <v>174684</v>
      </c>
      <c r="P43" s="2028"/>
      <c r="V43" s="2028"/>
    </row>
    <row r="44" spans="1:26" ht="30.75" thickBot="1">
      <c r="A44" s="3318" t="str">
        <f>IF(OR(项目基本情况!E8="抵押价格",项目基本情况!E8="已注销及未注销"),"3.抵押价格","——")</f>
        <v>3.抵押价格</v>
      </c>
      <c r="B44" s="3319"/>
      <c r="C44" s="264">
        <f ca="1">IF(A44="——","——",C42-C43)</f>
        <v>174684</v>
      </c>
      <c r="D44" s="317">
        <f ca="1">ROUND(C44*10000/'数据-汇总表'!E3,0)</f>
        <v>10916</v>
      </c>
      <c r="E44" s="317">
        <f ca="1">ROUND(C44*10000/'数据-汇总表'!D3,0)</f>
        <v>33996</v>
      </c>
      <c r="F44" s="318">
        <f ca="1">ROUND(C44/('数据-汇总表'!D3/666.67),0)</f>
        <v>2266</v>
      </c>
      <c r="G44" s="311"/>
      <c r="H44" s="311"/>
      <c r="I44" s="319"/>
      <c r="J44" s="2030"/>
      <c r="K44" s="1278" t="str">
        <f>D4</f>
        <v>剩余法-待开发</v>
      </c>
      <c r="L44" s="1279">
        <f ca="1">IF(L42="估价结果/万元",D19,D20)</f>
        <v>172130</v>
      </c>
      <c r="M44" s="1280">
        <f>D18</f>
        <v>0.5</v>
      </c>
      <c r="N44" s="1281"/>
      <c r="O44" s="1282"/>
      <c r="P44" s="2028"/>
      <c r="V44" s="2028"/>
    </row>
    <row r="45" spans="1:26" ht="15">
      <c r="A45" s="3324" t="str">
        <f>IF(项目基本情况!E8="已注销及未注销","4.抵押担保权已注销时的抵押价格",IF(项目基本情况!E8="已注销","3.抵押担保权已注销时的抵押价格","——"))</f>
        <v>——</v>
      </c>
      <c r="B45" s="332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0" t="str">
        <f>IF(项目基本情况!E9="抵押净值",IF(A45="——","4.抵押净值","5.抵押净值"),"——")</f>
        <v>4.抵押净值</v>
      </c>
      <c r="B46" s="3321"/>
      <c r="C46" s="320">
        <f ca="1">IF(A46="——","——",O79)</f>
        <v>95870</v>
      </c>
      <c r="D46" s="317">
        <f ca="1">ROUND(C46*10000/'数据-汇总表'!E3,0)</f>
        <v>5991</v>
      </c>
      <c r="E46" s="317">
        <f ca="1">ROUND(C46*10000/'数据-汇总表'!D3,0)</f>
        <v>18658</v>
      </c>
      <c r="F46" s="318">
        <f ca="1">ROUND(C46/('数据-汇总表'!D3/666.67),0)</f>
        <v>1244</v>
      </c>
      <c r="G46" s="311"/>
      <c r="H46" s="311"/>
      <c r="I46" s="319"/>
      <c r="J46" s="2030"/>
      <c r="K46" s="2028"/>
      <c r="L46" s="2028"/>
      <c r="M46" s="2028"/>
      <c r="N46" s="2028"/>
      <c r="O46" s="2028"/>
      <c r="P46" s="2028"/>
      <c r="Q46" s="2028"/>
      <c r="R46" s="2028"/>
      <c r="S46" s="2028"/>
      <c r="T46" s="2028"/>
      <c r="U46" s="2028"/>
      <c r="V46" s="2028"/>
    </row>
    <row r="47" spans="1:26" ht="15.75">
      <c r="A47" s="321" t="s">
        <v>364</v>
      </c>
      <c r="B47" s="1283"/>
      <c r="C47" s="322" t="s">
        <v>365</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17">
        <f ca="1">C46*10000</f>
        <v>958700000</v>
      </c>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366</v>
      </c>
      <c r="G53" s="337"/>
      <c r="H53" s="337"/>
      <c r="I53" s="338" t="s">
        <v>367</v>
      </c>
      <c r="J53" s="2031"/>
      <c r="K53" s="2028"/>
      <c r="L53" s="2028"/>
      <c r="M53" s="2028"/>
      <c r="N53" s="2028"/>
      <c r="O53" s="2028"/>
      <c r="P53" s="2028"/>
      <c r="Q53" s="2028"/>
      <c r="R53" s="2028"/>
      <c r="S53" s="2028"/>
      <c r="T53" s="2028"/>
      <c r="U53" s="2028"/>
      <c r="V53" s="2028"/>
    </row>
    <row r="54" spans="1:22" ht="12.75">
      <c r="A54" s="257"/>
      <c r="B54" s="339" t="s">
        <v>368</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369</v>
      </c>
      <c r="J56" s="2031"/>
      <c r="K56" s="2028"/>
      <c r="L56" s="2028"/>
      <c r="M56" s="2028"/>
      <c r="N56" s="2028"/>
      <c r="O56" s="2028"/>
      <c r="P56" s="2028"/>
      <c r="Q56" s="2028"/>
      <c r="R56" s="2028"/>
      <c r="S56" s="2028"/>
      <c r="T56" s="2028"/>
      <c r="U56" s="2028"/>
      <c r="V56" s="2028"/>
    </row>
    <row r="57" spans="1:22" ht="12.75">
      <c r="A57" s="257"/>
      <c r="B57" s="339" t="s">
        <v>370</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369</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371</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5" t="s">
        <v>372</v>
      </c>
      <c r="B63" s="3366"/>
      <c r="C63" s="3367"/>
      <c r="D63" s="341">
        <f ca="1">ROUND(C42*F63,0)</f>
        <v>139747</v>
      </c>
      <c r="E63" s="302" t="s">
        <v>373</v>
      </c>
      <c r="F63" s="342">
        <v>0.8</v>
      </c>
      <c r="G63" s="343" t="s">
        <v>374</v>
      </c>
      <c r="H63" s="311"/>
      <c r="I63" s="311"/>
      <c r="J63" s="2028"/>
      <c r="K63" s="2028"/>
      <c r="L63" s="2028"/>
      <c r="M63" s="2028"/>
      <c r="N63" s="2028"/>
      <c r="O63" s="2028"/>
      <c r="P63" s="311"/>
      <c r="Q63" s="2028"/>
      <c r="R63" s="2028"/>
      <c r="S63" s="2028"/>
      <c r="T63" s="2028"/>
      <c r="U63" s="2028"/>
      <c r="V63" s="2028"/>
    </row>
    <row r="64" spans="1:22" ht="14.25" customHeight="1">
      <c r="A64" s="3326" t="s">
        <v>376</v>
      </c>
      <c r="B64" s="3327"/>
      <c r="C64" s="3327"/>
      <c r="D64" s="3327"/>
      <c r="E64" s="3327"/>
      <c r="F64" s="3327"/>
      <c r="G64" s="3328"/>
      <c r="H64" s="1288"/>
      <c r="I64" s="948"/>
      <c r="J64" s="1990"/>
      <c r="K64" s="1561" t="s">
        <v>375</v>
      </c>
      <c r="L64" s="11"/>
      <c r="M64" s="11"/>
      <c r="N64" s="11"/>
      <c r="O64" s="11"/>
      <c r="P64" s="311"/>
      <c r="Q64" s="2028"/>
      <c r="R64" s="2028"/>
      <c r="S64" s="2028"/>
      <c r="T64" s="2028"/>
      <c r="U64" s="2028"/>
      <c r="V64" s="2028"/>
    </row>
    <row r="65" spans="1:22" ht="12" customHeight="1">
      <c r="A65" s="344" t="s">
        <v>378</v>
      </c>
      <c r="B65" s="345"/>
      <c r="C65" s="346"/>
      <c r="D65" s="347" t="s">
        <v>379</v>
      </c>
      <c r="E65" s="53" t="s">
        <v>380</v>
      </c>
      <c r="F65" s="348" t="s">
        <v>381</v>
      </c>
      <c r="G65" s="349" t="s">
        <v>382</v>
      </c>
      <c r="H65" s="1288"/>
      <c r="I65" s="948"/>
      <c r="J65" s="1990"/>
      <c r="K65" s="1289"/>
      <c r="L65" s="1290"/>
      <c r="M65" s="1290"/>
      <c r="N65" s="1322" t="s">
        <v>377</v>
      </c>
      <c r="O65" s="1323"/>
      <c r="P65" s="1324"/>
      <c r="Q65" s="2028"/>
      <c r="R65" s="2028"/>
      <c r="S65" s="2028"/>
      <c r="T65" s="2028"/>
      <c r="U65" s="2028"/>
      <c r="V65" s="2028"/>
    </row>
    <row r="66" spans="1:22" ht="25.5">
      <c r="A66" s="3322" t="s">
        <v>384</v>
      </c>
      <c r="B66" s="3323"/>
      <c r="C66" s="3323"/>
      <c r="D66" s="261">
        <f ca="1">IF(H66="情况1",0,IF(H66="情况2",D70,IF(H66="情况3",D71,IF(H66="情况4",D72))))</f>
        <v>8784</v>
      </c>
      <c r="E66" s="993" t="str">
        <f>IF(H66="情况4","(销售额-原购置价)×税（费）率","销售额×税（费）率")</f>
        <v>销售额×税（费）率</v>
      </c>
      <c r="F66" s="350">
        <f>IF(H66="情况1","免征",'数据-取费表'!B41)</f>
        <v>6.6000000000000003E-2</v>
      </c>
      <c r="G66" s="351" t="s">
        <v>385</v>
      </c>
      <c r="H66" s="191" t="s">
        <v>386</v>
      </c>
      <c r="I66" s="1288"/>
      <c r="J66" s="2034"/>
      <c r="K66" s="1291">
        <v>1</v>
      </c>
      <c r="L66" s="3380" t="s">
        <v>383</v>
      </c>
      <c r="M66" s="3381"/>
      <c r="N66" s="2458"/>
      <c r="O66" s="2459"/>
      <c r="P66" s="2460"/>
      <c r="Q66" s="2028"/>
      <c r="R66" s="2028"/>
      <c r="S66" s="2028"/>
      <c r="T66" s="2028"/>
      <c r="U66" s="2028"/>
      <c r="V66" s="2028"/>
    </row>
    <row r="67" spans="1:22" ht="25.5" customHeight="1">
      <c r="A67" s="352" t="s">
        <v>388</v>
      </c>
      <c r="B67" s="3313" t="s">
        <v>389</v>
      </c>
      <c r="C67" s="3313"/>
      <c r="D67" s="353">
        <v>0</v>
      </c>
      <c r="E67" s="41" t="s">
        <v>390</v>
      </c>
      <c r="F67" s="62" t="s">
        <v>21</v>
      </c>
      <c r="G67" s="3368"/>
      <c r="H67" s="311"/>
      <c r="I67" s="1292"/>
      <c r="J67" s="2035"/>
      <c r="K67" s="1976">
        <v>2</v>
      </c>
      <c r="L67" s="3379" t="s">
        <v>387</v>
      </c>
      <c r="M67" s="3379"/>
      <c r="N67" s="1325">
        <f>'数据-取费表'!B2</f>
        <v>43325</v>
      </c>
      <c r="O67" s="1325"/>
      <c r="P67" s="1325"/>
      <c r="Q67" s="2028"/>
      <c r="R67" s="2028"/>
      <c r="S67" s="2028"/>
      <c r="T67" s="2028"/>
      <c r="U67" s="2028"/>
      <c r="V67" s="2028"/>
    </row>
    <row r="68" spans="1:22" ht="25.5" customHeight="1">
      <c r="A68" s="354"/>
      <c r="B68" s="3313" t="s">
        <v>392</v>
      </c>
      <c r="C68" s="3313"/>
      <c r="D68" s="355"/>
      <c r="E68" s="77"/>
      <c r="F68" s="356"/>
      <c r="G68" s="3369"/>
      <c r="H68" s="311"/>
      <c r="I68" s="1292"/>
      <c r="J68" s="2035"/>
      <c r="K68" s="1976">
        <v>3</v>
      </c>
      <c r="L68" s="3379" t="s">
        <v>391</v>
      </c>
      <c r="M68" s="3379"/>
      <c r="N68" s="1293">
        <f ca="1">C42</f>
        <v>174684</v>
      </c>
      <c r="O68" s="1293"/>
      <c r="P68" s="1293"/>
      <c r="Q68" s="2028"/>
      <c r="R68" s="2028"/>
      <c r="S68" s="2028"/>
      <c r="T68" s="2028"/>
      <c r="U68" s="2028"/>
      <c r="V68" s="2028"/>
    </row>
    <row r="69" spans="1:22" ht="12" customHeight="1">
      <c r="A69" s="357"/>
      <c r="B69" s="3313" t="s">
        <v>393</v>
      </c>
      <c r="C69" s="3313"/>
      <c r="D69" s="358"/>
      <c r="E69" s="73"/>
      <c r="F69" s="356"/>
      <c r="G69" s="3370"/>
      <c r="H69" s="311"/>
      <c r="I69" s="1292"/>
      <c r="J69" s="2035"/>
      <c r="K69" s="1294">
        <v>4</v>
      </c>
      <c r="L69" s="3384" t="s">
        <v>2877</v>
      </c>
      <c r="M69" s="3385"/>
      <c r="N69" s="1295">
        <f ca="1">C44</f>
        <v>174684</v>
      </c>
      <c r="O69" s="1295"/>
      <c r="P69" s="1295"/>
      <c r="Q69" s="2028"/>
      <c r="R69" s="2028"/>
      <c r="S69" s="2028"/>
      <c r="T69" s="2028"/>
      <c r="U69" s="2028"/>
      <c r="V69" s="2028"/>
    </row>
    <row r="70" spans="1:22" ht="24" customHeight="1">
      <c r="A70" s="359" t="s">
        <v>394</v>
      </c>
      <c r="B70" s="3313" t="s">
        <v>395</v>
      </c>
      <c r="C70" s="3313"/>
      <c r="D70" s="358">
        <f ca="1">ROUND(D63*'数据-取费表'!B41/(1+'数据-取费表'!C42),0)</f>
        <v>8784</v>
      </c>
      <c r="E70" s="17" t="s">
        <v>396</v>
      </c>
      <c r="F70" s="360">
        <f>'数据-取费表'!B41</f>
        <v>6.6000000000000003E-2</v>
      </c>
      <c r="G70" s="361"/>
      <c r="H70" s="311"/>
      <c r="I70" s="1292"/>
      <c r="J70" s="2035"/>
      <c r="K70" s="3060"/>
      <c r="L70" s="3061"/>
      <c r="M70" s="3061"/>
      <c r="N70" s="3062" t="s">
        <v>2881</v>
      </c>
      <c r="O70" s="3061"/>
      <c r="P70" s="3063"/>
      <c r="Q70" s="2028"/>
      <c r="R70" s="2028"/>
      <c r="S70" s="2028"/>
      <c r="T70" s="2028"/>
      <c r="U70" s="2028"/>
      <c r="V70" s="2028"/>
    </row>
    <row r="71" spans="1:22" ht="12" customHeight="1">
      <c r="A71" s="359" t="s">
        <v>402</v>
      </c>
      <c r="B71" s="3314" t="s">
        <v>403</v>
      </c>
      <c r="C71" s="3315"/>
      <c r="D71" s="358">
        <f ca="1">ROUND(D63*'数据-取费表'!B41/(1+'数据-取费表'!C42),0)</f>
        <v>8784</v>
      </c>
      <c r="E71" s="17" t="s">
        <v>396</v>
      </c>
      <c r="F71" s="360">
        <f>'数据-取费表'!B41</f>
        <v>6.6000000000000003E-2</v>
      </c>
      <c r="G71" s="361"/>
      <c r="H71" s="311"/>
      <c r="I71" s="1292"/>
      <c r="J71" s="2035"/>
      <c r="K71" s="3059" t="s">
        <v>397</v>
      </c>
      <c r="L71" s="3386" t="s">
        <v>398</v>
      </c>
      <c r="M71" s="3386"/>
      <c r="N71" s="3059" t="s">
        <v>399</v>
      </c>
      <c r="O71" s="3059" t="s">
        <v>400</v>
      </c>
      <c r="P71" s="3059" t="s">
        <v>401</v>
      </c>
      <c r="Q71" s="2028"/>
      <c r="R71" s="2028"/>
      <c r="S71" s="2028"/>
      <c r="T71" s="2028"/>
      <c r="U71" s="2028"/>
      <c r="V71" s="2028"/>
    </row>
    <row r="72" spans="1:22" ht="12" customHeight="1">
      <c r="A72" s="359" t="s">
        <v>405</v>
      </c>
      <c r="B72" s="3314" t="s">
        <v>406</v>
      </c>
      <c r="C72" s="3315"/>
      <c r="D72" s="358">
        <f ca="1">C86</f>
        <v>8652</v>
      </c>
      <c r="E72" s="73" t="s">
        <v>407</v>
      </c>
      <c r="F72" s="360">
        <f>'数据-取费表'!B41</f>
        <v>6.6000000000000003E-2</v>
      </c>
      <c r="G72" s="361"/>
      <c r="H72" s="1298"/>
      <c r="I72" s="1292"/>
      <c r="J72" s="2035"/>
      <c r="K72" s="1976">
        <v>1</v>
      </c>
      <c r="L72" s="3361" t="s">
        <v>404</v>
      </c>
      <c r="M72" s="3361"/>
      <c r="N72" s="1296">
        <f ca="1">D66</f>
        <v>8784</v>
      </c>
      <c r="O72" s="1859" t="str">
        <f>E66</f>
        <v>销售额×税（费）率</v>
      </c>
      <c r="P72" s="1297">
        <f>F66</f>
        <v>6.6000000000000003E-2</v>
      </c>
      <c r="Q72" s="2028"/>
      <c r="R72" s="2028"/>
      <c r="S72" s="2028"/>
      <c r="T72" s="2028"/>
      <c r="U72" s="2028"/>
      <c r="V72" s="2028"/>
    </row>
    <row r="73" spans="1:22" ht="24" customHeight="1">
      <c r="A73" s="3355" t="s">
        <v>409</v>
      </c>
      <c r="B73" s="3323"/>
      <c r="C73" s="3323"/>
      <c r="D73" s="362">
        <f ca="1">IF(H73="个人住宅",0,ROUND(D63*I73,0))</f>
        <v>70</v>
      </c>
      <c r="E73" s="17" t="s">
        <v>410</v>
      </c>
      <c r="F73" s="360">
        <f>IF(H73="正常",I73,"免征")</f>
        <v>5.0000000000000001E-4</v>
      </c>
      <c r="G73" s="361"/>
      <c r="H73" s="191" t="s">
        <v>3404</v>
      </c>
      <c r="I73" s="360">
        <f>'数据-取费表'!B49</f>
        <v>5.0000000000000001E-4</v>
      </c>
      <c r="J73" s="2035"/>
      <c r="K73" s="1976">
        <v>2</v>
      </c>
      <c r="L73" s="3361" t="s">
        <v>408</v>
      </c>
      <c r="M73" s="3361"/>
      <c r="N73" s="1296">
        <f t="shared" ref="N73:P74" ca="1" si="1">D73</f>
        <v>70</v>
      </c>
      <c r="O73" s="1859" t="str">
        <f t="shared" si="1"/>
        <v>销售额×税（费）率</v>
      </c>
      <c r="P73" s="1297">
        <f t="shared" si="1"/>
        <v>5.0000000000000001E-4</v>
      </c>
      <c r="Q73" s="2028"/>
      <c r="R73" s="2028"/>
      <c r="S73" s="2028"/>
      <c r="T73" s="2028"/>
      <c r="U73" s="2028"/>
      <c r="V73" s="2028"/>
    </row>
    <row r="74" spans="1:22" ht="24.75">
      <c r="A74" s="3355" t="s">
        <v>413</v>
      </c>
      <c r="B74" s="3323"/>
      <c r="C74" s="3323"/>
      <c r="D74" s="362">
        <f ca="1">IF(H74="个人住宅",D75,D76)</f>
        <v>69960</v>
      </c>
      <c r="E74" s="17" t="s">
        <v>414</v>
      </c>
      <c r="F74" s="360" t="str">
        <f>IF(H74="正常",F76,"免征")</f>
        <v>——</v>
      </c>
      <c r="G74" s="983" t="s">
        <v>415</v>
      </c>
      <c r="H74" s="363" t="s">
        <v>411</v>
      </c>
      <c r="I74" s="42"/>
      <c r="J74" s="2035"/>
      <c r="K74" s="1976">
        <v>3</v>
      </c>
      <c r="L74" s="3361" t="s">
        <v>412</v>
      </c>
      <c r="M74" s="3361"/>
      <c r="N74" s="1296">
        <f t="shared" ca="1" si="1"/>
        <v>69960</v>
      </c>
      <c r="O74" s="1859" t="str">
        <f t="shared" si="1"/>
        <v>增值额×税（费）率</v>
      </c>
      <c r="P74" s="1299" t="str">
        <f t="shared" si="1"/>
        <v>——</v>
      </c>
      <c r="Q74" s="2028"/>
      <c r="R74" s="2028"/>
      <c r="S74" s="2028"/>
      <c r="T74" s="2028"/>
      <c r="U74" s="2028"/>
      <c r="V74" s="2028"/>
    </row>
    <row r="75" spans="1:22" ht="12.75">
      <c r="A75" s="359" t="s">
        <v>416</v>
      </c>
      <c r="B75" s="3311" t="s">
        <v>417</v>
      </c>
      <c r="C75" s="3341"/>
      <c r="D75" s="364">
        <v>0</v>
      </c>
      <c r="E75" s="41" t="s">
        <v>418</v>
      </c>
      <c r="F75" s="365"/>
      <c r="G75" s="361"/>
      <c r="H75" s="42"/>
      <c r="I75" s="42"/>
      <c r="J75" s="2035"/>
      <c r="K75" s="3052" t="str">
        <f>IF(H77="非个人房产","",4)</f>
        <v/>
      </c>
      <c r="L75" s="3361" t="str">
        <f>IF(H77="非个人房产","——","个人所得税")</f>
        <v>——</v>
      </c>
      <c r="M75" s="3361"/>
      <c r="N75" s="1300" t="str">
        <f>D77</f>
        <v>——</v>
      </c>
      <c r="O75" s="1872" t="str">
        <f>E77</f>
        <v>——</v>
      </c>
      <c r="P75" s="1301" t="str">
        <f>F77</f>
        <v>——</v>
      </c>
      <c r="Q75" s="2028"/>
      <c r="R75" s="2028"/>
      <c r="S75" s="2028"/>
      <c r="T75" s="2028"/>
      <c r="U75" s="2028"/>
      <c r="V75" s="2028"/>
    </row>
    <row r="76" spans="1:22" ht="24.75">
      <c r="A76" s="359" t="s">
        <v>394</v>
      </c>
      <c r="B76" s="3311" t="s">
        <v>420</v>
      </c>
      <c r="C76" s="3312"/>
      <c r="D76" s="362">
        <f ca="1">IF(H76="转让取得",C99,C115)</f>
        <v>69960</v>
      </c>
      <c r="E76" s="17" t="s">
        <v>421</v>
      </c>
      <c r="F76" s="53" t="s">
        <v>21</v>
      </c>
      <c r="G76" s="361"/>
      <c r="H76" s="363" t="s">
        <v>422</v>
      </c>
      <c r="I76" s="42"/>
      <c r="J76" s="2035"/>
      <c r="K76" s="3052" t="str">
        <f>IF(项目基本情况!K6="上海银行",IF(K75="",4,K75+1),"")</f>
        <v/>
      </c>
      <c r="L76" s="3372" t="str">
        <f>IF(项目基本情况!K6="上海银行","其他处置费用","")</f>
        <v/>
      </c>
      <c r="M76" s="3373"/>
      <c r="N76" s="1296" t="str">
        <f>IF(项目基本情况!K6="上海银行",N89,"")</f>
        <v/>
      </c>
      <c r="O76" s="3374" t="str">
        <f>IF(项目基本情况!K6="上海银行","包含处置中涉及的律师、诉讼、拍卖、评估等费用","")</f>
        <v/>
      </c>
      <c r="P76" s="3375"/>
      <c r="Q76" s="2028"/>
      <c r="R76" s="2028"/>
      <c r="S76" s="2028"/>
      <c r="T76" s="2028"/>
      <c r="U76" s="2028"/>
      <c r="V76" s="2028"/>
    </row>
    <row r="77" spans="1:22" ht="24.75" thickBot="1">
      <c r="A77" s="3363" t="s">
        <v>424</v>
      </c>
      <c r="B77" s="3364"/>
      <c r="C77" s="3364"/>
      <c r="D77" s="366" t="str">
        <f>IF(H77="非个人房产","——",IF(H77="个人住宅",0,ROUND(D63*I77,0)))</f>
        <v>——</v>
      </c>
      <c r="E77" s="367" t="str">
        <f>IF(H77="非个人房产","——","销售额×税（费）率")</f>
        <v>——</v>
      </c>
      <c r="F77" s="368" t="str">
        <f>IF(H77="非个人房产","——",IF(H77="个人住宅","免征",I77))</f>
        <v>——</v>
      </c>
      <c r="G77" s="984" t="s">
        <v>415</v>
      </c>
      <c r="H77" s="363" t="s">
        <v>3405</v>
      </c>
      <c r="I77" s="369">
        <v>0.01</v>
      </c>
      <c r="J77" s="2035"/>
      <c r="K77" s="3362">
        <f>IF(AND(K75="",K76=""),4,IF(项目基本情况!K6="上海银行",K76+1,K75+1))</f>
        <v>4</v>
      </c>
      <c r="L77" s="3361" t="s">
        <v>2878</v>
      </c>
      <c r="M77" s="3058" t="s">
        <v>419</v>
      </c>
      <c r="N77" s="1302"/>
      <c r="O77" s="1303">
        <f ca="1">SUMIF(N72:N76,"&lt;9e307")</f>
        <v>78814</v>
      </c>
      <c r="P77" s="1304"/>
      <c r="Q77" s="3056">
        <f ca="1">O77/N69</f>
        <v>0.45118041721050584</v>
      </c>
      <c r="R77" s="2028"/>
      <c r="S77" s="2028"/>
      <c r="T77" s="2028"/>
      <c r="U77" s="2028"/>
      <c r="V77" s="2028"/>
    </row>
    <row r="78" spans="1:22" ht="12" hidden="1" customHeight="1">
      <c r="A78" s="1305"/>
      <c r="B78" s="311"/>
      <c r="C78" s="311"/>
      <c r="D78" s="311"/>
      <c r="E78" s="42"/>
      <c r="F78" s="42"/>
      <c r="G78" s="42"/>
      <c r="H78" s="1003"/>
      <c r="I78" s="311"/>
      <c r="J78" s="2035"/>
      <c r="K78" s="3362"/>
      <c r="L78" s="3361"/>
      <c r="M78" s="3058" t="s">
        <v>423</v>
      </c>
      <c r="N78" s="1302"/>
      <c r="O78" s="1303" t="str">
        <f ca="1">NUMBERSTRING(INT(O77*10000),2)&amp;"元整"</f>
        <v>柒亿捌仟捌佰壹拾肆万元整</v>
      </c>
      <c r="P78" s="1304"/>
      <c r="Q78" s="2028"/>
      <c r="R78" s="2028"/>
      <c r="S78" s="2028"/>
      <c r="T78" s="2028"/>
      <c r="U78" s="2028"/>
      <c r="V78" s="2028"/>
    </row>
    <row r="79" spans="1:22" ht="13.5" hidden="1" thickBot="1">
      <c r="A79" s="3356" t="s">
        <v>425</v>
      </c>
      <c r="B79" s="3356"/>
      <c r="C79" s="3356"/>
      <c r="D79" s="3356"/>
      <c r="E79" s="3356"/>
      <c r="F79" s="42"/>
      <c r="G79" s="42"/>
      <c r="H79" s="1003"/>
      <c r="I79" s="311"/>
      <c r="J79" s="2035"/>
      <c r="K79" s="3382">
        <f>K77+1</f>
        <v>5</v>
      </c>
      <c r="L79" s="3361" t="s">
        <v>2879</v>
      </c>
      <c r="M79" s="3058" t="s">
        <v>419</v>
      </c>
      <c r="N79" s="1302"/>
      <c r="O79" s="1303">
        <f ca="1">N69-O77</f>
        <v>95870</v>
      </c>
      <c r="P79" s="1304"/>
      <c r="Q79" s="2028"/>
      <c r="R79" s="2028"/>
      <c r="S79" s="2028"/>
      <c r="T79" s="2028"/>
      <c r="U79" s="2028"/>
      <c r="V79" s="2028"/>
    </row>
    <row r="80" spans="1:22" ht="25.5" hidden="1">
      <c r="A80" s="3351" t="s">
        <v>426</v>
      </c>
      <c r="B80" s="3352"/>
      <c r="C80" s="994"/>
      <c r="D80" s="994" t="s">
        <v>427</v>
      </c>
      <c r="E80" s="370" t="s">
        <v>428</v>
      </c>
      <c r="F80" s="42"/>
      <c r="G80" s="42"/>
      <c r="H80" s="1003"/>
      <c r="I80" s="311"/>
      <c r="J80" s="2028"/>
      <c r="K80" s="3383"/>
      <c r="L80" s="3361"/>
      <c r="M80" s="3058" t="s">
        <v>423</v>
      </c>
      <c r="N80" s="1302"/>
      <c r="O80" s="1303" t="str">
        <f ca="1">NUMBERSTRING(INT(O79*10000),2)&amp;"元整"</f>
        <v>玖亿伍仟捌佰柒拾万元整</v>
      </c>
      <c r="P80" s="1304"/>
      <c r="Q80" s="2028"/>
      <c r="R80" s="2028"/>
      <c r="S80" s="2028"/>
      <c r="T80" s="2028"/>
      <c r="U80" s="2028"/>
      <c r="V80" s="2028"/>
    </row>
    <row r="81" spans="1:26" ht="13.5" hidden="1" thickBot="1">
      <c r="A81" s="381" t="s">
        <v>1822</v>
      </c>
      <c r="B81" s="371" t="s">
        <v>429</v>
      </c>
      <c r="C81" s="372">
        <f ca="1">ROUND((C82+C83)/(1+'数据-取费表'!C42),0)</f>
        <v>133092</v>
      </c>
      <c r="D81" s="373"/>
      <c r="E81" s="374"/>
      <c r="F81" s="42"/>
      <c r="G81" s="42"/>
      <c r="H81" s="1003"/>
      <c r="I81" s="311"/>
      <c r="J81" s="2028"/>
      <c r="K81" s="3052">
        <f>K79+1</f>
        <v>6</v>
      </c>
      <c r="L81" s="3359" t="s">
        <v>2880</v>
      </c>
      <c r="M81" s="3360"/>
      <c r="N81" s="1306"/>
      <c r="O81" s="1307">
        <f ca="1">ROUND(O79*10000/'数据-汇总表'!E3,0)</f>
        <v>5991</v>
      </c>
      <c r="P81" s="1308"/>
      <c r="Q81" s="2028"/>
      <c r="R81" s="2028"/>
      <c r="S81" s="2028"/>
      <c r="T81" s="2028"/>
      <c r="U81" s="2028"/>
      <c r="V81" s="2028"/>
    </row>
    <row r="82" spans="1:26" ht="13.5" hidden="1" thickTop="1">
      <c r="A82" s="375" t="s">
        <v>1823</v>
      </c>
      <c r="B82" s="376" t="s">
        <v>430</v>
      </c>
      <c r="C82" s="377">
        <f ca="1">D63</f>
        <v>139747</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hidden="1">
      <c r="A83" s="375" t="s">
        <v>1824</v>
      </c>
      <c r="B83" s="376" t="s">
        <v>431</v>
      </c>
      <c r="C83" s="380">
        <v>0</v>
      </c>
      <c r="D83" s="378"/>
      <c r="E83" s="379"/>
      <c r="F83" s="42"/>
      <c r="G83" s="42"/>
      <c r="H83" s="1003"/>
      <c r="I83" s="311"/>
      <c r="J83" s="2028"/>
      <c r="K83" s="3371" t="s">
        <v>2868</v>
      </c>
      <c r="L83" s="3064" t="s">
        <v>2869</v>
      </c>
      <c r="M83" s="3054">
        <f ca="1">IF(N69&gt;10000,N69*0.5%,IF(AND(N69&gt;1000,N69&lt;=10000),N69*1%,IF(AND(N69&gt;100,N69&lt;=1000),N69*3%,IF(AND(N69&gt;10,N69&lt;=100),N69*5%,N69*8%))))</f>
        <v>873.42000000000007</v>
      </c>
      <c r="N83" s="53">
        <f ca="1">ROUND(M83,1)</f>
        <v>873.4</v>
      </c>
      <c r="O83" s="3057"/>
      <c r="P83" s="2028"/>
      <c r="Q83" s="2028"/>
      <c r="R83" s="2028"/>
      <c r="S83" s="2028"/>
      <c r="T83" s="2028"/>
      <c r="U83" s="2028"/>
      <c r="V83" s="2028"/>
    </row>
    <row r="84" spans="1:26" ht="12.75" hidden="1">
      <c r="A84" s="381" t="s">
        <v>1825</v>
      </c>
      <c r="B84" s="382" t="s">
        <v>432</v>
      </c>
      <c r="C84" s="383">
        <v>2000</v>
      </c>
      <c r="D84" s="384" t="s">
        <v>19</v>
      </c>
      <c r="E84" s="3097" t="s">
        <v>2929</v>
      </c>
      <c r="F84" s="42"/>
      <c r="G84" s="42"/>
      <c r="H84" s="1003"/>
      <c r="I84" s="311"/>
      <c r="J84" s="2028"/>
      <c r="K84" s="3371"/>
      <c r="L84" s="3064" t="s">
        <v>2870</v>
      </c>
      <c r="M84" s="3054">
        <f ca="1">IF(N69&gt;2000,N69*0.5%,IF(AND(N69&gt;1000,N69&lt;=2000),N69*0.6%,IF(AND(N69&gt;500,N69&lt;=1000),N69*0.7%,IF(AND(N69&gt;200,N69&lt;=500),N69*0.8%,IF(AND(N69&gt;100,N69&lt;=200),N69*0.9%,IF(AND(N69&gt;50,N69&lt;=100),N69*1%,IF(AND(N69&gt;20,N69&lt;=50),N69*1.5%,IF(AND(N69&gt;10,N69&lt;=20),N69*2%,IF(AND(N69&gt;1,N69&lt;=10),N69*2.5%)))))))))</f>
        <v>873.42000000000007</v>
      </c>
      <c r="N84" s="53">
        <f t="shared" ref="N84:N85" ca="1" si="2">ROUND(M84,1)</f>
        <v>873.4</v>
      </c>
      <c r="O84" s="2028" t="s">
        <v>2871</v>
      </c>
      <c r="P84" s="2028"/>
      <c r="Q84" s="2028"/>
      <c r="R84" s="2028"/>
      <c r="S84" s="2028"/>
      <c r="T84" s="2028"/>
      <c r="U84" s="2028"/>
      <c r="V84" s="2028"/>
    </row>
    <row r="85" spans="1:26" ht="12.75" hidden="1">
      <c r="A85" s="381" t="s">
        <v>1826</v>
      </c>
      <c r="B85" s="382" t="s">
        <v>433</v>
      </c>
      <c r="C85" s="385">
        <f ca="1">C81-C84</f>
        <v>131092</v>
      </c>
      <c r="D85" s="378" t="s">
        <v>19</v>
      </c>
      <c r="E85" s="379"/>
      <c r="F85" s="42"/>
      <c r="G85" s="42"/>
      <c r="H85" s="1003"/>
      <c r="I85" s="311"/>
      <c r="J85" s="2028"/>
      <c r="K85" s="3371"/>
      <c r="L85" s="3064" t="s">
        <v>2872</v>
      </c>
      <c r="M85" s="3054">
        <f ca="1">IF(N69&gt;1000,N69*0.1%,IF(AND(N69&gt;500,N69&lt;=1000),N69*0.5%,IF(AND(N69&gt;50,N69&lt;=500),N69*1%,IF(AND(N69&gt;1,N69&lt;=50),N69*1.5%))))</f>
        <v>174.684</v>
      </c>
      <c r="N85" s="53">
        <f t="shared" ca="1" si="2"/>
        <v>174.7</v>
      </c>
      <c r="O85" s="2028" t="s">
        <v>2871</v>
      </c>
      <c r="P85" s="2028"/>
      <c r="Q85" s="2028"/>
      <c r="R85" s="2028"/>
      <c r="S85" s="2028"/>
      <c r="T85" s="2028"/>
      <c r="U85" s="2028"/>
      <c r="V85" s="2028"/>
    </row>
    <row r="86" spans="1:26" ht="13.5" hidden="1" thickBot="1">
      <c r="A86" s="386" t="s">
        <v>1827</v>
      </c>
      <c r="B86" s="387" t="s">
        <v>434</v>
      </c>
      <c r="C86" s="388">
        <f ca="1">IF(C85&lt;=0,0,ROUND(C85*D86,0))</f>
        <v>8652</v>
      </c>
      <c r="D86" s="389">
        <f>'数据-取费表'!B41</f>
        <v>6.6000000000000003E-2</v>
      </c>
      <c r="E86" s="390"/>
      <c r="F86" s="42"/>
      <c r="G86" s="42"/>
      <c r="H86" s="1003"/>
      <c r="I86" s="311"/>
      <c r="J86" s="2028"/>
      <c r="K86" s="3371"/>
      <c r="L86" s="3064" t="s">
        <v>2873</v>
      </c>
      <c r="M86" s="3054">
        <f ca="1">N69*0.5%</f>
        <v>873.42000000000007</v>
      </c>
      <c r="N86" s="53">
        <f ca="1">IF(M86&gt;0.5,0.5,ROUND(M86,0))</f>
        <v>0.5</v>
      </c>
      <c r="O86" s="2028" t="s">
        <v>2874</v>
      </c>
      <c r="P86" s="2028"/>
      <c r="Q86" s="2028"/>
      <c r="R86" s="2028"/>
      <c r="S86" s="2028"/>
      <c r="T86" s="2028"/>
      <c r="U86" s="2028"/>
      <c r="V86" s="2028"/>
    </row>
    <row r="87" spans="1:26" s="1254" customFormat="1" ht="14.25" hidden="1" customHeight="1">
      <c r="A87" s="1309"/>
      <c r="B87" s="1310"/>
      <c r="C87" s="1311"/>
      <c r="D87" s="1312"/>
      <c r="E87" s="1313"/>
      <c r="F87" s="42"/>
      <c r="G87" s="42"/>
      <c r="H87" s="1003"/>
      <c r="I87" s="311"/>
      <c r="J87" s="2028"/>
      <c r="K87" s="3371"/>
      <c r="L87" s="3064" t="s">
        <v>2875</v>
      </c>
      <c r="M87" s="3054">
        <f ca="1">IF(N69&gt;=10000,(8.25+(N69-10000)*0.01%),IF(AND(N69&gt;=8000,N69&lt;10000),(7.85+(N69-8000)*0.02%),IF(AND(N69&gt;=5000,N69&lt;8000),(6.65+(N69-5000)*0.04%),IF(AND(N69&gt;=2000,N69&lt;5000),(4.25+(PN69-2000)*0.08%),IF(AND(N69&gt;=1000,N69&lt;2000),(2.75+(N69-1000)*0.15%),IF(AND(N69&gt;=100,N69&lt;1000),(0.5+(N69-100)*0.25%),IF(AND(N69&gt;0,N69&lt;100),N69*0.5%)))))))</f>
        <v>24.718399999999999</v>
      </c>
      <c r="N87" s="53">
        <f ca="1">ROUND(M87*0.9,1)</f>
        <v>22.2</v>
      </c>
      <c r="O87" s="3057"/>
      <c r="P87" s="311"/>
      <c r="Q87" s="2028"/>
      <c r="R87" s="2028"/>
      <c r="S87" s="2028"/>
      <c r="T87" s="2028"/>
      <c r="U87" s="2028"/>
      <c r="V87" s="2028"/>
      <c r="W87" s="292"/>
      <c r="X87" s="292"/>
      <c r="Y87" s="292"/>
      <c r="Z87" s="292"/>
    </row>
    <row r="88" spans="1:26" s="1314" customFormat="1" ht="15" hidden="1" thickBot="1">
      <c r="A88" s="3353" t="s">
        <v>435</v>
      </c>
      <c r="B88" s="3354"/>
      <c r="C88" s="3354"/>
      <c r="D88" s="3354"/>
      <c r="E88" s="3354"/>
      <c r="F88" s="3354"/>
      <c r="G88" s="3354"/>
      <c r="H88" s="3354"/>
      <c r="I88" s="1315"/>
      <c r="J88" s="2036"/>
      <c r="K88" s="3371"/>
      <c r="L88" s="3064" t="s">
        <v>2876</v>
      </c>
      <c r="M88" s="3054">
        <f ca="1">IF(N69&gt;10000,N69*0.5%,IF(AND(N69&gt;5000,N69&lt;=10000),N69*1%,IF(AND(N69&gt;1000,N69&lt;=5000),N69*2%,IF(AND(N69&gt;200,N69&lt;=1000),N69*3%,N69*5%))))</f>
        <v>873.42000000000007</v>
      </c>
      <c r="N88" s="53">
        <f ca="1">ROUND(M88,1)</f>
        <v>873.4</v>
      </c>
      <c r="O88" s="3057"/>
      <c r="P88" s="11"/>
      <c r="Q88" s="2033"/>
      <c r="R88" s="2033"/>
      <c r="S88" s="2033"/>
      <c r="T88" s="2033"/>
      <c r="U88" s="2033"/>
      <c r="V88" s="2033"/>
      <c r="W88" s="2037"/>
      <c r="X88" s="2037"/>
      <c r="Y88" s="2037"/>
      <c r="Z88" s="2037"/>
    </row>
    <row r="89" spans="1:26" s="1314" customFormat="1" ht="14.25" hidden="1">
      <c r="A89" s="3351" t="s">
        <v>426</v>
      </c>
      <c r="B89" s="3352"/>
      <c r="C89" s="994"/>
      <c r="D89" s="994" t="s">
        <v>427</v>
      </c>
      <c r="E89" s="391" t="s">
        <v>436</v>
      </c>
      <c r="F89" s="392"/>
      <c r="G89" s="392"/>
      <c r="H89" s="393"/>
      <c r="I89" s="1316"/>
      <c r="J89" s="2038"/>
      <c r="K89" s="3371"/>
      <c r="L89" s="3064" t="s">
        <v>27</v>
      </c>
      <c r="M89" s="3055"/>
      <c r="N89" s="53">
        <f ca="1">ROUND(SUM(N83:N88),0)</f>
        <v>2818</v>
      </c>
      <c r="O89" s="3065">
        <f ca="1">N89/N69</f>
        <v>1.6131986902063154E-2</v>
      </c>
      <c r="P89" s="2033"/>
      <c r="Q89" s="2033"/>
      <c r="R89" s="2033"/>
      <c r="S89" s="2033"/>
      <c r="T89" s="2033"/>
      <c r="U89" s="2033"/>
      <c r="V89" s="2033"/>
      <c r="W89" s="2037"/>
      <c r="X89" s="2037"/>
      <c r="Y89" s="2037"/>
      <c r="Z89" s="2037"/>
    </row>
    <row r="90" spans="1:26" s="1314" customFormat="1" ht="14.25" hidden="1">
      <c r="A90" s="381" t="s">
        <v>1822</v>
      </c>
      <c r="B90" s="382" t="s">
        <v>437</v>
      </c>
      <c r="C90" s="385">
        <f ca="1">ROUND(D63/(1+'数据-取费表'!C42),0)</f>
        <v>133092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hidden="1">
      <c r="A91" s="381" t="s">
        <v>1828</v>
      </c>
      <c r="B91" s="348" t="s">
        <v>438</v>
      </c>
      <c r="C91" s="385">
        <f ca="1">C92+C96</f>
        <v>4690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14.25" hidden="1">
      <c r="A92" s="395" t="s">
        <v>1829</v>
      </c>
      <c r="B92" s="376" t="s">
        <v>439</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hidden="1">
      <c r="A93" s="395" t="s">
        <v>1830</v>
      </c>
      <c r="B93" s="376" t="s">
        <v>440</v>
      </c>
      <c r="C93" s="396">
        <v>2000</v>
      </c>
      <c r="D93" s="378" t="s">
        <v>19</v>
      </c>
      <c r="E93" s="397" t="s">
        <v>441</v>
      </c>
      <c r="F93" s="398" t="s">
        <v>442</v>
      </c>
      <c r="G93" s="397" t="s">
        <v>443</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hidden="1" customHeight="1">
      <c r="A94" s="395" t="s">
        <v>1831</v>
      </c>
      <c r="B94" s="400" t="s">
        <v>444</v>
      </c>
      <c r="C94" s="378">
        <f>IF(F93="购房发票",ROUND(C93*H93*5%,0),0)</f>
        <v>500</v>
      </c>
      <c r="D94" s="401">
        <v>0.05</v>
      </c>
      <c r="E94" s="3314" t="s">
        <v>445</v>
      </c>
      <c r="F94" s="3313"/>
      <c r="G94" s="3313"/>
      <c r="H94" s="335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hidden="1" customHeight="1">
      <c r="A95" s="395" t="s">
        <v>1832</v>
      </c>
      <c r="B95" s="376" t="s">
        <v>446</v>
      </c>
      <c r="C95" s="378">
        <f>ROUND(IF(G95="个人买卖住房",0,IF(G95="2016年5月1日前购买",C93*D95,C93*D95/(1+'数据-取费表'!C42))),0)</f>
        <v>61</v>
      </c>
      <c r="D95" s="402">
        <f>'数据-取费表'!B48+'数据-取费表'!B49</f>
        <v>3.0499999999999999E-2</v>
      </c>
      <c r="E95" s="26" t="s">
        <v>447</v>
      </c>
      <c r="F95" s="403"/>
      <c r="G95" s="404" t="s">
        <v>2425</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hidden="1" customHeight="1">
      <c r="A96" s="395" t="s">
        <v>1833</v>
      </c>
      <c r="B96" s="376" t="s">
        <v>448</v>
      </c>
      <c r="C96" s="405">
        <f ca="1">ROUND(D63*D96/(1+'数据-取费表'!C42),0)</f>
        <v>2129</v>
      </c>
      <c r="D96" s="406">
        <f>'数据-取费表'!B43</f>
        <v>1.6E-2</v>
      </c>
      <c r="E96" s="3342" t="s">
        <v>2424</v>
      </c>
      <c r="F96" s="3343"/>
      <c r="G96" s="3343"/>
      <c r="H96" s="334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hidden="1">
      <c r="A97" s="1617" t="s">
        <v>1834</v>
      </c>
      <c r="B97" s="382" t="s">
        <v>449</v>
      </c>
      <c r="C97" s="385">
        <f ca="1">C90-C91</f>
        <v>128402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14.25" hidden="1">
      <c r="A98" s="1617" t="s">
        <v>1835</v>
      </c>
      <c r="B98" s="382" t="s">
        <v>450</v>
      </c>
      <c r="C98" s="407">
        <f ca="1">IF(C97&lt;=0,0,C97/C91)</f>
        <v>27.37782515991471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15" hidden="1" thickBot="1">
      <c r="A99" s="1618" t="s">
        <v>1836</v>
      </c>
      <c r="B99" s="387" t="s">
        <v>451</v>
      </c>
      <c r="C99" s="408">
        <f ca="1">ROUND(IF(C97&lt;=0,0,IF(C98&gt;=200%,C97*60%-C91*35%,IF(C98&gt;=100%,C97*50%-C91*15%,IF(C98&gt;=50%,C97*40%-C91*5%,IF(C98&lt;50%,C97*30%,0))))),0)</f>
        <v>75400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53" t="s">
        <v>452</v>
      </c>
      <c r="B101" s="3354"/>
      <c r="C101" s="3354"/>
      <c r="D101" s="3354"/>
      <c r="E101" s="3354"/>
      <c r="F101" s="3354"/>
      <c r="G101" s="3354"/>
      <c r="H101" s="3354"/>
      <c r="I101" s="11"/>
      <c r="J101" s="2033"/>
      <c r="K101" s="2033"/>
      <c r="L101" s="2033"/>
      <c r="M101" s="2033"/>
      <c r="N101" s="3218">
        <f ca="1">ROUND(O77*10000,0)</f>
        <v>788140000</v>
      </c>
      <c r="O101" s="2033"/>
      <c r="P101" s="2033"/>
      <c r="Q101" s="2033"/>
      <c r="R101" s="2033"/>
      <c r="S101" s="2033"/>
      <c r="T101" s="2033"/>
      <c r="U101" s="2033"/>
      <c r="V101" s="2033"/>
      <c r="W101" s="2037"/>
      <c r="X101" s="2037"/>
      <c r="Y101" s="2037"/>
      <c r="Z101" s="2037"/>
    </row>
    <row r="102" spans="1:26" s="1314" customFormat="1" ht="14.25">
      <c r="A102" s="3351" t="s">
        <v>426</v>
      </c>
      <c r="B102" s="3352"/>
      <c r="C102" s="994"/>
      <c r="D102" s="994" t="s">
        <v>427</v>
      </c>
      <c r="E102" s="391" t="s">
        <v>436</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437</v>
      </c>
      <c r="C103" s="385">
        <f ca="1">ROUND(D63/(1+'数据-取费表'!C42),0)</f>
        <v>133092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438</v>
      </c>
      <c r="C104" s="385">
        <f ca="1">IF(H106="仅含出让金",C105+C108+C109+C110+C111+C112,C105+C109+C110+C111+C112)</f>
        <v>10415.619999999999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453</v>
      </c>
      <c r="C105" s="405">
        <f>C106+C107</f>
        <v>837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454</v>
      </c>
      <c r="C106" s="416">
        <f>ROUND((6558638.3+12615975.6)/10000*'数据-汇总表'!D3/'数据-基础表'!A3,0)</f>
        <v>812</v>
      </c>
      <c r="D106" s="406"/>
      <c r="E106" s="417" t="s">
        <v>455</v>
      </c>
      <c r="F106" s="986"/>
      <c r="G106" s="418" t="s">
        <v>456</v>
      </c>
      <c r="H106" s="419" t="s">
        <v>3406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446</v>
      </c>
      <c r="C107" s="405">
        <f>ROUND(C106*D107,0)</f>
        <v>25</v>
      </c>
      <c r="D107" s="406">
        <f>'数据-取费表'!B48+'数据-取费表'!B49</f>
        <v>3.0499999999999999E-2</v>
      </c>
      <c r="E107" s="417" t="s">
        <v>457</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458</v>
      </c>
      <c r="C108" s="3202">
        <v>5666.62</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1837</v>
      </c>
      <c r="B109" s="376" t="s">
        <v>459</v>
      </c>
      <c r="C109" s="405">
        <f>IF(H109="——",IF(F1="现房",'剩余法-现房'!C18,'剩余法-待开发'!C18),I109)</f>
        <v>0</v>
      </c>
      <c r="D109" s="406"/>
      <c r="E109" s="3345" t="s">
        <v>460</v>
      </c>
      <c r="F109" s="3343"/>
      <c r="G109" s="3343"/>
      <c r="H109" s="1941" t="s">
        <v>3480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1838</v>
      </c>
      <c r="B110" s="376" t="s">
        <v>461</v>
      </c>
      <c r="C110" s="405">
        <f>ROUND((C105+C108+C109)*D110,0)</f>
        <v>650</v>
      </c>
      <c r="D110" s="406">
        <v>0.1</v>
      </c>
      <c r="E110" s="3345" t="s">
        <v>462</v>
      </c>
      <c r="F110" s="3343"/>
      <c r="G110" s="3343"/>
      <c r="H110" s="334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1839</v>
      </c>
      <c r="B111" s="376" t="s">
        <v>448</v>
      </c>
      <c r="C111" s="405">
        <f ca="1">ROUND(D63*D111/(1+'数据-取费表'!C42),0)</f>
        <v>2129</v>
      </c>
      <c r="D111" s="406">
        <f>'数据-取费表'!B43</f>
        <v>1.6E-2</v>
      </c>
      <c r="E111" s="3342" t="s">
        <v>2424</v>
      </c>
      <c r="F111" s="3343"/>
      <c r="G111" s="3343"/>
      <c r="H111" s="334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1840</v>
      </c>
      <c r="B112" s="376" t="s">
        <v>463</v>
      </c>
      <c r="C112" s="405">
        <f>ROUND(C108*D112,0)</f>
        <v>1133</v>
      </c>
      <c r="D112" s="406">
        <v>0.2</v>
      </c>
      <c r="E112" s="3345" t="s">
        <v>2448</v>
      </c>
      <c r="F112" s="3343"/>
      <c r="G112" s="3343"/>
      <c r="H112" s="334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1834</v>
      </c>
      <c r="B113" s="382" t="s">
        <v>449</v>
      </c>
      <c r="C113" s="385">
        <f ca="1">ROUND(C103-C104,0)</f>
        <v>122676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14.25">
      <c r="A114" s="1617" t="s">
        <v>1835</v>
      </c>
      <c r="B114" s="382" t="s">
        <v>450</v>
      </c>
      <c r="C114" s="407">
        <f ca="1">IF(C113&lt;=0,0,C113/C104)</f>
        <v>11.778079461424285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15" thickBot="1">
      <c r="A115" s="1618" t="s">
        <v>1836</v>
      </c>
      <c r="B115" s="387" t="s">
        <v>451</v>
      </c>
      <c r="C115" s="408">
        <f ca="1">ROUND(IF(C113&lt;=0,0,IF(C114&gt;=200%,C113*60%-C104*35%,IF(C114&gt;=100%,C113*50%-C104*15%,IF(C114&gt;=50%,C113*40%-C104*5%,IF(C114&lt;50%,C113*30%,0))))),0)</f>
        <v>69960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6" zoomScale="70" zoomScaleNormal="95" zoomScaleSheetLayoutView="70" workbookViewId="0">
      <selection activeCell="E58" sqref="E5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465</v>
      </c>
      <c r="B2" s="508">
        <f>F68</f>
        <v>177237</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1683</v>
      </c>
      <c r="B3" s="510">
        <f>ROUND(B2*10000/'数据-汇总表'!E3,0)</f>
        <v>11075</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518</v>
      </c>
      <c r="B4" s="427">
        <f>IF(B48="单位面积地价",C50,ROUND(B2*10000/'数据-汇总表'!D3,0))</f>
        <v>34493</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2300</v>
      </c>
      <c r="C5" s="431" t="s">
        <v>467</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519</v>
      </c>
      <c r="B6" s="513"/>
      <c r="C6" s="3396" t="s">
        <v>520</v>
      </c>
      <c r="D6" s="3397"/>
      <c r="E6" s="3396" t="s">
        <v>521</v>
      </c>
      <c r="F6" s="3397"/>
      <c r="G6" s="3396" t="s">
        <v>522</v>
      </c>
      <c r="H6" s="3397"/>
      <c r="I6" s="3396" t="s">
        <v>523</v>
      </c>
      <c r="J6" s="3397"/>
      <c r="K6" s="514" t="s">
        <v>524</v>
      </c>
      <c r="L6" s="2133"/>
      <c r="M6" s="2132"/>
      <c r="N6" s="2132"/>
      <c r="O6" s="2134"/>
      <c r="P6" s="3398" t="s">
        <v>525</v>
      </c>
      <c r="Q6" s="3399"/>
      <c r="R6" s="3404" t="s">
        <v>521</v>
      </c>
      <c r="S6" s="3405"/>
      <c r="T6" s="3404" t="s">
        <v>522</v>
      </c>
      <c r="U6" s="3405"/>
      <c r="V6" s="3391" t="s">
        <v>523</v>
      </c>
      <c r="W6" s="3391"/>
      <c r="X6" s="1567"/>
      <c r="Y6" s="3404" t="s">
        <v>525</v>
      </c>
      <c r="Z6" s="3405"/>
      <c r="AA6" s="3393" t="s">
        <v>521</v>
      </c>
      <c r="AB6" s="3394" t="s">
        <v>522</v>
      </c>
      <c r="AC6" s="3393" t="s">
        <v>523</v>
      </c>
    </row>
    <row r="7" spans="1:30" ht="35.25" customHeight="1">
      <c r="A7" s="515"/>
      <c r="B7" s="516"/>
      <c r="C7" s="3414" t="s">
        <v>3079</v>
      </c>
      <c r="D7" s="3413"/>
      <c r="E7" s="3412" t="str">
        <f>土地案例!A1</f>
        <v>天津港北疆港区航运五道以南</v>
      </c>
      <c r="F7" s="3413"/>
      <c r="G7" s="3412" t="str">
        <f>土地案例!A2</f>
        <v>滨海新区新港一号路以南、海滨大道以东</v>
      </c>
      <c r="H7" s="3413"/>
      <c r="I7" s="3412" t="str">
        <f>土地案例!A3</f>
        <v>天津市滨海新区北塘</v>
      </c>
      <c r="J7" s="3413"/>
      <c r="K7" s="514"/>
      <c r="L7" s="2133"/>
      <c r="M7" s="2132"/>
      <c r="N7" s="2132"/>
      <c r="O7" s="2134"/>
      <c r="P7" s="3400"/>
      <c r="Q7" s="3401"/>
      <c r="R7" s="3406"/>
      <c r="S7" s="3407"/>
      <c r="T7" s="3406"/>
      <c r="U7" s="3407"/>
      <c r="V7" s="3391"/>
      <c r="W7" s="3391"/>
      <c r="X7" s="1567"/>
      <c r="Y7" s="3406"/>
      <c r="Z7" s="3407"/>
      <c r="AA7" s="3394"/>
      <c r="AB7" s="3394"/>
      <c r="AC7" s="3394"/>
    </row>
    <row r="8" spans="1:30" ht="21" thickBot="1">
      <c r="A8" s="515"/>
      <c r="B8" s="516"/>
      <c r="C8" s="3415" t="s">
        <v>2920</v>
      </c>
      <c r="D8" s="3416"/>
      <c r="E8" s="3415" t="s">
        <v>2920</v>
      </c>
      <c r="F8" s="3416"/>
      <c r="G8" s="3410" t="s">
        <v>2920</v>
      </c>
      <c r="H8" s="3411"/>
      <c r="I8" s="3410" t="s">
        <v>2920</v>
      </c>
      <c r="J8" s="3411"/>
      <c r="K8" s="514" t="s">
        <v>526</v>
      </c>
      <c r="L8" s="2133"/>
      <c r="M8" s="2132"/>
      <c r="N8" s="2132"/>
      <c r="O8" s="2134"/>
      <c r="P8" s="3402"/>
      <c r="Q8" s="3403"/>
      <c r="R8" s="3406"/>
      <c r="S8" s="3407"/>
      <c r="T8" s="3408"/>
      <c r="U8" s="3409"/>
      <c r="V8" s="3391"/>
      <c r="W8" s="3391"/>
      <c r="X8" s="1567"/>
      <c r="Y8" s="3408"/>
      <c r="Z8" s="3409"/>
      <c r="AA8" s="3395"/>
      <c r="AB8" s="3395"/>
      <c r="AC8" s="3395"/>
    </row>
    <row r="9" spans="1:30" s="1220" customFormat="1" ht="21" thickBot="1">
      <c r="A9" s="2911"/>
      <c r="B9" s="2918" t="s">
        <v>527</v>
      </c>
      <c r="C9" s="2910">
        <f>'数据-取费表'!B2</f>
        <v>43325</v>
      </c>
      <c r="D9" s="520">
        <v>100</v>
      </c>
      <c r="E9" s="521" t="str">
        <f>土地案例!AA1</f>
        <v>2017-09-27</v>
      </c>
      <c r="F9" s="522">
        <f>SUMIF(72:72,YEAR(E9)&amp;"-"&amp;INT((MONTH(E9)+2)/3),73:73)</f>
        <v>98</v>
      </c>
      <c r="G9" s="523" t="str">
        <f>土地案例!AA2</f>
        <v>2017-08-16</v>
      </c>
      <c r="H9" s="520">
        <f>SUMIF(72:72,YEAR(G9)&amp;"-"&amp;INT((MONTH(G9)+2)/3),73:73)</f>
        <v>98</v>
      </c>
      <c r="I9" s="523" t="str">
        <f>土地案例!AA3</f>
        <v>2017-05-10</v>
      </c>
      <c r="J9" s="520">
        <f>SUMIF(72:72,YEAR(I9)&amp;"-"&amp;INT((MONTH(I9)+2)/3),73:73)</f>
        <v>97.5</v>
      </c>
      <c r="K9" s="524"/>
      <c r="L9" s="2135"/>
      <c r="M9" s="2132"/>
      <c r="N9" s="2132"/>
      <c r="O9" s="2136"/>
      <c r="P9" s="3422" t="s">
        <v>528</v>
      </c>
      <c r="Q9" s="3424"/>
      <c r="R9" s="1568" t="s">
        <v>8</v>
      </c>
      <c r="S9" s="1569">
        <f t="shared" ref="S9:S17" si="0">F9</f>
        <v>98</v>
      </c>
      <c r="T9" s="1568" t="s">
        <v>8</v>
      </c>
      <c r="U9" s="1569">
        <f t="shared" ref="U9:U17" si="1">H9</f>
        <v>98</v>
      </c>
      <c r="V9" s="1568" t="s">
        <v>8</v>
      </c>
      <c r="W9" s="1569">
        <f t="shared" ref="W9:W17" si="2">J9</f>
        <v>97.5</v>
      </c>
      <c r="X9" s="1570"/>
      <c r="Y9" s="3422" t="s">
        <v>528</v>
      </c>
      <c r="Z9" s="3423"/>
      <c r="AA9" s="1571">
        <f>D9/F9</f>
        <v>1.0204081632653061</v>
      </c>
      <c r="AB9" s="1571">
        <f>D9/H9</f>
        <v>1.0204081632653061</v>
      </c>
      <c r="AC9" s="1571">
        <f>D9/J9</f>
        <v>1.0256410256410255</v>
      </c>
    </row>
    <row r="10" spans="1:30" s="1220" customFormat="1" ht="21" thickBot="1">
      <c r="A10" s="2912"/>
      <c r="B10" s="2919"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35"/>
      <c r="M10" s="2132"/>
      <c r="N10" s="2132"/>
      <c r="O10" s="2136"/>
      <c r="P10" s="3422" t="s">
        <v>531</v>
      </c>
      <c r="Q10" s="3423"/>
      <c r="R10" s="1568" t="s">
        <v>8</v>
      </c>
      <c r="S10" s="1569">
        <f t="shared" si="0"/>
        <v>100</v>
      </c>
      <c r="T10" s="1568" t="s">
        <v>8</v>
      </c>
      <c r="U10" s="1569">
        <f t="shared" si="1"/>
        <v>100</v>
      </c>
      <c r="V10" s="1568" t="s">
        <v>8</v>
      </c>
      <c r="W10" s="1569">
        <f t="shared" si="2"/>
        <v>100</v>
      </c>
      <c r="X10" s="1570"/>
      <c r="Y10" s="3422" t="s">
        <v>531</v>
      </c>
      <c r="Z10" s="3423"/>
      <c r="AA10" s="1571">
        <f t="shared" ref="AA10:AA47" si="3">D10/F10</f>
        <v>1</v>
      </c>
      <c r="AB10" s="1571">
        <f t="shared" ref="AB10:AB47" si="4">D10/H10</f>
        <v>1</v>
      </c>
      <c r="AC10" s="1571">
        <f t="shared" ref="AC10:AC47" si="5">D10/J10</f>
        <v>1</v>
      </c>
    </row>
    <row r="11" spans="1:30" s="1220" customFormat="1" ht="20.25">
      <c r="A11" s="2913"/>
      <c r="B11" s="2920" t="s">
        <v>2750</v>
      </c>
      <c r="C11" s="3187" t="s">
        <v>921</v>
      </c>
      <c r="D11" s="254">
        <v>100</v>
      </c>
      <c r="E11" s="3187" t="s">
        <v>921</v>
      </c>
      <c r="F11" s="254">
        <f>SUMIF(77:77,E11,78:78)-SUMIF(77:77,C11,78:78)+100</f>
        <v>100</v>
      </c>
      <c r="G11" s="3187" t="s">
        <v>921</v>
      </c>
      <c r="H11" s="254">
        <f>SUMIF(77:77,G11,78:78)-SUMIF(77:77,C11,78:78)+100</f>
        <v>100</v>
      </c>
      <c r="I11" s="3187" t="s">
        <v>921</v>
      </c>
      <c r="J11" s="254">
        <f>SUMIF(77:77,I11,78:78)-SUMIF(77:77,C11,78:78)+100</f>
        <v>100</v>
      </c>
      <c r="K11" s="524"/>
      <c r="L11" s="2135"/>
      <c r="M11" s="2132"/>
      <c r="N11" s="2132"/>
      <c r="O11" s="2137"/>
      <c r="P11" s="3390" t="s">
        <v>533</v>
      </c>
      <c r="Q11" s="1151" t="str">
        <f t="shared" ref="Q11:Q17" si="6">B11</f>
        <v>用途</v>
      </c>
      <c r="R11" s="1568" t="s">
        <v>8</v>
      </c>
      <c r="S11" s="1569">
        <f t="shared" si="0"/>
        <v>100</v>
      </c>
      <c r="T11" s="1568" t="s">
        <v>8</v>
      </c>
      <c r="U11" s="1569">
        <f t="shared" si="1"/>
        <v>100</v>
      </c>
      <c r="V11" s="1568" t="s">
        <v>8</v>
      </c>
      <c r="W11" s="1569">
        <f t="shared" si="2"/>
        <v>100</v>
      </c>
      <c r="X11" s="1570"/>
      <c r="Y11" s="3336" t="s">
        <v>534</v>
      </c>
      <c r="Z11" s="1150" t="str">
        <f t="shared" ref="Z11:Z17" si="7">Q11</f>
        <v>用途</v>
      </c>
      <c r="AA11" s="1571">
        <f t="shared" si="3"/>
        <v>1</v>
      </c>
      <c r="AB11" s="1571">
        <f t="shared" si="4"/>
        <v>1</v>
      </c>
      <c r="AC11" s="1571">
        <f t="shared" si="5"/>
        <v>1</v>
      </c>
    </row>
    <row r="12" spans="1:30" s="1338" customFormat="1" ht="27">
      <c r="A12" s="2914"/>
      <c r="B12" s="2919" t="s">
        <v>2751</v>
      </c>
      <c r="C12" s="910" t="s">
        <v>3471</v>
      </c>
      <c r="D12" s="255">
        <v>100</v>
      </c>
      <c r="E12" s="529" t="s">
        <v>3472</v>
      </c>
      <c r="F12" s="255">
        <f>ROUND(100/'数据-取费表'!G16,0)</f>
        <v>105</v>
      </c>
      <c r="G12" s="529" t="s">
        <v>3472</v>
      </c>
      <c r="H12" s="255">
        <f>ROUND(100/'数据-取费表'!G16,0)</f>
        <v>105</v>
      </c>
      <c r="I12" s="529" t="s">
        <v>3472</v>
      </c>
      <c r="J12" s="255">
        <f>ROUND(100/'数据-取费表'!G16,0)</f>
        <v>105</v>
      </c>
      <c r="K12" s="531"/>
      <c r="L12" s="2138"/>
      <c r="M12" s="2132"/>
      <c r="N12" s="2132"/>
      <c r="O12" s="2139"/>
      <c r="P12" s="3390"/>
      <c r="Q12" s="1151" t="str">
        <f t="shared" si="6"/>
        <v>土地使用年限（年）</v>
      </c>
      <c r="R12" s="1568" t="s">
        <v>8</v>
      </c>
      <c r="S12" s="1569">
        <f t="shared" si="0"/>
        <v>105</v>
      </c>
      <c r="T12" s="1568" t="s">
        <v>8</v>
      </c>
      <c r="U12" s="1569">
        <f t="shared" si="1"/>
        <v>105</v>
      </c>
      <c r="V12" s="1568" t="s">
        <v>8</v>
      </c>
      <c r="W12" s="1569">
        <f t="shared" si="2"/>
        <v>105</v>
      </c>
      <c r="X12" s="1570"/>
      <c r="Y12" s="3336"/>
      <c r="Z12" s="1150" t="str">
        <f t="shared" si="7"/>
        <v>土地使用年限（年）</v>
      </c>
      <c r="AA12" s="1571">
        <f t="shared" si="3"/>
        <v>0.95238095238095233</v>
      </c>
      <c r="AB12" s="1571">
        <f t="shared" si="4"/>
        <v>0.95238095238095233</v>
      </c>
      <c r="AC12" s="1571">
        <f t="shared" si="5"/>
        <v>0.95238095238095233</v>
      </c>
    </row>
    <row r="13" spans="1:30" ht="21" thickBot="1">
      <c r="A13" s="2915"/>
      <c r="B13" s="2919" t="s">
        <v>2752</v>
      </c>
      <c r="C13" s="534">
        <f>'数据-汇总表'!I6</f>
        <v>2.23</v>
      </c>
      <c r="D13" s="255">
        <v>100</v>
      </c>
      <c r="E13" s="533">
        <f>土地案例!L1</f>
        <v>2</v>
      </c>
      <c r="F13" s="255">
        <f>LOOKUP(E13,82:82,83:83)-LOOKUP(C13,82:82,83:83)+100</f>
        <v>100</v>
      </c>
      <c r="G13" s="534">
        <f>土地案例!L2</f>
        <v>2</v>
      </c>
      <c r="H13" s="255">
        <f>LOOKUP(G13,82:82,83:83)-LOOKUP(C13,82:82,83:83)+100</f>
        <v>100</v>
      </c>
      <c r="I13" s="533">
        <f>土地案例!L3</f>
        <v>1.5</v>
      </c>
      <c r="J13" s="255">
        <f>LOOKUP(I13,82:82,83:83)-LOOKUP(C13,82:82,83:83)+100</f>
        <v>102</v>
      </c>
      <c r="K13" s="535">
        <v>2</v>
      </c>
      <c r="L13" s="2140"/>
      <c r="M13" s="2132"/>
      <c r="N13" s="2132"/>
      <c r="O13" s="2141"/>
      <c r="P13" s="3390"/>
      <c r="Q13" s="1151" t="str">
        <f t="shared" si="6"/>
        <v>容积率</v>
      </c>
      <c r="R13" s="1568" t="s">
        <v>8</v>
      </c>
      <c r="S13" s="1569">
        <f t="shared" si="0"/>
        <v>100</v>
      </c>
      <c r="T13" s="1568" t="s">
        <v>8</v>
      </c>
      <c r="U13" s="1569">
        <f t="shared" si="1"/>
        <v>100</v>
      </c>
      <c r="V13" s="1568" t="s">
        <v>8</v>
      </c>
      <c r="W13" s="1569">
        <f t="shared" si="2"/>
        <v>102</v>
      </c>
      <c r="X13" s="1570"/>
      <c r="Y13" s="3336"/>
      <c r="Z13" s="1150" t="str">
        <f t="shared" si="7"/>
        <v>容积率</v>
      </c>
      <c r="AA13" s="1571">
        <f t="shared" si="3"/>
        <v>1</v>
      </c>
      <c r="AB13" s="1571">
        <f t="shared" si="4"/>
        <v>1</v>
      </c>
      <c r="AC13" s="1571">
        <f t="shared" si="5"/>
        <v>0.98039215686274506</v>
      </c>
    </row>
    <row r="14" spans="1:30" s="1220" customFormat="1" ht="20.25" hidden="1">
      <c r="A14" s="2912"/>
      <c r="B14" s="2921" t="s">
        <v>2753</v>
      </c>
      <c r="C14" s="290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90"/>
      <c r="Q14" s="1151" t="str">
        <f t="shared" si="6"/>
        <v>配建</v>
      </c>
      <c r="R14" s="1568" t="s">
        <v>8</v>
      </c>
      <c r="S14" s="1569">
        <f t="shared" si="0"/>
        <v>100</v>
      </c>
      <c r="T14" s="1568" t="s">
        <v>8</v>
      </c>
      <c r="U14" s="1569">
        <f t="shared" si="1"/>
        <v>100</v>
      </c>
      <c r="V14" s="1568" t="s">
        <v>8</v>
      </c>
      <c r="W14" s="1569">
        <f t="shared" si="2"/>
        <v>100</v>
      </c>
      <c r="X14" s="1570"/>
      <c r="Y14" s="3336"/>
      <c r="Z14" s="1150" t="str">
        <f t="shared" si="7"/>
        <v>配建</v>
      </c>
      <c r="AA14" s="1571">
        <f>D14/F14</f>
        <v>1</v>
      </c>
      <c r="AB14" s="1571">
        <f>D14/H14</f>
        <v>1</v>
      </c>
      <c r="AC14" s="1571">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90"/>
      <c r="Q15" s="1151">
        <f t="shared" si="6"/>
        <v>111</v>
      </c>
      <c r="R15" s="1568" t="s">
        <v>8</v>
      </c>
      <c r="S15" s="1569">
        <f t="shared" si="0"/>
        <v>100</v>
      </c>
      <c r="T15" s="1568" t="s">
        <v>8</v>
      </c>
      <c r="U15" s="1569">
        <f t="shared" si="1"/>
        <v>100</v>
      </c>
      <c r="V15" s="1568" t="s">
        <v>8</v>
      </c>
      <c r="W15" s="1569">
        <f t="shared" si="2"/>
        <v>100</v>
      </c>
      <c r="X15" s="1570"/>
      <c r="Y15" s="3336"/>
      <c r="Z15" s="1150">
        <f t="shared" si="7"/>
        <v>111</v>
      </c>
      <c r="AA15" s="1571">
        <f>D15/F15</f>
        <v>1</v>
      </c>
      <c r="AB15" s="1571">
        <f>D15/H15</f>
        <v>1</v>
      </c>
      <c r="AC15" s="1571">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0"/>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D16/F16</f>
        <v>1</v>
      </c>
      <c r="AB16" s="1571">
        <f>D16/H16</f>
        <v>1</v>
      </c>
      <c r="AC16" s="1571">
        <f>D16/J16</f>
        <v>1</v>
      </c>
    </row>
    <row r="17" spans="1:29" ht="20.25">
      <c r="A17" s="2909" t="s">
        <v>2748</v>
      </c>
      <c r="B17" s="578" t="s">
        <v>293</v>
      </c>
      <c r="C17" s="548" t="str">
        <f>估价对象房地状况!C15</f>
        <v>较好</v>
      </c>
      <c r="D17" s="551">
        <v>100</v>
      </c>
      <c r="E17" s="3211" t="s">
        <v>3466</v>
      </c>
      <c r="F17" s="549">
        <f>SUMIF(90:90,E18,91:91)-SUMIF(90:90,C18,91:91)+100</f>
        <v>100</v>
      </c>
      <c r="G17" s="3220" t="s">
        <v>3479</v>
      </c>
      <c r="H17" s="549">
        <f>SUMIF(90:90,G18,91:91)-SUMIF(90:90,C18,91:91)+100</f>
        <v>100</v>
      </c>
      <c r="I17" s="3211" t="s">
        <v>3467</v>
      </c>
      <c r="J17" s="549">
        <f>SUMIF(90:90,I18,91:91)-SUMIF(90:90,C18,91:91)+100</f>
        <v>98</v>
      </c>
      <c r="K17" s="535">
        <v>2</v>
      </c>
      <c r="L17" s="2142"/>
      <c r="M17" s="2132"/>
      <c r="N17" s="2132"/>
      <c r="O17" s="2141"/>
      <c r="P17" s="3425" t="s">
        <v>538</v>
      </c>
      <c r="Q17" s="1572" t="str">
        <f t="shared" si="6"/>
        <v>居住社区成熟度</v>
      </c>
      <c r="R17" s="1573" t="s">
        <v>8</v>
      </c>
      <c r="S17" s="1574">
        <f t="shared" si="0"/>
        <v>100</v>
      </c>
      <c r="T17" s="1573" t="s">
        <v>8</v>
      </c>
      <c r="U17" s="1574">
        <f t="shared" si="1"/>
        <v>100</v>
      </c>
      <c r="V17" s="1573" t="s">
        <v>8</v>
      </c>
      <c r="W17" s="1574">
        <f t="shared" si="2"/>
        <v>98</v>
      </c>
      <c r="X17" s="1567"/>
      <c r="Y17" s="3425" t="s">
        <v>538</v>
      </c>
      <c r="Z17" s="1575" t="str">
        <f t="shared" si="7"/>
        <v>居住社区成熟度</v>
      </c>
      <c r="AA17" s="1576">
        <f t="shared" si="3"/>
        <v>1</v>
      </c>
      <c r="AB17" s="1576">
        <f t="shared" si="4"/>
        <v>1</v>
      </c>
      <c r="AC17" s="1576">
        <f t="shared" si="5"/>
        <v>1.0204081632653061</v>
      </c>
    </row>
    <row r="18" spans="1:29" ht="20.25">
      <c r="A18" s="532"/>
      <c r="B18" s="553"/>
      <c r="C18" s="554" t="s">
        <v>2997</v>
      </c>
      <c r="D18" s="557"/>
      <c r="E18" s="554" t="s">
        <v>2997</v>
      </c>
      <c r="F18" s="555"/>
      <c r="G18" s="554" t="s">
        <v>2997</v>
      </c>
      <c r="H18" s="559"/>
      <c r="I18" s="554" t="s">
        <v>2999</v>
      </c>
      <c r="J18" s="555"/>
      <c r="K18" s="531"/>
      <c r="L18" s="2142"/>
      <c r="M18" s="2132"/>
      <c r="N18" s="2132"/>
      <c r="O18" s="2141"/>
      <c r="P18" s="3426"/>
      <c r="Q18" s="1572"/>
      <c r="R18" s="1573"/>
      <c r="S18" s="1574"/>
      <c r="T18" s="1573"/>
      <c r="U18" s="1574"/>
      <c r="V18" s="1573"/>
      <c r="W18" s="1574"/>
      <c r="X18" s="1567"/>
      <c r="Y18" s="3426"/>
      <c r="Z18" s="1575"/>
      <c r="AA18" s="1576">
        <v>1</v>
      </c>
      <c r="AB18" s="1576">
        <v>1</v>
      </c>
      <c r="AC18" s="1576">
        <v>1</v>
      </c>
    </row>
    <row r="19" spans="1:29" ht="20.25">
      <c r="A19" s="532"/>
      <c r="B19" s="560" t="s">
        <v>539</v>
      </c>
      <c r="C19" s="561" t="str">
        <f>估价对象房地状况!C16</f>
        <v>一般</v>
      </c>
      <c r="D19" s="563">
        <v>100</v>
      </c>
      <c r="E19" s="3220" t="s">
        <v>3479</v>
      </c>
      <c r="F19" s="559">
        <f>SUMIF(92:92,E20,93:93)-SUMIF(92:92,C20,93:93)+100</f>
        <v>102</v>
      </c>
      <c r="G19" s="3220" t="s">
        <v>3479</v>
      </c>
      <c r="H19" s="565">
        <f>SUMIF(92:92,G20,93:93)-SUMIF(92:92,C20,93:93)+100</f>
        <v>102</v>
      </c>
      <c r="I19" s="3213" t="s">
        <v>3467</v>
      </c>
      <c r="J19" s="565">
        <f>SUMIF(92:92,I20,93:93)-SUMIF(92:92,C20,93:93)+100</f>
        <v>100</v>
      </c>
      <c r="K19" s="535">
        <v>2</v>
      </c>
      <c r="L19" s="2142"/>
      <c r="M19" s="2132"/>
      <c r="N19" s="2132"/>
      <c r="O19" s="2141"/>
      <c r="P19" s="3426"/>
      <c r="Q19" s="1572" t="str">
        <f>B19</f>
        <v>商业繁华度</v>
      </c>
      <c r="R19" s="1573" t="s">
        <v>8</v>
      </c>
      <c r="S19" s="1574">
        <f>F19</f>
        <v>102</v>
      </c>
      <c r="T19" s="1573" t="s">
        <v>8</v>
      </c>
      <c r="U19" s="1574">
        <f>H19</f>
        <v>102</v>
      </c>
      <c r="V19" s="1573" t="s">
        <v>8</v>
      </c>
      <c r="W19" s="1574">
        <f>J19</f>
        <v>100</v>
      </c>
      <c r="X19" s="1567"/>
      <c r="Y19" s="3426"/>
      <c r="Z19" s="1575" t="str">
        <f>Q19</f>
        <v>商业繁华度</v>
      </c>
      <c r="AA19" s="1576">
        <f t="shared" si="3"/>
        <v>0.98039215686274506</v>
      </c>
      <c r="AB19" s="1576">
        <f t="shared" si="4"/>
        <v>0.98039215686274506</v>
      </c>
      <c r="AC19" s="1576">
        <f t="shared" si="5"/>
        <v>1</v>
      </c>
    </row>
    <row r="20" spans="1:29" ht="20.25">
      <c r="A20" s="532"/>
      <c r="B20" s="566"/>
      <c r="C20" s="567" t="s">
        <v>2999</v>
      </c>
      <c r="D20" s="563"/>
      <c r="E20" s="567" t="s">
        <v>2997</v>
      </c>
      <c r="F20" s="559"/>
      <c r="G20" s="567" t="s">
        <v>2997</v>
      </c>
      <c r="H20" s="555"/>
      <c r="I20" s="567" t="s">
        <v>2999</v>
      </c>
      <c r="J20" s="555"/>
      <c r="K20" s="531"/>
      <c r="L20" s="2142"/>
      <c r="M20" s="2132"/>
      <c r="N20" s="2132"/>
      <c r="O20" s="2141"/>
      <c r="P20" s="3426"/>
      <c r="Q20" s="1572"/>
      <c r="R20" s="1573"/>
      <c r="S20" s="1574"/>
      <c r="T20" s="1573"/>
      <c r="U20" s="1574"/>
      <c r="V20" s="1573"/>
      <c r="W20" s="1574"/>
      <c r="X20" s="1567"/>
      <c r="Y20" s="3426"/>
      <c r="Z20" s="1575"/>
      <c r="AA20" s="1576">
        <v>1</v>
      </c>
      <c r="AB20" s="1576">
        <v>1</v>
      </c>
      <c r="AC20" s="1576">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26"/>
      <c r="Q21" s="1572" t="str">
        <f>B21</f>
        <v>办公集聚程度</v>
      </c>
      <c r="R21" s="1573" t="s">
        <v>8</v>
      </c>
      <c r="S21" s="1574">
        <f>F21</f>
        <v>100</v>
      </c>
      <c r="T21" s="1573" t="s">
        <v>8</v>
      </c>
      <c r="U21" s="1574">
        <f>H21</f>
        <v>100</v>
      </c>
      <c r="V21" s="1573" t="s">
        <v>8</v>
      </c>
      <c r="W21" s="1574">
        <f>J21</f>
        <v>100</v>
      </c>
      <c r="X21" s="1567"/>
      <c r="Y21" s="342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26"/>
      <c r="Q22" s="1572"/>
      <c r="R22" s="1573"/>
      <c r="S22" s="1574"/>
      <c r="T22" s="1573"/>
      <c r="U22" s="1574"/>
      <c r="V22" s="1573"/>
      <c r="W22" s="1574"/>
      <c r="X22" s="1567"/>
      <c r="Y22" s="3426"/>
      <c r="Z22" s="1575"/>
      <c r="AA22" s="1576">
        <v>1</v>
      </c>
      <c r="AB22" s="1576">
        <v>1</v>
      </c>
      <c r="AC22" s="1576">
        <v>1</v>
      </c>
    </row>
    <row r="23" spans="1:29" ht="20.25">
      <c r="A23" s="532"/>
      <c r="B23" s="560" t="s">
        <v>541</v>
      </c>
      <c r="C23" s="573" t="str">
        <f>估价对象房地状况!C18</f>
        <v>较好</v>
      </c>
      <c r="D23" s="563">
        <v>100</v>
      </c>
      <c r="E23" s="3220" t="s">
        <v>3479</v>
      </c>
      <c r="F23" s="565">
        <f>SUMIF(96:96,E24,97:97)-SUMIF(96:96,C24,97:97)+100</f>
        <v>100</v>
      </c>
      <c r="G23" s="3221" t="s">
        <v>3468</v>
      </c>
      <c r="H23" s="559">
        <f>SUMIF(96:96,G24,97:97)-SUMIF(96:96,C24,97:97)+100</f>
        <v>98</v>
      </c>
      <c r="I23" s="3213" t="s">
        <v>3468</v>
      </c>
      <c r="J23" s="559">
        <f>SUMIF(96:96,I24,97:97)-SUMIF(96:96,C24,97:97)+100</f>
        <v>98</v>
      </c>
      <c r="K23" s="535">
        <v>2</v>
      </c>
      <c r="L23" s="2142"/>
      <c r="M23" s="2132"/>
      <c r="N23" s="2132"/>
      <c r="O23" s="2141"/>
      <c r="P23" s="3426"/>
      <c r="Q23" s="1572" t="str">
        <f>B23</f>
        <v>交通便捷度</v>
      </c>
      <c r="R23" s="1573" t="s">
        <v>8</v>
      </c>
      <c r="S23" s="1574">
        <f>F23</f>
        <v>100</v>
      </c>
      <c r="T23" s="1573" t="s">
        <v>8</v>
      </c>
      <c r="U23" s="1574">
        <f>H23</f>
        <v>98</v>
      </c>
      <c r="V23" s="1573" t="s">
        <v>8</v>
      </c>
      <c r="W23" s="1574">
        <f>J23</f>
        <v>98</v>
      </c>
      <c r="X23" s="1567"/>
      <c r="Y23" s="3426"/>
      <c r="Z23" s="1575" t="str">
        <f>Q23</f>
        <v>交通便捷度</v>
      </c>
      <c r="AA23" s="1576">
        <f t="shared" si="3"/>
        <v>1</v>
      </c>
      <c r="AB23" s="1576">
        <f t="shared" si="4"/>
        <v>1.0204081632653061</v>
      </c>
      <c r="AC23" s="1576">
        <f t="shared" si="5"/>
        <v>1.0204081632653061</v>
      </c>
    </row>
    <row r="24" spans="1:29" ht="21" thickBot="1">
      <c r="A24" s="532"/>
      <c r="B24" s="578"/>
      <c r="C24" s="554" t="s">
        <v>2997</v>
      </c>
      <c r="D24" s="557"/>
      <c r="E24" s="554" t="s">
        <v>2997</v>
      </c>
      <c r="F24" s="555"/>
      <c r="G24" s="554" t="s">
        <v>2999</v>
      </c>
      <c r="H24" s="555"/>
      <c r="I24" s="554" t="s">
        <v>2999</v>
      </c>
      <c r="J24" s="555"/>
      <c r="K24" s="531"/>
      <c r="L24" s="2142"/>
      <c r="M24" s="2132"/>
      <c r="N24" s="2132"/>
      <c r="O24" s="2141"/>
      <c r="P24" s="3426"/>
      <c r="Q24" s="1572"/>
      <c r="R24" s="1573"/>
      <c r="S24" s="1574"/>
      <c r="T24" s="1573"/>
      <c r="U24" s="1574"/>
      <c r="V24" s="1573"/>
      <c r="W24" s="1574"/>
      <c r="X24" s="1567"/>
      <c r="Y24" s="3426"/>
      <c r="Z24" s="1575"/>
      <c r="AA24" s="1576">
        <v>1</v>
      </c>
      <c r="AB24" s="1576">
        <v>1</v>
      </c>
      <c r="AC24" s="1576">
        <v>1</v>
      </c>
    </row>
    <row r="25" spans="1:29" ht="27">
      <c r="A25" s="515"/>
      <c r="B25" s="259" t="s">
        <v>542</v>
      </c>
      <c r="C25" s="573" t="str">
        <f>估价对象房地状况!C19</f>
        <v>较好</v>
      </c>
      <c r="D25" s="563">
        <v>100</v>
      </c>
      <c r="E25" s="3211" t="s">
        <v>3466</v>
      </c>
      <c r="F25" s="565">
        <f>SUMIF(98:98,E26,99:99)-SUMIF(98:98,C26,99:99)+100</f>
        <v>100</v>
      </c>
      <c r="G25" s="3211" t="s">
        <v>3466</v>
      </c>
      <c r="H25" s="559">
        <f>SUMIF(98:98,G26,99:99)-SUMIF(98:98,C26,99:99)+100</f>
        <v>100</v>
      </c>
      <c r="I25" s="3211" t="s">
        <v>3466</v>
      </c>
      <c r="J25" s="559">
        <f>SUMIF(98:98,I26,99:99)-SUMIF(98:98,C26,99:99)+100</f>
        <v>100</v>
      </c>
      <c r="K25" s="535">
        <v>2</v>
      </c>
      <c r="L25" s="2142"/>
      <c r="M25" s="2132"/>
      <c r="N25" s="2132"/>
      <c r="O25" s="2141"/>
      <c r="P25" s="3426"/>
      <c r="Q25" s="1572" t="str">
        <f t="shared" ref="Q25:Q39" si="8">B25</f>
        <v>区域土地利用方向</v>
      </c>
      <c r="R25" s="1573" t="s">
        <v>8</v>
      </c>
      <c r="S25" s="1574">
        <f>F25</f>
        <v>100</v>
      </c>
      <c r="T25" s="1573" t="s">
        <v>8</v>
      </c>
      <c r="U25" s="1574">
        <f>H25</f>
        <v>100</v>
      </c>
      <c r="V25" s="1573" t="s">
        <v>8</v>
      </c>
      <c r="W25" s="1574">
        <f>J25</f>
        <v>100</v>
      </c>
      <c r="X25" s="1567"/>
      <c r="Y25" s="3426"/>
      <c r="Z25" s="1575" t="str">
        <f>Q25</f>
        <v>区域土地利用方向</v>
      </c>
      <c r="AA25" s="1576">
        <f t="shared" si="3"/>
        <v>1</v>
      </c>
      <c r="AB25" s="1576">
        <f t="shared" si="4"/>
        <v>1</v>
      </c>
      <c r="AC25" s="1576">
        <f t="shared" si="5"/>
        <v>1</v>
      </c>
    </row>
    <row r="26" spans="1:29" ht="21" thickBot="1">
      <c r="A26" s="515"/>
      <c r="B26" s="1007"/>
      <c r="C26" s="554" t="s">
        <v>2997</v>
      </c>
      <c r="D26" s="557"/>
      <c r="E26" s="554" t="s">
        <v>2997</v>
      </c>
      <c r="F26" s="555"/>
      <c r="G26" s="554" t="s">
        <v>2997</v>
      </c>
      <c r="H26" s="555"/>
      <c r="I26" s="554" t="s">
        <v>2997</v>
      </c>
      <c r="J26" s="555"/>
      <c r="K26" s="531"/>
      <c r="L26" s="2142"/>
      <c r="M26" s="2132"/>
      <c r="N26" s="2132"/>
      <c r="O26" s="2141"/>
      <c r="P26" s="3426"/>
      <c r="Q26" s="1572"/>
      <c r="R26" s="1573"/>
      <c r="S26" s="1574"/>
      <c r="T26" s="1573"/>
      <c r="U26" s="1574"/>
      <c r="V26" s="1573"/>
      <c r="W26" s="1574"/>
      <c r="X26" s="1567"/>
      <c r="Y26" s="3426"/>
      <c r="Z26" s="1575"/>
      <c r="AA26" s="1576"/>
      <c r="AB26" s="1576"/>
      <c r="AC26" s="1576"/>
    </row>
    <row r="27" spans="1:29" ht="27">
      <c r="A27" s="515"/>
      <c r="B27" s="578" t="s">
        <v>543</v>
      </c>
      <c r="C27" s="561" t="str">
        <f>估价对象房地状况!C20</f>
        <v>较好</v>
      </c>
      <c r="D27" s="563">
        <v>100</v>
      </c>
      <c r="E27" s="3211" t="s">
        <v>3466</v>
      </c>
      <c r="F27" s="559">
        <f>SUMIF(100:100,E28,101:101)-SUMIF(100:100,C28,101:101)+100</f>
        <v>100</v>
      </c>
      <c r="G27" s="3211" t="s">
        <v>3466</v>
      </c>
      <c r="H27" s="559">
        <f>SUMIF(100:100,G28,101:101)-SUMIF(100:100,C28,101:101)+100</f>
        <v>100</v>
      </c>
      <c r="I27" s="3211" t="s">
        <v>3466</v>
      </c>
      <c r="J27" s="559">
        <f>SUMIF(100:100,I28,101:101)-SUMIF(100:100,C28,101:101)+100</f>
        <v>100</v>
      </c>
      <c r="K27" s="535">
        <v>2</v>
      </c>
      <c r="L27" s="2142"/>
      <c r="M27" s="2132"/>
      <c r="N27" s="2132"/>
      <c r="O27" s="2141"/>
      <c r="P27" s="3426"/>
      <c r="Q27" s="1572" t="str">
        <f t="shared" si="8"/>
        <v>自然及人文环境状况</v>
      </c>
      <c r="R27" s="1573" t="s">
        <v>8</v>
      </c>
      <c r="S27" s="1574">
        <f>F27</f>
        <v>100</v>
      </c>
      <c r="T27" s="1573" t="s">
        <v>8</v>
      </c>
      <c r="U27" s="1574">
        <f>H27</f>
        <v>100</v>
      </c>
      <c r="V27" s="1573" t="s">
        <v>8</v>
      </c>
      <c r="W27" s="1574">
        <f>J27</f>
        <v>100</v>
      </c>
      <c r="X27" s="1567"/>
      <c r="Y27" s="3426"/>
      <c r="Z27" s="1575" t="str">
        <f>Q27</f>
        <v>自然及人文环境状况</v>
      </c>
      <c r="AA27" s="1576">
        <f t="shared" si="3"/>
        <v>1</v>
      </c>
      <c r="AB27" s="1576">
        <f t="shared" si="4"/>
        <v>1</v>
      </c>
      <c r="AC27" s="1576">
        <f t="shared" si="5"/>
        <v>1</v>
      </c>
    </row>
    <row r="28" spans="1:29" ht="20.25">
      <c r="A28" s="515"/>
      <c r="B28" s="566"/>
      <c r="C28" s="554" t="s">
        <v>2997</v>
      </c>
      <c r="D28" s="557"/>
      <c r="E28" s="554" t="s">
        <v>2997</v>
      </c>
      <c r="F28" s="555"/>
      <c r="G28" s="554" t="s">
        <v>2997</v>
      </c>
      <c r="H28" s="555"/>
      <c r="I28" s="554" t="s">
        <v>2997</v>
      </c>
      <c r="J28" s="555"/>
      <c r="K28" s="531"/>
      <c r="L28" s="2142"/>
      <c r="M28" s="2132"/>
      <c r="N28" s="2132"/>
      <c r="O28" s="2141"/>
      <c r="P28" s="3426"/>
      <c r="Q28" s="1572"/>
      <c r="R28" s="1573"/>
      <c r="S28" s="1574"/>
      <c r="T28" s="1573"/>
      <c r="U28" s="1574"/>
      <c r="V28" s="1573"/>
      <c r="W28" s="1574"/>
      <c r="X28" s="1567"/>
      <c r="Y28" s="3426"/>
      <c r="Z28" s="1575"/>
      <c r="AA28" s="1576">
        <v>1</v>
      </c>
      <c r="AB28" s="1576">
        <v>1</v>
      </c>
      <c r="AC28" s="1576">
        <v>1</v>
      </c>
    </row>
    <row r="29" spans="1:29" s="1220" customFormat="1" ht="20.25">
      <c r="A29" s="577"/>
      <c r="B29" s="2591" t="s">
        <v>2542</v>
      </c>
      <c r="C29" s="573" t="str">
        <f>估价对象房地状况!C21</f>
        <v>一般</v>
      </c>
      <c r="D29" s="563">
        <v>100</v>
      </c>
      <c r="E29" s="3220" t="s">
        <v>3479</v>
      </c>
      <c r="F29" s="559">
        <f>SUMIF(102:102,E30,103:103)-SUMIF(102:102,C30,103:103)+100</f>
        <v>102</v>
      </c>
      <c r="G29" s="3220" t="s">
        <v>3479</v>
      </c>
      <c r="H29" s="559">
        <f>SUMIF(102:102,G30,103:103)-SUMIF(102:102,C30,103:103)+100</f>
        <v>102</v>
      </c>
      <c r="I29" s="3213" t="s">
        <v>3468</v>
      </c>
      <c r="J29" s="559">
        <f>SUMIF(102:102,I30,103:103)-SUMIF(102:102,C30,103:103)+100</f>
        <v>100</v>
      </c>
      <c r="K29" s="535">
        <v>2</v>
      </c>
      <c r="L29" s="2135"/>
      <c r="M29" s="2132"/>
      <c r="N29" s="2132"/>
      <c r="O29" s="2137"/>
      <c r="P29" s="3426"/>
      <c r="Q29" s="1151" t="str">
        <f t="shared" si="8"/>
        <v>公共配套设施</v>
      </c>
      <c r="R29" s="1568" t="s">
        <v>8</v>
      </c>
      <c r="S29" s="1569">
        <f>F29</f>
        <v>102</v>
      </c>
      <c r="T29" s="1568" t="s">
        <v>8</v>
      </c>
      <c r="U29" s="1569">
        <f>H29</f>
        <v>102</v>
      </c>
      <c r="V29" s="1568" t="s">
        <v>8</v>
      </c>
      <c r="W29" s="1569">
        <f>J29</f>
        <v>100</v>
      </c>
      <c r="X29" s="1570"/>
      <c r="Y29" s="3426"/>
      <c r="Z29" s="1150" t="str">
        <f>Q29</f>
        <v>公共配套设施</v>
      </c>
      <c r="AA29" s="1576">
        <f>D29/F29</f>
        <v>0.98039215686274506</v>
      </c>
      <c r="AB29" s="1576">
        <f>D29/H29</f>
        <v>0.98039215686274506</v>
      </c>
      <c r="AC29" s="1576">
        <f>D29/J29</f>
        <v>1</v>
      </c>
    </row>
    <row r="30" spans="1:29" s="1220" customFormat="1" ht="20.25">
      <c r="A30" s="577"/>
      <c r="B30" s="566"/>
      <c r="C30" s="579" t="s">
        <v>2999</v>
      </c>
      <c r="D30" s="557"/>
      <c r="E30" s="579" t="s">
        <v>2997</v>
      </c>
      <c r="F30" s="555"/>
      <c r="G30" s="579" t="s">
        <v>2997</v>
      </c>
      <c r="H30" s="555"/>
      <c r="I30" s="579" t="s">
        <v>2999</v>
      </c>
      <c r="J30" s="555"/>
      <c r="K30" s="531"/>
      <c r="L30" s="2135"/>
      <c r="M30" s="2132"/>
      <c r="N30" s="2132"/>
      <c r="O30" s="2137"/>
      <c r="P30" s="3426"/>
      <c r="Q30" s="1151"/>
      <c r="R30" s="1568"/>
      <c r="S30" s="1569"/>
      <c r="T30" s="1568"/>
      <c r="U30" s="1569"/>
      <c r="V30" s="1568"/>
      <c r="W30" s="1569"/>
      <c r="X30" s="1570"/>
      <c r="Y30" s="3426"/>
      <c r="Z30" s="1150"/>
      <c r="AA30" s="1576">
        <v>1</v>
      </c>
      <c r="AB30" s="1576">
        <v>1</v>
      </c>
      <c r="AC30" s="1576">
        <v>1</v>
      </c>
    </row>
    <row r="31" spans="1:29" s="1220" customFormat="1" ht="20.25">
      <c r="A31" s="577"/>
      <c r="B31" s="2591" t="s">
        <v>2543</v>
      </c>
      <c r="C31" s="573" t="str">
        <f>估价对象房地状况!C22</f>
        <v>七通</v>
      </c>
      <c r="D31" s="563">
        <v>100</v>
      </c>
      <c r="E31" s="3213" t="s">
        <v>3469</v>
      </c>
      <c r="F31" s="559">
        <f>SUMIF(104:104,E32,105:105)-SUMIF(104:104,C32,105:105)+100</f>
        <v>100</v>
      </c>
      <c r="G31" s="3214" t="s">
        <v>3469</v>
      </c>
      <c r="H31" s="559">
        <f>SUMIF(104:104,G32,105:105)-SUMIF(104:104,C32,105:105)+100</f>
        <v>100</v>
      </c>
      <c r="I31" s="3213" t="s">
        <v>3470</v>
      </c>
      <c r="J31" s="559">
        <f>SUMIF(104:104,I32,105:105)-SUMIF(104:104,C32,105:105)+100</f>
        <v>100</v>
      </c>
      <c r="K31" s="535">
        <v>1</v>
      </c>
      <c r="L31" s="2135"/>
      <c r="M31" s="2132"/>
      <c r="N31" s="2132"/>
      <c r="O31" s="2137"/>
      <c r="P31" s="3426"/>
      <c r="Q31" s="2578" t="str">
        <f t="shared" ref="Q31" si="9">B31</f>
        <v>基础设施水平</v>
      </c>
      <c r="R31" s="1568" t="s">
        <v>8</v>
      </c>
      <c r="S31" s="1569">
        <f>F31</f>
        <v>100</v>
      </c>
      <c r="T31" s="1568" t="s">
        <v>8</v>
      </c>
      <c r="U31" s="1569">
        <f>H31</f>
        <v>100</v>
      </c>
      <c r="V31" s="1568" t="s">
        <v>8</v>
      </c>
      <c r="W31" s="1569">
        <f>J31</f>
        <v>100</v>
      </c>
      <c r="X31" s="1570"/>
      <c r="Y31" s="3426"/>
      <c r="Z31" s="2575" t="str">
        <f>Q31</f>
        <v>基础设施水平</v>
      </c>
      <c r="AA31" s="1576">
        <f>D31/F31</f>
        <v>1</v>
      </c>
      <c r="AB31" s="1576">
        <f>D31/H31</f>
        <v>1</v>
      </c>
      <c r="AC31" s="1576">
        <f>D31/J31</f>
        <v>1</v>
      </c>
    </row>
    <row r="32" spans="1:29" s="1220" customFormat="1" ht="21" thickBot="1">
      <c r="A32" s="577"/>
      <c r="B32" s="566"/>
      <c r="C32" s="579" t="s">
        <v>3002</v>
      </c>
      <c r="D32" s="557"/>
      <c r="E32" s="579" t="s">
        <v>3002</v>
      </c>
      <c r="F32" s="555"/>
      <c r="G32" s="579" t="s">
        <v>3002</v>
      </c>
      <c r="H32" s="555"/>
      <c r="I32" s="579" t="s">
        <v>3002</v>
      </c>
      <c r="J32" s="555"/>
      <c r="K32" s="531"/>
      <c r="L32" s="2135"/>
      <c r="M32" s="2132"/>
      <c r="N32" s="2132"/>
      <c r="O32" s="2137"/>
      <c r="P32" s="3426"/>
      <c r="Q32" s="2578"/>
      <c r="R32" s="1568"/>
      <c r="S32" s="1569"/>
      <c r="T32" s="1568"/>
      <c r="U32" s="1569"/>
      <c r="V32" s="1568"/>
      <c r="W32" s="1569"/>
      <c r="X32" s="1570"/>
      <c r="Y32" s="3426"/>
      <c r="Z32" s="2575"/>
      <c r="AA32" s="1576">
        <v>1</v>
      </c>
      <c r="AB32" s="1576">
        <v>1</v>
      </c>
      <c r="AC32" s="1576">
        <v>1</v>
      </c>
    </row>
    <row r="33" spans="1:29" ht="20.2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2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6"/>
      <c r="Z33" s="1575" t="str">
        <f t="shared" ref="Z33:Z47" si="13">Q33</f>
        <v>临街状况</v>
      </c>
      <c r="AA33" s="1576">
        <f t="shared" si="3"/>
        <v>1</v>
      </c>
      <c r="AB33" s="1576">
        <f t="shared" si="4"/>
        <v>1</v>
      </c>
      <c r="AC33" s="1576">
        <f t="shared" si="5"/>
        <v>1</v>
      </c>
    </row>
    <row r="34" spans="1:29" ht="27" hidden="1">
      <c r="A34" s="532"/>
      <c r="B34" s="578" t="s">
        <v>546</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26"/>
      <c r="Q34" s="1572" t="str">
        <f t="shared" si="8"/>
        <v>毗邻道路的类型与等级</v>
      </c>
      <c r="R34" s="1573" t="s">
        <v>8</v>
      </c>
      <c r="S34" s="1574">
        <f t="shared" si="10"/>
        <v>100</v>
      </c>
      <c r="T34" s="1573" t="s">
        <v>8</v>
      </c>
      <c r="U34" s="1574">
        <f t="shared" si="11"/>
        <v>100</v>
      </c>
      <c r="V34" s="1573" t="s">
        <v>8</v>
      </c>
      <c r="W34" s="1574">
        <f t="shared" si="12"/>
        <v>100</v>
      </c>
      <c r="X34" s="1567"/>
      <c r="Y34" s="3426"/>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2"/>
      <c r="M35" s="2132"/>
      <c r="N35" s="2132"/>
      <c r="O35" s="2141"/>
      <c r="P35" s="3426"/>
      <c r="Q35" s="1572"/>
      <c r="R35" s="1573"/>
      <c r="S35" s="1574"/>
      <c r="T35" s="1573"/>
      <c r="U35" s="1574"/>
      <c r="V35" s="1573"/>
      <c r="W35" s="1574"/>
      <c r="X35" s="1567"/>
      <c r="Y35" s="3426"/>
      <c r="Z35" s="1575"/>
      <c r="AA35" s="1576">
        <v>1</v>
      </c>
      <c r="AB35" s="1576">
        <v>1</v>
      </c>
      <c r="AC35" s="1576">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6"/>
      <c r="Q36" s="1572" t="str">
        <f t="shared" si="8"/>
        <v>土地级别</v>
      </c>
      <c r="R36" s="1573" t="s">
        <v>8</v>
      </c>
      <c r="S36" s="1574">
        <f t="shared" si="10"/>
        <v>100</v>
      </c>
      <c r="T36" s="1573" t="s">
        <v>8</v>
      </c>
      <c r="U36" s="1574">
        <f t="shared" si="11"/>
        <v>100</v>
      </c>
      <c r="V36" s="1573" t="s">
        <v>8</v>
      </c>
      <c r="W36" s="1574">
        <f t="shared" si="12"/>
        <v>100</v>
      </c>
      <c r="X36" s="1567"/>
      <c r="Y36" s="3426"/>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6"/>
      <c r="Q37" s="1572">
        <f t="shared" si="8"/>
        <v>111</v>
      </c>
      <c r="R37" s="1573" t="s">
        <v>8</v>
      </c>
      <c r="S37" s="1574">
        <f t="shared" si="10"/>
        <v>100</v>
      </c>
      <c r="T37" s="1573" t="s">
        <v>8</v>
      </c>
      <c r="U37" s="1574">
        <f t="shared" si="11"/>
        <v>100</v>
      </c>
      <c r="V37" s="1573" t="s">
        <v>8</v>
      </c>
      <c r="W37" s="1574">
        <f t="shared" si="12"/>
        <v>100</v>
      </c>
      <c r="X37" s="1567"/>
      <c r="Y37" s="3426"/>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7" t="s">
        <v>548</v>
      </c>
      <c r="Q38" s="1572">
        <f t="shared" si="8"/>
        <v>111</v>
      </c>
      <c r="R38" s="1573" t="s">
        <v>8</v>
      </c>
      <c r="S38" s="1574">
        <f t="shared" si="10"/>
        <v>100</v>
      </c>
      <c r="T38" s="1573" t="s">
        <v>8</v>
      </c>
      <c r="U38" s="1574">
        <f t="shared" si="11"/>
        <v>100</v>
      </c>
      <c r="V38" s="1573" t="s">
        <v>8</v>
      </c>
      <c r="W38" s="1574">
        <f t="shared" si="12"/>
        <v>100</v>
      </c>
      <c r="X38" s="1567"/>
      <c r="Y38" s="3428" t="s">
        <v>548</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8"/>
      <c r="Q39" s="1572">
        <f t="shared" si="8"/>
        <v>111</v>
      </c>
      <c r="R39" s="1577" t="s">
        <v>8</v>
      </c>
      <c r="S39" s="1578">
        <f t="shared" si="10"/>
        <v>100</v>
      </c>
      <c r="T39" s="1577" t="s">
        <v>8</v>
      </c>
      <c r="U39" s="1578">
        <f t="shared" si="11"/>
        <v>100</v>
      </c>
      <c r="V39" s="1577" t="s">
        <v>8</v>
      </c>
      <c r="W39" s="1578">
        <f t="shared" si="12"/>
        <v>100</v>
      </c>
      <c r="X39" s="1579"/>
      <c r="Y39" s="3428"/>
      <c r="Z39" s="1580">
        <f t="shared" si="13"/>
        <v>111</v>
      </c>
      <c r="AA39" s="1576">
        <f t="shared" si="3"/>
        <v>1</v>
      </c>
      <c r="AB39" s="1576">
        <f t="shared" si="4"/>
        <v>1</v>
      </c>
      <c r="AC39" s="1576">
        <f t="shared" si="5"/>
        <v>1</v>
      </c>
    </row>
    <row r="40" spans="1:29" ht="20.25">
      <c r="A40" s="2907" t="s">
        <v>2749</v>
      </c>
      <c r="B40" s="595" t="s">
        <v>550</v>
      </c>
      <c r="C40" s="596">
        <f>'数据-汇总表'!D3</f>
        <v>51383.96</v>
      </c>
      <c r="D40" s="597">
        <v>100</v>
      </c>
      <c r="E40" s="596">
        <f>土地案例!J1</f>
        <v>57199.7</v>
      </c>
      <c r="F40" s="597">
        <f>LOOKUP(E40,119:119,120:120)-LOOKUP(C40,119:119,120:120)+100</f>
        <v>100</v>
      </c>
      <c r="G40" s="596">
        <f>土地案例!J2</f>
        <v>35189.5</v>
      </c>
      <c r="H40" s="597">
        <f>LOOKUP(G40,119:119,120:120)-LOOKUP(C40,119:119,120:120)+100</f>
        <v>99</v>
      </c>
      <c r="I40" s="598">
        <f>土地案例!J3</f>
        <v>149245.1</v>
      </c>
      <c r="J40" s="597">
        <f>LOOKUP(I40,119:119,120:120)-LOOKUP(C40,119:119,120:120)+100</f>
        <v>101</v>
      </c>
      <c r="K40" s="581"/>
      <c r="L40" s="2142"/>
      <c r="M40" s="2132"/>
      <c r="N40" s="2132"/>
      <c r="O40" s="2141"/>
      <c r="P40" s="3428"/>
      <c r="Q40" s="1572" t="str">
        <f>B40</f>
        <v>宗地面积</v>
      </c>
      <c r="R40" s="1573" t="s">
        <v>8</v>
      </c>
      <c r="S40" s="1574">
        <f t="shared" si="10"/>
        <v>100</v>
      </c>
      <c r="T40" s="1573" t="s">
        <v>8</v>
      </c>
      <c r="U40" s="1574">
        <f t="shared" si="11"/>
        <v>99</v>
      </c>
      <c r="V40" s="1573" t="s">
        <v>8</v>
      </c>
      <c r="W40" s="1574">
        <f t="shared" si="12"/>
        <v>101</v>
      </c>
      <c r="X40" s="1567"/>
      <c r="Y40" s="3428"/>
      <c r="Z40" s="1575" t="str">
        <f t="shared" si="13"/>
        <v>宗地面积</v>
      </c>
      <c r="AA40" s="1576">
        <f t="shared" si="3"/>
        <v>1</v>
      </c>
      <c r="AB40" s="1576">
        <f t="shared" si="4"/>
        <v>1.0101010101010102</v>
      </c>
      <c r="AC40" s="1576">
        <f t="shared" si="5"/>
        <v>0.99009900990099009</v>
      </c>
    </row>
    <row r="41" spans="1:29" ht="20.25">
      <c r="A41" s="594"/>
      <c r="B41" s="527" t="s">
        <v>551</v>
      </c>
      <c r="C41" s="3188" t="s">
        <v>3080</v>
      </c>
      <c r="D41" s="540">
        <v>100</v>
      </c>
      <c r="E41" s="3188" t="s">
        <v>3080</v>
      </c>
      <c r="F41" s="540">
        <f>SUMIF(121:121,E41,122:122)-SUMIF(121:121,C41,122:122)+100</f>
        <v>100</v>
      </c>
      <c r="G41" s="3188" t="s">
        <v>3080</v>
      </c>
      <c r="H41" s="540">
        <f>SUMIF(121:121,G41,122:122)-SUMIF(121:121,C41,122:122)+100</f>
        <v>100</v>
      </c>
      <c r="I41" s="3188" t="s">
        <v>3080</v>
      </c>
      <c r="J41" s="540">
        <f>SUMIF(121:121,I41,122:122)-SUMIF(121:121,C41,122:122)+100</f>
        <v>100</v>
      </c>
      <c r="K41" s="584">
        <v>2</v>
      </c>
      <c r="L41" s="2142"/>
      <c r="M41" s="2132"/>
      <c r="N41" s="2132"/>
      <c r="O41" s="2141"/>
      <c r="P41" s="3428"/>
      <c r="Q41" s="1572" t="str">
        <f t="shared" ref="Q41:Q47" si="14">B41</f>
        <v>宗地形状</v>
      </c>
      <c r="R41" s="1573" t="s">
        <v>8</v>
      </c>
      <c r="S41" s="1574">
        <f t="shared" si="10"/>
        <v>100</v>
      </c>
      <c r="T41" s="1573" t="s">
        <v>8</v>
      </c>
      <c r="U41" s="1574">
        <f t="shared" si="11"/>
        <v>100</v>
      </c>
      <c r="V41" s="1573" t="s">
        <v>8</v>
      </c>
      <c r="W41" s="1574">
        <f t="shared" si="12"/>
        <v>100</v>
      </c>
      <c r="X41" s="1567"/>
      <c r="Y41" s="3428"/>
      <c r="Z41" s="1575" t="str">
        <f t="shared" si="13"/>
        <v>宗地形状</v>
      </c>
      <c r="AA41" s="1576">
        <f t="shared" si="3"/>
        <v>1</v>
      </c>
      <c r="AB41" s="1576">
        <f t="shared" si="4"/>
        <v>1</v>
      </c>
      <c r="AC41" s="1576">
        <f t="shared" si="5"/>
        <v>1</v>
      </c>
    </row>
    <row r="42" spans="1:29" ht="20.25">
      <c r="A42" s="594"/>
      <c r="B42" s="527" t="s">
        <v>552</v>
      </c>
      <c r="C42" s="3188" t="s">
        <v>3081</v>
      </c>
      <c r="D42" s="540">
        <v>100</v>
      </c>
      <c r="E42" s="3188" t="s">
        <v>3081</v>
      </c>
      <c r="F42" s="540">
        <f>SUMIF(123:123,E42,124:124)-SUMIF(123:123,C42,124:124)+100</f>
        <v>100</v>
      </c>
      <c r="G42" s="3188" t="s">
        <v>3081</v>
      </c>
      <c r="H42" s="540">
        <f>SUMIF(123:123,G42,124:124)-SUMIF(123:123,C42,124:124)+100</f>
        <v>100</v>
      </c>
      <c r="I42" s="3188" t="s">
        <v>3081</v>
      </c>
      <c r="J42" s="540">
        <f>SUMIF(123:123,I42,124:124)-SUMIF(123:123,C42,124:124)+100</f>
        <v>100</v>
      </c>
      <c r="K42" s="584">
        <v>2</v>
      </c>
      <c r="L42" s="2142"/>
      <c r="M42" s="2132"/>
      <c r="N42" s="2132"/>
      <c r="O42" s="2141"/>
      <c r="P42" s="3428"/>
      <c r="Q42" s="1572" t="str">
        <f t="shared" si="14"/>
        <v>临街宽度及深度</v>
      </c>
      <c r="R42" s="1573" t="s">
        <v>8</v>
      </c>
      <c r="S42" s="1574">
        <f t="shared" si="10"/>
        <v>100</v>
      </c>
      <c r="T42" s="1573" t="s">
        <v>8</v>
      </c>
      <c r="U42" s="1574">
        <f t="shared" si="11"/>
        <v>100</v>
      </c>
      <c r="V42" s="1573" t="s">
        <v>8</v>
      </c>
      <c r="W42" s="1574">
        <f t="shared" si="12"/>
        <v>100</v>
      </c>
      <c r="X42" s="1567"/>
      <c r="Y42" s="3428"/>
      <c r="Z42" s="1575" t="str">
        <f t="shared" si="13"/>
        <v>临街宽度及深度</v>
      </c>
      <c r="AA42" s="1576">
        <f t="shared" si="3"/>
        <v>1</v>
      </c>
      <c r="AB42" s="1576">
        <f t="shared" si="4"/>
        <v>1</v>
      </c>
      <c r="AC42" s="1576">
        <f t="shared" si="5"/>
        <v>1</v>
      </c>
    </row>
    <row r="43" spans="1:29" s="1220" customFormat="1" ht="20.25">
      <c r="A43" s="600"/>
      <c r="B43" s="1895" t="s">
        <v>2420</v>
      </c>
      <c r="C43" s="3189" t="s">
        <v>3470</v>
      </c>
      <c r="D43" s="255">
        <v>100</v>
      </c>
      <c r="E43" s="3189" t="s">
        <v>3002</v>
      </c>
      <c r="F43" s="540">
        <f>SUMIF(125:125,E43,126:126)-SUMIF(125:125,C43,126:126)+100</f>
        <v>100</v>
      </c>
      <c r="G43" s="3189" t="s">
        <v>3002</v>
      </c>
      <c r="H43" s="540">
        <f>SUMIF(125:125,G43,126:126)-SUMIF(125:125,C43,126:126)+100</f>
        <v>100</v>
      </c>
      <c r="I43" s="3189" t="s">
        <v>3002</v>
      </c>
      <c r="J43" s="540">
        <f>SUMIF(125:125,I43,126:126)-SUMIF(125:125,C43,126:126)+100</f>
        <v>100</v>
      </c>
      <c r="K43" s="584">
        <v>1</v>
      </c>
      <c r="L43" s="2135"/>
      <c r="M43" s="2132"/>
      <c r="N43" s="2132"/>
      <c r="O43" s="2137"/>
      <c r="P43" s="3428"/>
      <c r="Q43" s="1572" t="str">
        <f t="shared" si="14"/>
        <v>宗地开发程度</v>
      </c>
      <c r="R43" s="1568" t="s">
        <v>8</v>
      </c>
      <c r="S43" s="1569">
        <f t="shared" si="10"/>
        <v>100</v>
      </c>
      <c r="T43" s="1568" t="s">
        <v>8</v>
      </c>
      <c r="U43" s="1569">
        <f t="shared" si="11"/>
        <v>100</v>
      </c>
      <c r="V43" s="1568" t="s">
        <v>8</v>
      </c>
      <c r="W43" s="1569">
        <f t="shared" si="12"/>
        <v>100</v>
      </c>
      <c r="X43" s="1570"/>
      <c r="Y43" s="3428"/>
      <c r="Z43" s="1150" t="str">
        <f t="shared" si="13"/>
        <v>宗地开发程度</v>
      </c>
      <c r="AA43" s="1571">
        <f t="shared" si="3"/>
        <v>1</v>
      </c>
      <c r="AB43" s="1571">
        <f t="shared" si="4"/>
        <v>1</v>
      </c>
      <c r="AC43" s="1571">
        <f t="shared" si="5"/>
        <v>1</v>
      </c>
    </row>
    <row r="44" spans="1:29" ht="21" thickBot="1">
      <c r="A44" s="594"/>
      <c r="B44" s="527" t="s">
        <v>553</v>
      </c>
      <c r="C44" s="3188" t="s">
        <v>3083</v>
      </c>
      <c r="D44" s="540">
        <v>100</v>
      </c>
      <c r="E44" s="3188" t="s">
        <v>3083</v>
      </c>
      <c r="F44" s="540">
        <f>SUMIF(127:127,E44,128:128)-SUMIF(127:127,C44,128:128)+100</f>
        <v>100</v>
      </c>
      <c r="G44" s="3188" t="s">
        <v>3083</v>
      </c>
      <c r="H44" s="540">
        <f>SUMIF(127:127,G44,128:128)-SUMIF(127:127,C44,128:128)+100</f>
        <v>100</v>
      </c>
      <c r="I44" s="3188" t="s">
        <v>3083</v>
      </c>
      <c r="J44" s="540">
        <f>SUMIF(127:127,I44,128:128)-SUMIF(127:127,C44,128:128)+100</f>
        <v>100</v>
      </c>
      <c r="K44" s="584">
        <v>2</v>
      </c>
      <c r="L44" s="2142"/>
      <c r="M44" s="2132"/>
      <c r="N44" s="2132"/>
      <c r="O44" s="2141"/>
      <c r="P44" s="3428" t="s">
        <v>548</v>
      </c>
      <c r="Q44" s="1572" t="str">
        <f t="shared" si="14"/>
        <v>工程地质条件</v>
      </c>
      <c r="R44" s="1573" t="s">
        <v>8</v>
      </c>
      <c r="S44" s="1574">
        <f t="shared" si="10"/>
        <v>100</v>
      </c>
      <c r="T44" s="1573" t="s">
        <v>8</v>
      </c>
      <c r="U44" s="1574">
        <f t="shared" si="11"/>
        <v>100</v>
      </c>
      <c r="V44" s="1573" t="s">
        <v>8</v>
      </c>
      <c r="W44" s="1574">
        <f t="shared" si="12"/>
        <v>100</v>
      </c>
      <c r="X44" s="1567"/>
      <c r="Y44" s="3428" t="s">
        <v>548</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8"/>
      <c r="Q45" s="1572">
        <f t="shared" si="14"/>
        <v>111</v>
      </c>
      <c r="R45" s="1573" t="s">
        <v>8</v>
      </c>
      <c r="S45" s="1574">
        <f t="shared" si="10"/>
        <v>100</v>
      </c>
      <c r="T45" s="1573" t="s">
        <v>8</v>
      </c>
      <c r="U45" s="1574">
        <f t="shared" si="11"/>
        <v>100</v>
      </c>
      <c r="V45" s="1573" t="s">
        <v>8</v>
      </c>
      <c r="W45" s="1574">
        <f t="shared" si="12"/>
        <v>100</v>
      </c>
      <c r="X45" s="1567"/>
      <c r="Y45" s="3428"/>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8"/>
      <c r="Q46" s="1572">
        <f t="shared" si="14"/>
        <v>111</v>
      </c>
      <c r="R46" s="1573" t="s">
        <v>8</v>
      </c>
      <c r="S46" s="1574">
        <f t="shared" si="10"/>
        <v>100</v>
      </c>
      <c r="T46" s="1573" t="s">
        <v>8</v>
      </c>
      <c r="U46" s="1574">
        <f t="shared" si="11"/>
        <v>100</v>
      </c>
      <c r="V46" s="1573" t="s">
        <v>8</v>
      </c>
      <c r="W46" s="1574">
        <f t="shared" si="12"/>
        <v>100</v>
      </c>
      <c r="X46" s="1567"/>
      <c r="Y46" s="3428"/>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8"/>
      <c r="Q47" s="1572">
        <f t="shared" si="14"/>
        <v>111</v>
      </c>
      <c r="R47" s="1577" t="s">
        <v>8</v>
      </c>
      <c r="S47" s="1578">
        <f t="shared" si="10"/>
        <v>100</v>
      </c>
      <c r="T47" s="1577" t="s">
        <v>8</v>
      </c>
      <c r="U47" s="1578">
        <f t="shared" si="11"/>
        <v>100</v>
      </c>
      <c r="V47" s="1577" t="s">
        <v>8</v>
      </c>
      <c r="W47" s="1578">
        <f t="shared" si="12"/>
        <v>100</v>
      </c>
      <c r="X47" s="1579"/>
      <c r="Y47" s="3428"/>
      <c r="Z47" s="1580">
        <f t="shared" si="13"/>
        <v>111</v>
      </c>
      <c r="AA47" s="1576">
        <f t="shared" si="3"/>
        <v>1</v>
      </c>
      <c r="AB47" s="1576">
        <f t="shared" si="4"/>
        <v>1</v>
      </c>
      <c r="AC47" s="1576">
        <f t="shared" si="5"/>
        <v>1</v>
      </c>
    </row>
    <row r="48" spans="1:29" ht="20.25">
      <c r="A48" s="607" t="s">
        <v>554</v>
      </c>
      <c r="B48" s="608" t="s">
        <v>3478</v>
      </c>
      <c r="C48" s="609" t="s">
        <v>1</v>
      </c>
      <c r="D48" s="610"/>
      <c r="E48" s="611">
        <f>ROUND(土地案例!AK1,0)</f>
        <v>18641</v>
      </c>
      <c r="F48" s="612"/>
      <c r="G48" s="613">
        <f>ROUND(土地案例!AK2,0)</f>
        <v>15543</v>
      </c>
      <c r="H48" s="614"/>
      <c r="I48" s="611">
        <f>ROUND(土地案例!AK3,0)</f>
        <v>14797</v>
      </c>
      <c r="J48" s="614"/>
      <c r="K48" s="1340"/>
      <c r="L48" s="2144"/>
      <c r="M48" s="2132"/>
      <c r="N48" s="2132"/>
      <c r="O48" s="2145"/>
      <c r="P48" s="3390" t="str">
        <f>A48</f>
        <v>成交单价</v>
      </c>
      <c r="Q48" s="3390"/>
      <c r="R48" s="3391">
        <f>E48</f>
        <v>18641</v>
      </c>
      <c r="S48" s="3391"/>
      <c r="T48" s="3391">
        <f>G48</f>
        <v>15543</v>
      </c>
      <c r="U48" s="3391"/>
      <c r="V48" s="3391">
        <f>I48</f>
        <v>14797</v>
      </c>
      <c r="W48" s="3391"/>
      <c r="X48" s="1559"/>
      <c r="Y48" s="1581"/>
      <c r="Z48" s="1559"/>
      <c r="AA48" s="1559"/>
      <c r="AB48" s="1559"/>
      <c r="AC48" s="1559"/>
    </row>
    <row r="49" spans="1:29" ht="21" thickBot="1">
      <c r="A49" s="615" t="s">
        <v>2687</v>
      </c>
      <c r="B49" s="616"/>
      <c r="C49" s="617">
        <f>R50</f>
        <v>15662</v>
      </c>
      <c r="D49" s="618"/>
      <c r="E49" s="617">
        <f>R49</f>
        <v>17412</v>
      </c>
      <c r="F49" s="619"/>
      <c r="G49" s="620">
        <f>T49</f>
        <v>14964</v>
      </c>
      <c r="H49" s="618"/>
      <c r="I49" s="617">
        <f>V49</f>
        <v>14609</v>
      </c>
      <c r="J49" s="618"/>
      <c r="K49" s="1341"/>
      <c r="L49" s="2144"/>
      <c r="M49" s="2132"/>
      <c r="N49" s="2132"/>
      <c r="O49" s="2145"/>
      <c r="P49" s="3390" t="str">
        <f>A49</f>
        <v>比较价格（元/平方米）</v>
      </c>
      <c r="Q49" s="3390"/>
      <c r="R49" s="3392">
        <f>ROUND(PRODUCT(R48,AA9:AA47),0)</f>
        <v>17412</v>
      </c>
      <c r="S49" s="3392"/>
      <c r="T49" s="3392">
        <f>ROUND(PRODUCT(T48,AB9:AB47),0)</f>
        <v>14964</v>
      </c>
      <c r="U49" s="3392"/>
      <c r="V49" s="3392">
        <f>ROUND(PRODUCT(V48,AC9:AC47),0)</f>
        <v>14609</v>
      </c>
      <c r="W49" s="3392"/>
      <c r="X49" s="1559"/>
      <c r="Y49" s="1559"/>
      <c r="Z49" s="1559"/>
      <c r="AA49" s="1559"/>
      <c r="AB49" s="1559"/>
      <c r="AC49" s="1559"/>
    </row>
    <row r="50" spans="1:29" ht="21" thickBot="1">
      <c r="A50" s="621" t="s">
        <v>2922</v>
      </c>
      <c r="B50" s="622"/>
      <c r="C50" s="623">
        <f>R50</f>
        <v>15662</v>
      </c>
      <c r="D50" s="623"/>
      <c r="E50" s="623"/>
      <c r="F50" s="623"/>
      <c r="G50" s="623"/>
      <c r="H50" s="623"/>
      <c r="I50" s="623"/>
      <c r="J50" s="623"/>
      <c r="K50" s="1342"/>
      <c r="L50" s="2144"/>
      <c r="M50" s="2132"/>
      <c r="N50" s="2132"/>
      <c r="O50" s="2145"/>
      <c r="P50" s="3387" t="str">
        <f>A50</f>
        <v>估价对象XX用房的比较价格（楼面单价，元/平方米）</v>
      </c>
      <c r="Q50" s="3388"/>
      <c r="R50" s="3389">
        <f>ROUND(AVERAGE(R49:V49),0)</f>
        <v>15662</v>
      </c>
      <c r="S50" s="3389"/>
      <c r="T50" s="3389"/>
      <c r="U50" s="3389"/>
      <c r="V50" s="3389"/>
      <c r="W50" s="338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f>IF(E48&lt;E49,E49/E48-1,E48/E49-1)</f>
        <v>7.0583505628302401E-2</v>
      </c>
      <c r="F53" s="627" t="str">
        <f>IF(OR(E53&gt;=0.3,E53&lt;=-0.3),"超过30%","")</f>
        <v/>
      </c>
      <c r="G53" s="626">
        <f>IF(G48&lt;G49,G49/G48-1,G48/G49-1)</f>
        <v>3.8692862870890243E-2</v>
      </c>
      <c r="H53" s="627" t="str">
        <f>IF(OR(G53&gt;=0.3,G53&lt;=-0.3),"超过30%","")</f>
        <v/>
      </c>
      <c r="I53" s="626">
        <f>IF(I48&lt;I49,I49/I48-1,I48/I49-1)</f>
        <v>1.2868779519474405E-2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f>IF(E49&lt;G49,G49/E49-1,E49/G49-1)</f>
        <v>0.16359262229350446</v>
      </c>
      <c r="F54" s="627" t="str">
        <f>IF(OR(E54&gt;=0.2,E54&lt;=-0.2),"超过20%","")</f>
        <v/>
      </c>
      <c r="G54" s="626">
        <f>IF(G49&lt;I49,I49/G49-1,G49/I49-1)</f>
        <v>2.4300088986241253E-2</v>
      </c>
      <c r="H54" s="627" t="str">
        <f>IF(OR(G54&gt;=0.2,G54&lt;=-0.2),"超过20%","")</f>
        <v/>
      </c>
      <c r="I54" s="626">
        <f>IF(I49&lt;E49,E49/I49-1,I49/E49-1)</f>
        <v>0.19186802655897051</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f>IF(E48&lt;G48,G48/E48-1,E48/G48-1)</f>
        <v>0.19931802097407192</v>
      </c>
      <c r="F55" s="627" t="str">
        <f>IF(OR(E55&gt;=0.3,E55&lt;=-0.3),"超过30%","")</f>
        <v/>
      </c>
      <c r="G55" s="626">
        <f>IF(G48&lt;I48,I48/G48-1,G48/I48-1)</f>
        <v>5.0415624788808566E-2</v>
      </c>
      <c r="H55" s="627" t="str">
        <f>IF(OR(G55&gt;=0.3,G55&lt;=-0.3),"超过30%","")</f>
        <v/>
      </c>
      <c r="I55" s="626">
        <f>IF(I48&lt;E48,E48/I48-1,I48/E48-1)</f>
        <v>0.25978238832195721</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558</v>
      </c>
      <c r="B57" s="630" t="s">
        <v>559</v>
      </c>
      <c r="C57" s="1560" t="s">
        <v>1723</v>
      </c>
      <c r="D57" s="2227" t="s">
        <v>2291</v>
      </c>
      <c r="E57" s="631" t="s">
        <v>560</v>
      </c>
      <c r="F57" s="632" t="s">
        <v>561</v>
      </c>
      <c r="G57" s="3417" t="s">
        <v>2279</v>
      </c>
      <c r="H57" s="3418"/>
      <c r="I57" s="1555" t="s">
        <v>1721</v>
      </c>
      <c r="J57" s="1555" t="str">
        <f>项目基本情况!F41</f>
        <v>天津市</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562</v>
      </c>
      <c r="B58" s="634">
        <f>C50</f>
        <v>15662</v>
      </c>
      <c r="C58" s="635">
        <v>1</v>
      </c>
      <c r="D58" s="2228">
        <v>1</v>
      </c>
      <c r="E58" s="635">
        <f>'数据-汇总表'!E8+'数据-汇总表'!E9</f>
        <v>113163.68</v>
      </c>
      <c r="F58" s="636">
        <f t="shared" ref="F58:F67" si="15">ROUND(B58*E58/10000,0)</f>
        <v>177237</v>
      </c>
      <c r="G58" s="3419"/>
      <c r="H58" s="3420"/>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563</v>
      </c>
      <c r="B59" s="638">
        <f>ROUND($C$50*C59*D59,0)</f>
        <v>0</v>
      </c>
      <c r="C59" s="378">
        <f t="shared" ref="C59:C67" si="16">IF($C$57="北京市系数",I59,J59)</f>
        <v>0</v>
      </c>
      <c r="D59" s="2229">
        <v>0.25</v>
      </c>
      <c r="E59" s="639">
        <v>0</v>
      </c>
      <c r="F59" s="636">
        <f t="shared" si="15"/>
        <v>0</v>
      </c>
      <c r="G59" s="3421" t="s">
        <v>2280</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564</v>
      </c>
      <c r="B60" s="638">
        <f t="shared" ref="B60:B67" si="17">ROUND($C$50*C60*D60,0)</f>
        <v>0</v>
      </c>
      <c r="C60" s="378">
        <f t="shared" si="16"/>
        <v>0</v>
      </c>
      <c r="D60" s="2229">
        <v>0.25</v>
      </c>
      <c r="E60" s="639">
        <v>0</v>
      </c>
      <c r="F60" s="636">
        <f t="shared" si="15"/>
        <v>0</v>
      </c>
      <c r="G60" s="3421"/>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565</v>
      </c>
      <c r="B61" s="638">
        <f t="shared" si="17"/>
        <v>0</v>
      </c>
      <c r="C61" s="378">
        <f t="shared" si="16"/>
        <v>0</v>
      </c>
      <c r="D61" s="2229">
        <v>0.25</v>
      </c>
      <c r="E61" s="639">
        <v>0</v>
      </c>
      <c r="F61" s="636">
        <f t="shared" si="15"/>
        <v>0</v>
      </c>
      <c r="G61" s="3421"/>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566</v>
      </c>
      <c r="B62" s="638">
        <f t="shared" si="17"/>
        <v>0</v>
      </c>
      <c r="C62" s="378">
        <f t="shared" si="16"/>
        <v>0</v>
      </c>
      <c r="D62" s="2229">
        <v>0.25</v>
      </c>
      <c r="E62" s="639">
        <v>0</v>
      </c>
      <c r="F62" s="636">
        <f t="shared" si="15"/>
        <v>0</v>
      </c>
      <c r="G62" s="3421"/>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2324</v>
      </c>
      <c r="B63" s="638">
        <f t="shared" si="17"/>
        <v>0</v>
      </c>
      <c r="C63" s="378">
        <f t="shared" si="16"/>
        <v>0</v>
      </c>
      <c r="D63" s="2229">
        <v>0.25</v>
      </c>
      <c r="E63" s="641">
        <f>'数据-汇总表'!E11</f>
        <v>0</v>
      </c>
      <c r="F63" s="636">
        <f t="shared" si="15"/>
        <v>0</v>
      </c>
      <c r="G63" s="1945" t="s">
        <v>2281</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567</v>
      </c>
      <c r="B64" s="638">
        <f t="shared" si="17"/>
        <v>0</v>
      </c>
      <c r="C64" s="378">
        <f t="shared" si="16"/>
        <v>0</v>
      </c>
      <c r="D64" s="2229">
        <v>0.25</v>
      </c>
      <c r="E64" s="641">
        <f>'数据-汇总表'!E12</f>
        <v>0</v>
      </c>
      <c r="F64" s="636">
        <f t="shared" si="15"/>
        <v>0</v>
      </c>
      <c r="G64" s="1946" t="s">
        <v>1676</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568</v>
      </c>
      <c r="B65" s="638">
        <f t="shared" si="17"/>
        <v>0</v>
      </c>
      <c r="C65" s="378">
        <f t="shared" si="16"/>
        <v>0</v>
      </c>
      <c r="D65" s="2229">
        <v>0.25</v>
      </c>
      <c r="E65" s="641">
        <f>'数据-汇总表'!E13</f>
        <v>0</v>
      </c>
      <c r="F65" s="636">
        <f t="shared" si="15"/>
        <v>0</v>
      </c>
      <c r="G65" s="1946" t="s">
        <v>921</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569</v>
      </c>
      <c r="B66" s="638">
        <f t="shared" si="17"/>
        <v>0</v>
      </c>
      <c r="C66" s="378">
        <f t="shared" si="16"/>
        <v>0</v>
      </c>
      <c r="D66" s="2229">
        <v>0.25</v>
      </c>
      <c r="E66" s="641">
        <f>'数据-汇总表'!E14</f>
        <v>0</v>
      </c>
      <c r="F66" s="636">
        <f t="shared" si="15"/>
        <v>0</v>
      </c>
      <c r="G66" s="1945" t="s">
        <v>2280</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570</v>
      </c>
      <c r="B67" s="638">
        <f t="shared" si="17"/>
        <v>0</v>
      </c>
      <c r="C67" s="378">
        <f t="shared" si="16"/>
        <v>0</v>
      </c>
      <c r="D67" s="2229">
        <v>0.25</v>
      </c>
      <c r="E67" s="641">
        <f>'数据-汇总表'!E15</f>
        <v>0</v>
      </c>
      <c r="F67" s="636">
        <f t="shared" si="15"/>
        <v>0</v>
      </c>
      <c r="G67" s="1947" t="s">
        <v>2281</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571</v>
      </c>
      <c r="B68" s="643" t="s">
        <v>17</v>
      </c>
      <c r="C68" s="643" t="s">
        <v>18</v>
      </c>
      <c r="D68" s="643" t="s">
        <v>2292</v>
      </c>
      <c r="E68" s="643">
        <f>IF(B48="楼面地价",SUM(E58:E67),'数据-汇总表'!D3)</f>
        <v>113163.68</v>
      </c>
      <c r="F68" s="644">
        <f>IF(B48="楼面地价",SUM(F58:F67),ROUND(C50*E68/10000,0))</f>
        <v>177237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4" t="s">
        <v>572</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2526</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2641</v>
      </c>
      <c r="B73" s="479" t="str">
        <f>"北京市平均增长率"&amp;TEXT(SUMIF(基准地价!N21:N25,A73,基准地价!P21:P25),"0.00%")</f>
        <v>北京市平均增长率2.23%</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2640</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529</v>
      </c>
      <c r="B75" s="648"/>
      <c r="C75" s="660" t="s">
        <v>574</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575</v>
      </c>
      <c r="B77" s="665" t="s">
        <v>532</v>
      </c>
      <c r="C77" s="3190" t="s">
        <v>3402</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535</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536</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684">
        <v>8</v>
      </c>
      <c r="L82" s="685">
        <v>9</v>
      </c>
      <c r="M82" s="686">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537</v>
      </c>
      <c r="B90" s="665" t="s">
        <v>576</v>
      </c>
      <c r="C90" s="703" t="s">
        <v>577</v>
      </c>
      <c r="D90" s="703" t="s">
        <v>578</v>
      </c>
      <c r="E90" s="703" t="s">
        <v>579</v>
      </c>
      <c r="F90" s="703" t="s">
        <v>580</v>
      </c>
      <c r="G90" s="703" t="s">
        <v>581</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582</v>
      </c>
      <c r="C92" s="708" t="s">
        <v>577</v>
      </c>
      <c r="D92" s="708" t="s">
        <v>578</v>
      </c>
      <c r="E92" s="708" t="s">
        <v>579</v>
      </c>
      <c r="F92" s="708" t="s">
        <v>580</v>
      </c>
      <c r="G92" s="708" t="s">
        <v>581</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583</v>
      </c>
      <c r="C94" s="708" t="s">
        <v>577</v>
      </c>
      <c r="D94" s="708" t="s">
        <v>578</v>
      </c>
      <c r="E94" s="708" t="s">
        <v>579</v>
      </c>
      <c r="F94" s="708" t="s">
        <v>580</v>
      </c>
      <c r="G94" s="708" t="s">
        <v>581</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584</v>
      </c>
      <c r="C96" s="708" t="s">
        <v>577</v>
      </c>
      <c r="D96" s="708" t="s">
        <v>578</v>
      </c>
      <c r="E96" s="708" t="s">
        <v>579</v>
      </c>
      <c r="F96" s="708" t="s">
        <v>580</v>
      </c>
      <c r="G96" s="708" t="s">
        <v>581</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2542</v>
      </c>
      <c r="C102" s="703" t="s">
        <v>577</v>
      </c>
      <c r="D102" s="703" t="s">
        <v>578</v>
      </c>
      <c r="E102" s="703" t="s">
        <v>579</v>
      </c>
      <c r="F102" s="703" t="s">
        <v>580</v>
      </c>
      <c r="G102" s="703" t="s">
        <v>581</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2544</v>
      </c>
      <c r="C104" s="2598" t="s">
        <v>2545</v>
      </c>
      <c r="D104" s="2598" t="s">
        <v>2546</v>
      </c>
      <c r="E104" s="2598" t="s">
        <v>2547</v>
      </c>
      <c r="F104" s="2598" t="s">
        <v>2548</v>
      </c>
      <c r="G104" s="2598" t="s">
        <v>2549</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546</v>
      </c>
      <c r="C108" s="3191" t="s">
        <v>3084</v>
      </c>
      <c r="D108" s="3191" t="s">
        <v>3085</v>
      </c>
      <c r="E108" s="3191" t="s">
        <v>3086</v>
      </c>
      <c r="F108" s="3191" t="s">
        <v>3087</v>
      </c>
      <c r="G108" s="3191" t="s">
        <v>3088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547</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549</v>
      </c>
      <c r="B118" s="665" t="s">
        <v>591</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089" t="str">
        <f t="shared" si="26"/>
        <v>1000000(含)-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50000</v>
      </c>
      <c r="G119" s="730">
        <v>100000</v>
      </c>
      <c r="H119" s="730">
        <v>200000</v>
      </c>
      <c r="I119" s="730">
        <v>500000</v>
      </c>
      <c r="J119" s="2367">
        <v>1000000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3207">
        <v>100</v>
      </c>
      <c r="D120" s="3207">
        <f>C120+1</f>
        <v>101</v>
      </c>
      <c r="E120" s="3207">
        <f t="shared" ref="E120:I120" si="27">D120+1</f>
        <v>102</v>
      </c>
      <c r="F120" s="3207">
        <f t="shared" si="27"/>
        <v>103</v>
      </c>
      <c r="G120" s="3207">
        <f t="shared" si="27"/>
        <v>104</v>
      </c>
      <c r="H120" s="3207">
        <f t="shared" si="27"/>
        <v>105</v>
      </c>
      <c r="I120" s="3207">
        <f t="shared" si="27"/>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592</v>
      </c>
      <c r="C121" s="3192" t="s">
        <v>3089</v>
      </c>
      <c r="D121" s="3192" t="s">
        <v>3080</v>
      </c>
      <c r="E121" s="3192" t="s">
        <v>3090</v>
      </c>
      <c r="F121" s="3192" t="s">
        <v>3091</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593</v>
      </c>
      <c r="C123" s="3191" t="s">
        <v>3092</v>
      </c>
      <c r="D123" s="3191" t="s">
        <v>3081</v>
      </c>
      <c r="E123" s="3191" t="s">
        <v>3093</v>
      </c>
      <c r="F123" s="3192" t="s">
        <v>3094</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2421</v>
      </c>
      <c r="C125" s="1375" t="s">
        <v>3002</v>
      </c>
      <c r="D125" s="1375" t="s">
        <v>3095</v>
      </c>
      <c r="E125" s="1375" t="s">
        <v>3082</v>
      </c>
      <c r="F125" s="1375" t="s">
        <v>3096</v>
      </c>
      <c r="G125" s="1375" t="s">
        <v>3097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594</v>
      </c>
      <c r="C127" s="688" t="s">
        <v>3098</v>
      </c>
      <c r="D127" s="688" t="s">
        <v>2997</v>
      </c>
      <c r="E127" s="718" t="s">
        <v>2999</v>
      </c>
      <c r="F127" s="718" t="s">
        <v>3099</v>
      </c>
      <c r="G127" s="718" t="s">
        <v>3100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809"/>
      <c r="C1" s="2104"/>
      <c r="D1" s="2104"/>
      <c r="E1" s="2104"/>
      <c r="F1" s="2104"/>
      <c r="G1" s="2104"/>
      <c r="H1" s="2104"/>
      <c r="I1" s="2104"/>
      <c r="J1" s="2104"/>
      <c r="K1" s="422">
        <f>MATCH(B1,'数据-取费表'!A6:A16,0)+5</f>
        <v>10</v>
      </c>
    </row>
    <row r="2" spans="1:31" s="2041" customFormat="1" ht="18" customHeight="1">
      <c r="A2" s="2101" t="s">
        <v>465</v>
      </c>
      <c r="B2" s="2105">
        <f ca="1">C36</f>
        <v>172130</v>
      </c>
      <c r="C2" s="2104"/>
      <c r="D2" s="2104"/>
      <c r="E2" s="2104"/>
      <c r="F2" s="2104"/>
      <c r="G2" s="2104"/>
      <c r="H2" s="2104"/>
      <c r="I2" s="2104"/>
      <c r="J2" s="2104"/>
      <c r="K2" s="2104"/>
    </row>
    <row r="3" spans="1:31" s="2041" customFormat="1" ht="18" customHeight="1">
      <c r="A3" s="2106" t="s">
        <v>1683</v>
      </c>
      <c r="B3" s="2107">
        <f ca="1">ROUND(B2*10000/IF(B1="",'数据-汇总表'!E3,INDIRECT("'数据-取费表'!K"&amp;$K$1)),0)</f>
        <v>10756</v>
      </c>
      <c r="C3" s="2104"/>
      <c r="D3" s="2104"/>
      <c r="E3" s="2104"/>
      <c r="F3" s="2104"/>
      <c r="G3" s="2104"/>
      <c r="H3" s="2104"/>
      <c r="I3" s="2104"/>
      <c r="J3" s="2104"/>
      <c r="K3" s="2104"/>
    </row>
    <row r="4" spans="1:31" s="2041" customFormat="1" ht="18" customHeight="1">
      <c r="A4" s="426" t="s">
        <v>466</v>
      </c>
      <c r="B4" s="427">
        <f ca="1">ROUND(B2*10000/IF(B1="",'数据-汇总表'!D3,INDIRECT("'数据-取费表'!R"&amp;$K$1)),0)</f>
        <v>33499</v>
      </c>
      <c r="C4" s="428"/>
      <c r="D4" s="422"/>
      <c r="E4" s="422"/>
      <c r="F4" s="422"/>
      <c r="G4" s="422"/>
      <c r="H4" s="422"/>
      <c r="I4" s="422"/>
      <c r="J4" s="422"/>
      <c r="K4" s="422"/>
    </row>
    <row r="5" spans="1:31" s="2041" customFormat="1" ht="18" customHeight="1" thickBot="1">
      <c r="A5" s="429"/>
      <c r="B5" s="430">
        <f ca="1">ROUND(B2/(IF(B1="",'数据-汇总表'!D3,INDIRECT("'数据-取费表'!R"&amp;$K$1))/666.67),0)</f>
        <v>2233</v>
      </c>
      <c r="C5" s="431" t="s">
        <v>467</v>
      </c>
      <c r="D5" s="422"/>
      <c r="E5" s="422"/>
      <c r="F5" s="422"/>
      <c r="G5" s="422"/>
      <c r="H5" s="422"/>
      <c r="I5" s="422"/>
      <c r="J5" s="422"/>
      <c r="K5" s="422"/>
    </row>
    <row r="6" spans="1:31" s="2111" customFormat="1" ht="16.5" customHeight="1">
      <c r="A6" s="2828" t="s">
        <v>1841</v>
      </c>
      <c r="B6" s="2829"/>
      <c r="C6" s="2830">
        <f>SUM(C10:K10)</f>
        <v>302930</v>
      </c>
      <c r="D6" s="2829"/>
      <c r="E6" s="2829"/>
      <c r="F6" s="2829"/>
      <c r="G6" s="2829"/>
      <c r="H6" s="2829"/>
      <c r="I6" s="2829"/>
      <c r="J6" s="2829"/>
      <c r="K6" s="2831"/>
    </row>
    <row r="7" spans="1:31" s="2113" customFormat="1" ht="15">
      <c r="A7" s="2832" t="s">
        <v>468</v>
      </c>
      <c r="B7" s="2833" t="s">
        <v>469</v>
      </c>
      <c r="C7" s="436" t="s">
        <v>3131</v>
      </c>
      <c r="D7" s="436" t="s">
        <v>3129</v>
      </c>
      <c r="E7" s="436" t="s">
        <v>3127</v>
      </c>
      <c r="F7" s="436" t="s">
        <v>3429</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470</v>
      </c>
      <c r="C8" s="2834">
        <f>'不动产比较法-洋房'!B3</f>
        <v>30560</v>
      </c>
      <c r="D8" s="2834"/>
      <c r="E8" s="2834">
        <f>'不动产比较法-高层'!B3</f>
        <v>22574</v>
      </c>
      <c r="F8" s="2834">
        <f>'不动产比较法-商业'!B3</f>
        <v>31912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471</v>
      </c>
      <c r="C9" s="441">
        <f>SUMIF('数据-汇总表'!$C19:$C33,'剩余法-待开发'!C7,'数据-汇总表'!$E19:$E33)</f>
        <v>59258.109999999993</v>
      </c>
      <c r="D9" s="441">
        <f>SUMIF('数据-汇总表'!$C19:$C33,'剩余法-待开发'!D7,'数据-汇总表'!$E19:$E33)</f>
        <v>0</v>
      </c>
      <c r="E9" s="441">
        <f>SUMIF('数据-汇总表'!$C19:$C33,'剩余法-待开发'!E7,'数据-汇总表'!$E19:$E33)</f>
        <v>53744.19</v>
      </c>
      <c r="F9" s="441">
        <f>SUMIF('数据-汇总表'!$C19:$C33,'剩余法-待开发'!F7,'数据-汇总表'!$E19:$E33)</f>
        <v>161.38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472</v>
      </c>
      <c r="C10" s="3027">
        <f>ROUND(C8*C9/10000,0)</f>
        <v>181093</v>
      </c>
      <c r="D10" s="3027"/>
      <c r="E10" s="3027">
        <f>ROUND(E8*E9/10000,0)</f>
        <v>121322</v>
      </c>
      <c r="F10" s="2837">
        <f>'不动产比较法-商业'!B2</f>
        <v>515</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468</v>
      </c>
      <c r="B12" s="2812" t="s">
        <v>469</v>
      </c>
      <c r="C12" s="2841" t="s">
        <v>473</v>
      </c>
      <c r="D12" s="2808" t="s">
        <v>474</v>
      </c>
      <c r="E12" s="2808" t="s">
        <v>475</v>
      </c>
      <c r="F12" s="2808" t="s">
        <v>476</v>
      </c>
      <c r="G12" s="2812"/>
      <c r="H12" s="2813"/>
      <c r="I12" s="2813"/>
      <c r="J12" s="2813"/>
      <c r="K12" s="2814"/>
    </row>
    <row r="13" spans="1:31" s="2116" customFormat="1" ht="13.5" customHeight="1">
      <c r="A13" s="2842" t="s">
        <v>1847</v>
      </c>
      <c r="B13" s="2843" t="s">
        <v>477</v>
      </c>
      <c r="C13" s="450">
        <f ca="1">IF(B1="",'数据-取费表'!P16,INDIRECT("'数据-取费表'!p"&amp;$K$1)+INDIRECT("'数据-取费表'!t"&amp;$K$1))</f>
        <v>40007</v>
      </c>
      <c r="D13" s="2844"/>
      <c r="E13" s="2845"/>
      <c r="F13" s="2846"/>
      <c r="G13" s="2812"/>
      <c r="H13" s="2813"/>
      <c r="I13" s="2813"/>
      <c r="J13" s="2813"/>
      <c r="K13" s="2814"/>
    </row>
    <row r="14" spans="1:31" s="2116" customFormat="1" ht="13.5" customHeight="1">
      <c r="A14" s="2842" t="s">
        <v>1848</v>
      </c>
      <c r="B14" s="2843" t="s">
        <v>478</v>
      </c>
      <c r="C14" s="53">
        <f ca="1">ROUND(C13*F14,0)</f>
        <v>1200</v>
      </c>
      <c r="D14" s="2844"/>
      <c r="E14" s="2845"/>
      <c r="F14" s="2847">
        <f>'数据-取费表'!B33</f>
        <v>0.03</v>
      </c>
      <c r="G14" s="2812" t="s">
        <v>479</v>
      </c>
      <c r="H14" s="2813"/>
      <c r="I14" s="2813"/>
      <c r="J14" s="2813"/>
      <c r="K14" s="2814"/>
    </row>
    <row r="15" spans="1:31" s="2116" customFormat="1" ht="13.5" customHeight="1">
      <c r="A15" s="2842" t="s">
        <v>1849</v>
      </c>
      <c r="B15" s="2843" t="s">
        <v>480</v>
      </c>
      <c r="C15" s="53">
        <f ca="1">ROUND(IF(B1="",SUMIF('数据-取费表'!C:C,"住宅",'数据-取费表'!P:P)*F15,IF(INDIRECT("'数据-取费表'!c"&amp;$K$1)="住宅",INDIRECT("'数据-取费表'!P"&amp;$K$1)*F15,0)),0)</f>
        <v>1413</v>
      </c>
      <c r="D15" s="2844"/>
      <c r="E15" s="2845"/>
      <c r="F15" s="2847">
        <f>'数据-取费表'!B34</f>
        <v>0.05</v>
      </c>
      <c r="G15" s="2812" t="s">
        <v>481</v>
      </c>
      <c r="H15" s="2813"/>
      <c r="I15" s="2813"/>
      <c r="J15" s="2813"/>
      <c r="K15" s="2814"/>
    </row>
    <row r="16" spans="1:31" s="2117" customFormat="1" ht="13.5" customHeight="1">
      <c r="A16" s="2842" t="s">
        <v>1850</v>
      </c>
      <c r="B16" s="2843" t="s">
        <v>482</v>
      </c>
      <c r="C16" s="53">
        <f ca="1">ROUND(D16*E16/10000,0)</f>
        <v>3201</v>
      </c>
      <c r="D16" s="2844">
        <f ca="1">IF(B1="",'数据-汇总表'!E3,INDIRECT("'数据-取费表'!K"&amp;$K$1)+INDIRECT("'数据-取费表'!S"&amp;$K$1))</f>
        <v>160029.13999999998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483</v>
      </c>
      <c r="C17" s="2848">
        <f ca="1">ROUND(C13*F17,0)</f>
        <v>600</v>
      </c>
      <c r="D17" s="475"/>
      <c r="E17" s="2848"/>
      <c r="F17" s="2849">
        <f>'数据-取费表'!B36</f>
        <v>1.4999999999999999E-2</v>
      </c>
      <c r="G17" s="261" t="s">
        <v>484</v>
      </c>
      <c r="H17" s="2815"/>
      <c r="I17" s="2815"/>
      <c r="J17" s="2815"/>
      <c r="K17" s="279"/>
    </row>
    <row r="18" spans="1:14" s="2116" customFormat="1" ht="13.5" customHeight="1">
      <c r="A18" s="2850" t="s">
        <v>1852</v>
      </c>
      <c r="B18" s="2851" t="s">
        <v>485</v>
      </c>
      <c r="C18" s="2852">
        <f ca="1">SUM(C13:C17)</f>
        <v>46421</v>
      </c>
      <c r="D18" s="2853"/>
      <c r="E18" s="468"/>
      <c r="F18" s="468"/>
      <c r="G18" s="2816" t="s">
        <v>2426</v>
      </c>
      <c r="H18" s="2817"/>
      <c r="I18" s="2817"/>
      <c r="J18" s="2817"/>
      <c r="K18" s="2818"/>
    </row>
    <row r="19" spans="1:14" s="2116" customFormat="1" ht="13.5" customHeight="1">
      <c r="A19" s="2850" t="s">
        <v>1853</v>
      </c>
      <c r="B19" s="2851" t="s">
        <v>486</v>
      </c>
      <c r="C19" s="2808">
        <f ca="1">ROUND(D19*E19/10000,0)</f>
        <v>0</v>
      </c>
      <c r="D19" s="2854">
        <f ca="1">D16</f>
        <v>160029.13999999998</v>
      </c>
      <c r="E19" s="2808">
        <f>'数据-取费表'!B32</f>
        <v>0</v>
      </c>
      <c r="F19" s="468"/>
      <c r="G19" s="2812" t="s">
        <v>487</v>
      </c>
      <c r="H19" s="2813"/>
      <c r="I19" s="2817"/>
      <c r="J19" s="2817"/>
      <c r="K19" s="2818"/>
    </row>
    <row r="20" spans="1:14" s="2116" customFormat="1" ht="13.5" customHeight="1">
      <c r="A20" s="2850" t="s">
        <v>1854</v>
      </c>
      <c r="B20" s="2851" t="s">
        <v>488</v>
      </c>
      <c r="C20" s="2808">
        <f ca="1">C21+C22-IF(B1="",'数据-取费表'!B29,IF(G20="已全部缴纳",C21+C22,H20))</f>
        <v>0</v>
      </c>
      <c r="D20" s="2854"/>
      <c r="E20" s="2808"/>
      <c r="F20" s="2855"/>
      <c r="G20" s="3085" t="s">
        <v>3403</v>
      </c>
      <c r="H20" s="2810">
        <f ca="1">C21+C22</f>
        <v>4782</v>
      </c>
      <c r="I20" s="2811" t="s">
        <v>2645</v>
      </c>
      <c r="J20" s="2817"/>
      <c r="K20" s="2818"/>
    </row>
    <row r="21" spans="1:14" s="2116" customFormat="1" ht="13.5" customHeight="1">
      <c r="A21" s="2842" t="s">
        <v>1855</v>
      </c>
      <c r="B21" s="2843" t="s">
        <v>489</v>
      </c>
      <c r="C21" s="53">
        <f ca="1">ROUND(D21*E21/10000,0)</f>
        <v>3277</v>
      </c>
      <c r="D21" s="2844">
        <f ca="1">IF(B1="",'数据-汇总表'!E5,IF(INDIRECT("'数据-取费表'!c"&amp;$K$1)="住宅",INDIRECT("'数据-取费表'!k"&amp;$K$1),0))</f>
        <v>113002.29999999999</v>
      </c>
      <c r="E21" s="53">
        <f>'数据-取费表'!B27</f>
        <v>290</v>
      </c>
      <c r="F21" s="2847"/>
      <c r="G21" s="26"/>
      <c r="H21" s="51"/>
      <c r="I21" s="51"/>
      <c r="J21" s="51"/>
      <c r="K21" s="2819"/>
    </row>
    <row r="22" spans="1:14" s="2116" customFormat="1" ht="13.5" customHeight="1">
      <c r="A22" s="2842" t="s">
        <v>1856</v>
      </c>
      <c r="B22" s="2843" t="s">
        <v>490</v>
      </c>
      <c r="C22" s="53">
        <f ca="1">ROUND(D22*E22/10000,0)</f>
        <v>1505</v>
      </c>
      <c r="D22" s="2844">
        <f ca="1">IF(B1="",'数据-汇总表'!E6,IF(INDIRECT("'数据-取费表'!c"&amp;$K$1)="住宅",INDIRECT("'数据-取费表'!s"&amp;$K$1),INDIRECT("'数据-取费表'!k"&amp;$K$1)+INDIRECT("'数据-取费表'!s"&amp;$K$1)))</f>
        <v>47026.84</v>
      </c>
      <c r="E22" s="53">
        <f>'数据-取费表'!B28</f>
        <v>320</v>
      </c>
      <c r="F22" s="2847"/>
      <c r="G22" s="26"/>
      <c r="H22" s="51"/>
      <c r="I22" s="51"/>
      <c r="J22" s="51"/>
      <c r="K22" s="2819"/>
    </row>
    <row r="23" spans="1:14" s="2116" customFormat="1" ht="13.5" customHeight="1">
      <c r="A23" s="2850" t="s">
        <v>1857</v>
      </c>
      <c r="B23" s="3033" t="s">
        <v>2828</v>
      </c>
      <c r="C23" s="2852">
        <f ca="1">ROUND((C18+C19+C20)*F23,0)</f>
        <v>928</v>
      </c>
      <c r="D23" s="468"/>
      <c r="E23" s="468"/>
      <c r="F23" s="2856">
        <f>'数据-取费表'!B37</f>
        <v>0.02</v>
      </c>
      <c r="G23" s="2812" t="s">
        <v>2427</v>
      </c>
      <c r="H23" s="2813"/>
      <c r="I23" s="2813"/>
      <c r="J23" s="2813"/>
      <c r="K23" s="2814"/>
      <c r="L23" s="2118"/>
      <c r="M23" s="2118"/>
      <c r="N23" s="2118"/>
    </row>
    <row r="24" spans="1:14" s="2116" customFormat="1" ht="13.5" customHeight="1">
      <c r="A24" s="2850" t="s">
        <v>1858</v>
      </c>
      <c r="B24" s="3033" t="s">
        <v>2831</v>
      </c>
      <c r="C24" s="2852">
        <f>ROUND(C6*F24,0)</f>
        <v>6059</v>
      </c>
      <c r="D24" s="475"/>
      <c r="E24" s="473"/>
      <c r="F24" s="2856">
        <f>'数据-取费表'!B38</f>
        <v>0.02</v>
      </c>
      <c r="G24" s="2821" t="s">
        <v>497</v>
      </c>
      <c r="H24" s="2815"/>
      <c r="I24" s="2815"/>
      <c r="J24" s="2815"/>
      <c r="K24" s="279"/>
      <c r="L24" s="2118"/>
      <c r="M24" s="2118"/>
      <c r="N24" s="2118"/>
    </row>
    <row r="25" spans="1:14" s="2119" customFormat="1" ht="13.5" customHeight="1">
      <c r="A25" s="2850" t="s">
        <v>1859</v>
      </c>
      <c r="B25" s="3033" t="s">
        <v>2829</v>
      </c>
      <c r="C25" s="467">
        <f>ROUND(F25/(1+'数据-取费表'!C42),4)</f>
        <v>2.9000000000000001E-2</v>
      </c>
      <c r="D25" s="462" t="s">
        <v>2823</v>
      </c>
      <c r="E25" s="469"/>
      <c r="F25" s="2856">
        <f>'数据-取费表'!B48+'数据-取费表'!B49</f>
        <v>3.0499999999999999E-2</v>
      </c>
      <c r="G25" s="2820" t="s">
        <v>2287</v>
      </c>
      <c r="H25" s="2813"/>
      <c r="I25" s="2813"/>
      <c r="J25" s="2813"/>
      <c r="K25" s="2814"/>
    </row>
    <row r="26" spans="1:14" s="2118" customFormat="1" ht="13.5" customHeight="1">
      <c r="A26" s="2850" t="s">
        <v>1860</v>
      </c>
      <c r="B26" s="3034" t="s">
        <v>2830</v>
      </c>
      <c r="C26" s="2857">
        <f ca="1">C28</f>
        <v>3850</v>
      </c>
      <c r="D26" s="467">
        <f ca="1">C27</f>
        <v>0.1537</v>
      </c>
      <c r="E26" s="469" t="s">
        <v>493</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494</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2832</v>
      </c>
      <c r="C28" s="2860">
        <f ca="1">ROUND(IF('数据-取费表'!B22&lt;=1,(C18+C19+C20+C23+C24)*F26*'数据-取费表'!B24/2,(C18+C19+C20+C23+C24)*(POWER((1+F26),'数据-取费表'!B24/2)-1)),0)</f>
        <v>3850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495</v>
      </c>
      <c r="C29" s="2852">
        <f>ROUND(C6*F29/(1+'数据-取费表'!C42),0)</f>
        <v>19041</v>
      </c>
      <c r="D29" s="468"/>
      <c r="E29" s="468"/>
      <c r="F29" s="3035">
        <f>'数据-取费表'!B41</f>
        <v>6.6000000000000003E-2</v>
      </c>
      <c r="G29" s="2821" t="s">
        <v>496</v>
      </c>
      <c r="H29" s="2813"/>
      <c r="I29" s="2813"/>
      <c r="J29" s="2813"/>
      <c r="K29" s="2814"/>
    </row>
    <row r="30" spans="1:14" s="2121" customFormat="1" ht="13.5" customHeight="1">
      <c r="A30" s="1635" t="s">
        <v>1862</v>
      </c>
      <c r="B30" s="2862" t="s">
        <v>498</v>
      </c>
      <c r="C30" s="2857">
        <f ca="1">C31</f>
        <v>76299</v>
      </c>
      <c r="D30" s="477">
        <f ca="1">C32</f>
        <v>0.1827</v>
      </c>
      <c r="E30" s="469" t="s">
        <v>493</v>
      </c>
      <c r="F30" s="471"/>
      <c r="G30" s="2820" t="s">
        <v>2961</v>
      </c>
      <c r="H30" s="2813"/>
      <c r="I30" s="2813"/>
      <c r="J30" s="2813"/>
      <c r="K30" s="2814"/>
    </row>
    <row r="31" spans="1:14" s="2120" customFormat="1" ht="13.5" customHeight="1">
      <c r="A31" s="803" t="s">
        <v>1855</v>
      </c>
      <c r="B31" s="2858"/>
      <c r="C31" s="450">
        <f ca="1">C18+C19+C20+C23+C24+C26+C29</f>
        <v>76299</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2827</v>
      </c>
      <c r="B33" s="3030" t="s">
        <v>2825</v>
      </c>
      <c r="C33" s="478">
        <f ca="1">C35</f>
        <v>5341</v>
      </c>
      <c r="D33" s="467">
        <f ca="1">C34</f>
        <v>0.10290000000000001</v>
      </c>
      <c r="E33" s="469" t="s">
        <v>493</v>
      </c>
      <c r="F33" s="479">
        <f ca="1">IF(B1="",'数据-取费表'!Q16,INDIRECT("'数据-取费表'!q"&amp;$K$1))</f>
        <v>0.1</v>
      </c>
      <c r="G33" s="2816"/>
      <c r="H33" s="2817"/>
      <c r="I33" s="2817"/>
      <c r="J33" s="2817"/>
      <c r="K33" s="2818"/>
    </row>
    <row r="34" spans="1:11" s="2123" customFormat="1" ht="13.5" customHeight="1">
      <c r="A34" s="375" t="s">
        <v>1855</v>
      </c>
      <c r="B34" s="2863" t="s">
        <v>499</v>
      </c>
      <c r="C34" s="472">
        <f ca="1">ROUND((1+C25)*F33,4)</f>
        <v>0.10290000000000001</v>
      </c>
      <c r="D34" s="472"/>
      <c r="E34" s="473"/>
      <c r="F34" s="480"/>
      <c r="G34" s="261" t="s">
        <v>2288</v>
      </c>
      <c r="H34" s="2815"/>
      <c r="I34" s="2815"/>
      <c r="J34" s="2815"/>
      <c r="K34" s="279"/>
    </row>
    <row r="35" spans="1:11" s="2123" customFormat="1" ht="13.5" customHeight="1" thickBot="1">
      <c r="A35" s="1636" t="s">
        <v>1856</v>
      </c>
      <c r="B35" s="3031" t="s">
        <v>2833</v>
      </c>
      <c r="C35" s="1628">
        <f ca="1">ROUND((C18+C19+C20+C23+C24)*F33,0)</f>
        <v>5341</v>
      </c>
      <c r="D35" s="1629"/>
      <c r="E35" s="2864"/>
      <c r="F35" s="1630"/>
      <c r="G35" s="2822"/>
      <c r="H35" s="2823"/>
      <c r="I35" s="2823"/>
      <c r="J35" s="2823"/>
      <c r="K35" s="2824"/>
    </row>
    <row r="36" spans="1:11" s="2085" customFormat="1" ht="13.5" customHeight="1" thickBot="1">
      <c r="A36" s="284" t="s">
        <v>1843</v>
      </c>
      <c r="B36" s="2826"/>
      <c r="C36" s="2865">
        <f ca="1">ROUND((C6-C30-C33)/(1+D30+D33),0)</f>
        <v>172130</v>
      </c>
      <c r="D36" s="2826"/>
      <c r="E36" s="2826"/>
      <c r="F36" s="2826"/>
      <c r="G36" s="2825" t="s">
        <v>2834</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22" t="str">
        <f>项目基本情况!B1</f>
        <v>天津市滨海新区开发区海滨大道以西、新港四号路以北远洋琨庭项目110地块住宅、商业用房出让国有建设用地使用权抵押价格预评估</v>
      </c>
      <c r="C37" s="3222"/>
      <c r="D37" s="3222"/>
      <c r="E37" s="3222"/>
      <c r="F37" s="3222"/>
      <c r="G37" s="3222"/>
      <c r="H37" s="3222"/>
      <c r="I37" s="3222"/>
    </row>
    <row r="38" spans="1:9">
      <c r="A38" s="1656"/>
      <c r="B38" s="1656"/>
    </row>
    <row r="39" spans="1:9">
      <c r="A39" s="1654" t="s">
        <v>1900</v>
      </c>
      <c r="B39" s="1654" t="s">
        <v>2045</v>
      </c>
    </row>
    <row r="40" spans="1:9">
      <c r="A40" s="1654"/>
      <c r="B40" s="1654" t="str">
        <f>项目基本情况!B5</f>
        <v>天津城投滨海房地产经营有限公司</v>
      </c>
    </row>
    <row r="41" spans="1:9">
      <c r="A41" s="1654"/>
      <c r="B41" s="1654"/>
    </row>
    <row r="42" spans="1:9">
      <c r="A42" s="1654" t="s">
        <v>1900</v>
      </c>
      <c r="B42" s="1654" t="s">
        <v>2046</v>
      </c>
    </row>
    <row r="43" spans="1:9">
      <c r="A43" s="1654"/>
      <c r="B43" s="1654" t="s">
        <v>1902</v>
      </c>
    </row>
    <row r="44" spans="1:9">
      <c r="A44" s="1654"/>
      <c r="B44" s="1654"/>
    </row>
    <row r="45" spans="1:9">
      <c r="A45" s="1654" t="s">
        <v>1900</v>
      </c>
      <c r="B45" s="1654" t="s">
        <v>2044</v>
      </c>
    </row>
    <row r="46" spans="1:9" s="1654" customFormat="1" ht="12.75">
      <c r="B46" s="1654" t="str">
        <f>项目基本情况!K4</f>
        <v>赵雯、崔锴</v>
      </c>
    </row>
    <row r="47" spans="1:9">
      <c r="A47" s="1654"/>
      <c r="B47" s="1654"/>
    </row>
    <row r="48" spans="1:9">
      <c r="A48" s="1654" t="s">
        <v>1900</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464</v>
      </c>
      <c r="B1" s="2809"/>
      <c r="C1" s="2104"/>
      <c r="D1" s="2104"/>
      <c r="E1" s="2104"/>
      <c r="F1" s="2104"/>
      <c r="G1" s="2104"/>
      <c r="H1" s="2104"/>
      <c r="I1" s="2104"/>
      <c r="J1" s="2104"/>
      <c r="K1" s="422">
        <f>MATCH(B1,'数据-取费表'!A6:A16,0)+5</f>
        <v>10</v>
      </c>
    </row>
    <row r="2" spans="1:41" s="2041" customFormat="1" ht="18" customHeight="1">
      <c r="A2" s="423" t="s">
        <v>465</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466</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467</v>
      </c>
      <c r="D5" s="2104"/>
      <c r="E5" s="2104"/>
      <c r="F5" s="2104"/>
      <c r="G5" s="2104"/>
      <c r="H5" s="2104"/>
      <c r="I5" s="2104"/>
      <c r="J5" s="2104"/>
      <c r="K5" s="2104"/>
    </row>
    <row r="6" spans="1:41" s="2111" customFormat="1" ht="16.5" customHeight="1">
      <c r="A6" s="432" t="s">
        <v>2646</v>
      </c>
      <c r="B6" s="433"/>
      <c r="C6" s="1623">
        <f>SUM(C10:K10)</f>
        <v>0</v>
      </c>
      <c r="D6" s="2109"/>
      <c r="E6" s="2109"/>
      <c r="F6" s="2109"/>
      <c r="G6" s="2109"/>
      <c r="H6" s="2109"/>
      <c r="I6" s="2109"/>
      <c r="J6" s="2109"/>
      <c r="K6" s="2110"/>
    </row>
    <row r="7" spans="1:41" s="2113" customFormat="1" ht="15">
      <c r="A7" s="434" t="s">
        <v>468</v>
      </c>
      <c r="B7" s="435" t="s">
        <v>469</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1844</v>
      </c>
      <c r="B8" s="438" t="s">
        <v>470</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1845</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1846</v>
      </c>
      <c r="B10" s="1624" t="s">
        <v>472</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1863</v>
      </c>
      <c r="B11" s="1621"/>
      <c r="C11" s="1621"/>
      <c r="D11" s="1621"/>
      <c r="E11" s="1621"/>
      <c r="F11" s="1621"/>
      <c r="G11" s="1621"/>
      <c r="H11" s="1621"/>
      <c r="I11" s="1621"/>
      <c r="J11" s="1621"/>
      <c r="K11" s="1622"/>
    </row>
    <row r="12" spans="1:41" s="2085" customFormat="1" ht="13.5" customHeight="1">
      <c r="A12" s="434" t="s">
        <v>468</v>
      </c>
      <c r="B12" s="444" t="s">
        <v>469</v>
      </c>
      <c r="C12" s="445" t="s">
        <v>473</v>
      </c>
      <c r="D12" s="446" t="s">
        <v>474</v>
      </c>
      <c r="E12" s="446" t="s">
        <v>475</v>
      </c>
      <c r="F12" s="446" t="s">
        <v>476</v>
      </c>
      <c r="G12" s="444"/>
      <c r="H12" s="447"/>
      <c r="I12" s="447"/>
      <c r="J12" s="447"/>
      <c r="K12" s="448"/>
    </row>
    <row r="13" spans="1:41" s="2116" customFormat="1" ht="13.5" customHeight="1">
      <c r="A13" s="1633" t="s">
        <v>1847</v>
      </c>
      <c r="B13" s="449" t="s">
        <v>477</v>
      </c>
      <c r="C13" s="450">
        <f ca="1">IF(B1="",'数据-取费表'!M16,INDIRECT("'数据-取费表'!M"&amp;$K$1)+INDIRECT("'数据-取费表'!t"&amp;$K$1))</f>
        <v>40007</v>
      </c>
      <c r="D13" s="451"/>
      <c r="E13" s="365"/>
      <c r="F13" s="452"/>
      <c r="G13" s="444"/>
      <c r="H13" s="447"/>
      <c r="I13" s="447"/>
      <c r="J13" s="447"/>
      <c r="K13" s="448"/>
    </row>
    <row r="14" spans="1:41" s="2116" customFormat="1" ht="13.5" customHeight="1">
      <c r="A14" s="1633" t="s">
        <v>1848</v>
      </c>
      <c r="B14" s="449" t="s">
        <v>478</v>
      </c>
      <c r="C14" s="53">
        <f ca="1">ROUND(C13*F14,0)</f>
        <v>1200</v>
      </c>
      <c r="D14" s="451"/>
      <c r="E14" s="365"/>
      <c r="F14" s="453">
        <f>'数据-取费表'!B33</f>
        <v>0.03</v>
      </c>
      <c r="G14" s="444" t="s">
        <v>500</v>
      </c>
      <c r="H14" s="447"/>
      <c r="I14" s="447"/>
      <c r="J14" s="447"/>
      <c r="K14" s="448"/>
    </row>
    <row r="15" spans="1:41" s="2116" customFormat="1" ht="13.5" customHeight="1">
      <c r="A15" s="1633" t="s">
        <v>1849</v>
      </c>
      <c r="B15" s="449" t="s">
        <v>480</v>
      </c>
      <c r="C15" s="53">
        <f ca="1">ROUND(IF(B1="",SUMIF('数据-取费表'!C:C,"住宅",'数据-取费表'!M:M)*F15,IF(INDIRECT("'数据-取费表'!c"&amp;$K$1)="住宅",INDIRECT("'数据-取费表'!M"&amp;$K$1)*F15,0)),0)</f>
        <v>1413</v>
      </c>
      <c r="D15" s="451"/>
      <c r="E15" s="365"/>
      <c r="F15" s="453">
        <f>'数据-取费表'!B34</f>
        <v>0.05</v>
      </c>
      <c r="G15" s="444" t="s">
        <v>500</v>
      </c>
      <c r="H15" s="447"/>
      <c r="I15" s="447"/>
      <c r="J15" s="447"/>
      <c r="K15" s="448"/>
    </row>
    <row r="16" spans="1:41" s="2117" customFormat="1" ht="13.5" customHeight="1">
      <c r="A16" s="1633" t="s">
        <v>1850</v>
      </c>
      <c r="B16" s="449" t="s">
        <v>482</v>
      </c>
      <c r="C16" s="53">
        <f ca="1">ROUND(D16*E16/10000,0)</f>
        <v>3201</v>
      </c>
      <c r="D16" s="451">
        <f ca="1">IF(B1="",'数据-汇总表'!E3,INDIRECT("'数据-取费表'!K"&amp;$K$1)+INDIRECT("'数据-取费表'!S"&amp;$K$1))</f>
        <v>160029.13999999998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1851</v>
      </c>
      <c r="B17" s="449" t="s">
        <v>483</v>
      </c>
      <c r="C17" s="454">
        <f ca="1">ROUND(C13*F17,0)</f>
        <v>600</v>
      </c>
      <c r="D17" s="455"/>
      <c r="E17" s="454"/>
      <c r="F17" s="456">
        <f>'数据-取费表'!B36</f>
        <v>1.4999999999999999E-2</v>
      </c>
      <c r="G17" s="444" t="s">
        <v>500</v>
      </c>
      <c r="H17" s="457"/>
      <c r="I17" s="457"/>
      <c r="J17" s="457"/>
      <c r="K17" s="458"/>
    </row>
    <row r="18" spans="1:14" s="2119" customFormat="1" ht="13.5" customHeight="1">
      <c r="A18" s="1634" t="s">
        <v>1852</v>
      </c>
      <c r="B18" s="459" t="s">
        <v>485</v>
      </c>
      <c r="C18" s="460">
        <f ca="1">SUM(C13:C17)</f>
        <v>46421</v>
      </c>
      <c r="D18" s="461"/>
      <c r="E18" s="462"/>
      <c r="F18" s="462"/>
      <c r="G18" s="1327" t="s">
        <v>2428</v>
      </c>
      <c r="H18" s="447"/>
      <c r="I18" s="447"/>
      <c r="J18" s="447"/>
      <c r="K18" s="448"/>
    </row>
    <row r="19" spans="1:14" s="2119" customFormat="1" ht="13.5" customHeight="1">
      <c r="A19" s="1634" t="s">
        <v>1853</v>
      </c>
      <c r="B19" s="459" t="s">
        <v>491</v>
      </c>
      <c r="C19" s="460">
        <f ca="1">ROUND(C18*F19,0)</f>
        <v>928</v>
      </c>
      <c r="D19" s="462"/>
      <c r="E19" s="462"/>
      <c r="F19" s="466">
        <f>'数据-取费表'!B37</f>
        <v>0.02</v>
      </c>
      <c r="G19" s="444" t="s">
        <v>501</v>
      </c>
      <c r="H19" s="447"/>
      <c r="I19" s="447"/>
      <c r="J19" s="447"/>
      <c r="K19" s="448"/>
      <c r="L19" s="2121"/>
      <c r="M19" s="2121"/>
      <c r="N19" s="2121"/>
    </row>
    <row r="20" spans="1:14" s="2119" customFormat="1" ht="13.5" customHeight="1">
      <c r="A20" s="1634" t="s">
        <v>1854</v>
      </c>
      <c r="B20" s="459" t="s">
        <v>502</v>
      </c>
      <c r="C20" s="3028">
        <f>F20</f>
        <v>0.02</v>
      </c>
      <c r="D20" s="469" t="s">
        <v>503</v>
      </c>
      <c r="E20" s="469"/>
      <c r="F20" s="486">
        <f>'数据-取费表'!B38</f>
        <v>0.02</v>
      </c>
      <c r="G20" s="1327" t="s">
        <v>504</v>
      </c>
      <c r="H20" s="447"/>
      <c r="I20" s="447"/>
      <c r="J20" s="447"/>
      <c r="K20" s="448"/>
      <c r="L20" s="2121"/>
      <c r="M20" s="2121"/>
      <c r="N20" s="2121"/>
    </row>
    <row r="21" spans="1:14" s="2121" customFormat="1" ht="13.5" customHeight="1">
      <c r="A21" s="1634" t="s">
        <v>1857</v>
      </c>
      <c r="B21" s="461" t="s">
        <v>492</v>
      </c>
      <c r="C21" s="470">
        <f ca="1">C22</f>
        <v>3413</v>
      </c>
      <c r="D21" s="467">
        <f ca="1">C23</f>
        <v>1.4E-3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2449</v>
      </c>
    </row>
    <row r="22" spans="1:14" s="2120" customFormat="1" ht="13.5" customHeight="1">
      <c r="A22" s="1633" t="s">
        <v>1847</v>
      </c>
      <c r="B22" s="1328" t="s">
        <v>2431</v>
      </c>
      <c r="C22" s="487">
        <f ca="1">ROUND(IF('数据-取费表'!B22&lt;=1,(C18+C19)*F21*'数据-取费表'!B20/2,(C18+C19)*(POWER((1+F21),'数据-取费表'!B20/2)-1)),0)</f>
        <v>3413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1848</v>
      </c>
      <c r="B23" s="1328" t="s">
        <v>506</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1858</v>
      </c>
      <c r="B24" s="3030" t="s">
        <v>2826</v>
      </c>
      <c r="C24" s="478">
        <f ca="1">C25</f>
        <v>4735</v>
      </c>
      <c r="D24" s="489">
        <f ca="1">C26</f>
        <v>2E-3</v>
      </c>
      <c r="E24" s="469" t="s">
        <v>505</v>
      </c>
      <c r="F24" s="479">
        <f ca="1">IF(B1="",'数据-取费表'!Q16,INDIRECT("'数据-取费表'!q"&amp;$K$1))</f>
        <v>0.1</v>
      </c>
      <c r="G24" s="444"/>
      <c r="H24" s="447"/>
      <c r="I24" s="447"/>
      <c r="J24" s="447"/>
      <c r="K24" s="448"/>
    </row>
    <row r="25" spans="1:14" s="2120" customFormat="1" ht="13.5" customHeight="1">
      <c r="A25" s="1633" t="s">
        <v>1847</v>
      </c>
      <c r="B25" s="1328" t="s">
        <v>2432</v>
      </c>
      <c r="C25" s="490">
        <f ca="1">ROUND((C18+C19)*F24,0)</f>
        <v>4735</v>
      </c>
      <c r="D25" s="472"/>
      <c r="E25" s="473"/>
      <c r="F25" s="480"/>
      <c r="G25" s="1326" t="s">
        <v>2429</v>
      </c>
      <c r="H25" s="457"/>
      <c r="I25" s="457"/>
      <c r="J25" s="457"/>
      <c r="K25" s="458"/>
    </row>
    <row r="26" spans="1:14" s="2120" customFormat="1" ht="13.5" customHeight="1">
      <c r="A26" s="1633" t="s">
        <v>1848</v>
      </c>
      <c r="B26" s="1328" t="s">
        <v>507</v>
      </c>
      <c r="C26" s="491">
        <f ca="1">ROUND(F20*F24,4)</f>
        <v>2E-3</v>
      </c>
      <c r="D26" s="472"/>
      <c r="E26" s="481"/>
      <c r="F26" s="480"/>
      <c r="G26" s="1326" t="s">
        <v>508</v>
      </c>
      <c r="H26" s="457"/>
      <c r="I26" s="457"/>
      <c r="J26" s="457"/>
      <c r="K26" s="458"/>
    </row>
    <row r="27" spans="1:14" s="2120" customFormat="1" ht="13.5" customHeight="1">
      <c r="A27" s="1637" t="s">
        <v>1866</v>
      </c>
      <c r="B27" s="459" t="s">
        <v>509</v>
      </c>
      <c r="C27" s="3029">
        <f>ROUND(F27/(1+'数据-取费表'!C42),4)</f>
        <v>6.2899999999999998E-2</v>
      </c>
      <c r="D27" s="462" t="s">
        <v>2824</v>
      </c>
      <c r="E27" s="462"/>
      <c r="F27" s="466">
        <f>'数据-取费表'!B41</f>
        <v>6.6000000000000003E-2</v>
      </c>
      <c r="G27" s="1960" t="s">
        <v>2289</v>
      </c>
      <c r="H27" s="447"/>
      <c r="I27" s="447"/>
      <c r="J27" s="447"/>
      <c r="K27" s="448"/>
    </row>
    <row r="28" spans="1:14" s="2121" customFormat="1" ht="13.5" customHeight="1">
      <c r="A28" s="1637" t="s">
        <v>1867</v>
      </c>
      <c r="B28" s="476" t="s">
        <v>510</v>
      </c>
      <c r="C28" s="470">
        <f ca="1">ROUND((C18+C19+C21+C24)/(1-C20-D21-D24-C27),0)</f>
        <v>60739</v>
      </c>
      <c r="D28" s="477"/>
      <c r="E28" s="469"/>
      <c r="F28" s="471"/>
      <c r="G28" s="1327" t="s">
        <v>2430</v>
      </c>
      <c r="H28" s="447"/>
      <c r="I28" s="447"/>
      <c r="J28" s="447"/>
      <c r="K28" s="448"/>
    </row>
    <row r="29" spans="1:14" s="2121" customFormat="1" ht="13.5" customHeight="1">
      <c r="A29" s="1637" t="s">
        <v>1868</v>
      </c>
      <c r="B29" s="476" t="s">
        <v>511</v>
      </c>
      <c r="C29" s="492">
        <f ca="1">IF(B1="",'数据-取费表'!N16,INDIRECT("'数据-取费表'!N"&amp;$K$1))</f>
        <v>0</v>
      </c>
      <c r="D29" s="493"/>
      <c r="E29" s="494"/>
      <c r="F29" s="495"/>
      <c r="G29" s="444"/>
      <c r="H29" s="447"/>
      <c r="I29" s="447"/>
      <c r="J29" s="447"/>
      <c r="K29" s="448"/>
    </row>
    <row r="30" spans="1:14" s="2121" customFormat="1" ht="13.5" customHeight="1">
      <c r="A30" s="443">
        <v>2</v>
      </c>
      <c r="B30" s="476" t="s">
        <v>512</v>
      </c>
      <c r="C30" s="497">
        <f ca="1">ROUND(C28*C29,0)</f>
        <v>0</v>
      </c>
      <c r="D30" s="493"/>
      <c r="E30" s="498"/>
      <c r="F30" s="499"/>
      <c r="G30" s="1329" t="s">
        <v>513</v>
      </c>
      <c r="H30" s="496"/>
      <c r="I30" s="496"/>
      <c r="J30" s="447"/>
      <c r="K30" s="448"/>
    </row>
    <row r="31" spans="1:14" s="2126" customFormat="1" ht="13.5" customHeight="1">
      <c r="A31" s="2482" t="s">
        <v>1864</v>
      </c>
      <c r="B31" s="1330"/>
      <c r="C31" s="500">
        <f>ROUND(C6*F31/(1+'数据-取费表'!C42),0)</f>
        <v>0</v>
      </c>
      <c r="D31" s="1331"/>
      <c r="E31" s="1331"/>
      <c r="F31" s="501">
        <f>'数据-取费表'!B41</f>
        <v>6.6000000000000003E-2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465</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518</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467</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519</v>
      </c>
      <c r="B6" s="513"/>
      <c r="C6" s="3396" t="s">
        <v>520</v>
      </c>
      <c r="D6" s="3397"/>
      <c r="E6" s="3431" t="s">
        <v>521</v>
      </c>
      <c r="F6" s="3432"/>
      <c r="G6" s="3396" t="s">
        <v>522</v>
      </c>
      <c r="H6" s="3397"/>
      <c r="I6" s="3396" t="s">
        <v>523</v>
      </c>
      <c r="J6" s="3397"/>
      <c r="K6" s="514" t="s">
        <v>524</v>
      </c>
      <c r="L6" s="2133"/>
      <c r="M6" s="2134"/>
      <c r="N6" s="2134"/>
      <c r="O6" s="2134"/>
      <c r="P6" s="3398" t="s">
        <v>525</v>
      </c>
      <c r="Q6" s="3399"/>
      <c r="R6" s="3404" t="s">
        <v>521</v>
      </c>
      <c r="S6" s="3405"/>
      <c r="T6" s="3404" t="s">
        <v>522</v>
      </c>
      <c r="U6" s="3405"/>
      <c r="V6" s="3391" t="s">
        <v>523</v>
      </c>
      <c r="W6" s="3391"/>
      <c r="X6" s="1567"/>
      <c r="Y6" s="3404" t="s">
        <v>525</v>
      </c>
      <c r="Z6" s="3405"/>
      <c r="AA6" s="3393" t="s">
        <v>521</v>
      </c>
      <c r="AB6" s="3394" t="s">
        <v>522</v>
      </c>
      <c r="AC6" s="3393" t="s">
        <v>523</v>
      </c>
    </row>
    <row r="7" spans="1:29" ht="15">
      <c r="A7" s="515"/>
      <c r="B7" s="516"/>
      <c r="C7" s="3412" t="s">
        <v>2916</v>
      </c>
      <c r="D7" s="3413"/>
      <c r="E7" s="3433" t="s">
        <v>2917</v>
      </c>
      <c r="F7" s="3434"/>
      <c r="G7" s="3412" t="s">
        <v>2918</v>
      </c>
      <c r="H7" s="3413"/>
      <c r="I7" s="3412" t="s">
        <v>2919</v>
      </c>
      <c r="J7" s="3413"/>
      <c r="K7" s="514"/>
      <c r="L7" s="2133"/>
      <c r="M7" s="2134"/>
      <c r="N7" s="2134"/>
      <c r="O7" s="2134"/>
      <c r="P7" s="3400"/>
      <c r="Q7" s="3401"/>
      <c r="R7" s="3406"/>
      <c r="S7" s="3407"/>
      <c r="T7" s="3406"/>
      <c r="U7" s="3407"/>
      <c r="V7" s="3391"/>
      <c r="W7" s="3391"/>
      <c r="X7" s="1567"/>
      <c r="Y7" s="3406"/>
      <c r="Z7" s="3407"/>
      <c r="AA7" s="3394"/>
      <c r="AB7" s="3394"/>
      <c r="AC7" s="3394"/>
    </row>
    <row r="8" spans="1:29" ht="15.75" thickBot="1">
      <c r="A8" s="517"/>
      <c r="B8" s="518"/>
      <c r="C8" s="3410" t="s">
        <v>2920</v>
      </c>
      <c r="D8" s="3411"/>
      <c r="E8" s="3429" t="s">
        <v>2920</v>
      </c>
      <c r="F8" s="3430"/>
      <c r="G8" s="3410" t="s">
        <v>2920</v>
      </c>
      <c r="H8" s="3411"/>
      <c r="I8" s="3410" t="s">
        <v>2920</v>
      </c>
      <c r="J8" s="3411"/>
      <c r="K8" s="514" t="s">
        <v>526</v>
      </c>
      <c r="L8" s="2133"/>
      <c r="M8" s="2134"/>
      <c r="N8" s="2134"/>
      <c r="O8" s="2134"/>
      <c r="P8" s="3402"/>
      <c r="Q8" s="3403"/>
      <c r="R8" s="3406"/>
      <c r="S8" s="3407"/>
      <c r="T8" s="3408"/>
      <c r="U8" s="3409"/>
      <c r="V8" s="3391"/>
      <c r="W8" s="3391"/>
      <c r="X8" s="1567"/>
      <c r="Y8" s="3408"/>
      <c r="Z8" s="3409"/>
      <c r="AA8" s="3395"/>
      <c r="AB8" s="3395"/>
      <c r="AC8" s="3395"/>
    </row>
    <row r="9" spans="1:29" s="1220" customFormat="1" ht="15.75" thickBot="1">
      <c r="A9" s="2911"/>
      <c r="B9" s="2918" t="s">
        <v>527</v>
      </c>
      <c r="C9" s="519">
        <f>'数据-取费表'!B2</f>
        <v>43325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2" t="s">
        <v>528</v>
      </c>
      <c r="Q9" s="3424"/>
      <c r="R9" s="1568" t="s">
        <v>8</v>
      </c>
      <c r="S9" s="1569">
        <f t="shared" ref="S9:S17" si="0">F9</f>
        <v>0</v>
      </c>
      <c r="T9" s="1568" t="s">
        <v>8</v>
      </c>
      <c r="U9" s="1569">
        <f t="shared" ref="U9:U17" si="1">H9</f>
        <v>0</v>
      </c>
      <c r="V9" s="1568" t="s">
        <v>8</v>
      </c>
      <c r="W9" s="1569">
        <f t="shared" ref="W9:W17" si="2">J9</f>
        <v>0</v>
      </c>
      <c r="X9" s="1570"/>
      <c r="Y9" s="3422" t="s">
        <v>528</v>
      </c>
      <c r="Z9" s="3423"/>
      <c r="AA9" s="1571" t="e">
        <f>D9/F9</f>
        <v>#DIV/0!</v>
      </c>
      <c r="AB9" s="1571" t="e">
        <f>D9/H9</f>
        <v>#DIV/0!</v>
      </c>
      <c r="AC9" s="1571" t="e">
        <f>D9/J9</f>
        <v>#DIV/0!</v>
      </c>
    </row>
    <row r="10" spans="1:29" s="1220" customFormat="1" ht="15.75" thickBot="1">
      <c r="A10" s="2912"/>
      <c r="B10" s="2919"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2" t="s">
        <v>531</v>
      </c>
      <c r="Q10" s="3423"/>
      <c r="R10" s="1568" t="s">
        <v>8</v>
      </c>
      <c r="S10" s="1569">
        <f t="shared" si="0"/>
        <v>0</v>
      </c>
      <c r="T10" s="1568" t="s">
        <v>8</v>
      </c>
      <c r="U10" s="1569">
        <f t="shared" si="1"/>
        <v>0</v>
      </c>
      <c r="V10" s="1568" t="s">
        <v>8</v>
      </c>
      <c r="W10" s="1569">
        <f t="shared" si="2"/>
        <v>0</v>
      </c>
      <c r="X10" s="1570"/>
      <c r="Y10" s="3422" t="s">
        <v>531</v>
      </c>
      <c r="Z10" s="3423"/>
      <c r="AA10" s="1571" t="e">
        <f t="shared" ref="AA10:AA42" si="3">D10/F10</f>
        <v>#DIV/0!</v>
      </c>
      <c r="AB10" s="1571" t="e">
        <f t="shared" ref="AB10:AB42" si="4">D10/H10</f>
        <v>#DIV/0!</v>
      </c>
      <c r="AC10" s="1571" t="e">
        <f t="shared" ref="AC10:AC42" si="5">D10/J10</f>
        <v>#DIV/0!</v>
      </c>
    </row>
    <row r="11" spans="1:29" s="1220" customFormat="1" ht="15">
      <c r="A11" s="2913"/>
      <c r="B11" s="2920" t="s">
        <v>2750</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0" t="s">
        <v>533</v>
      </c>
      <c r="Q11" s="1151" t="str">
        <f t="shared" ref="Q11:Q17" si="6">B11</f>
        <v>用途</v>
      </c>
      <c r="R11" s="1568" t="s">
        <v>8</v>
      </c>
      <c r="S11" s="1569">
        <f t="shared" si="0"/>
        <v>100</v>
      </c>
      <c r="T11" s="1568" t="s">
        <v>8</v>
      </c>
      <c r="U11" s="1569">
        <f t="shared" si="1"/>
        <v>100</v>
      </c>
      <c r="V11" s="1568" t="s">
        <v>8</v>
      </c>
      <c r="W11" s="1569">
        <f t="shared" si="2"/>
        <v>100</v>
      </c>
      <c r="X11" s="1570"/>
      <c r="Y11" s="3336" t="s">
        <v>534</v>
      </c>
      <c r="Z11" s="1150" t="str">
        <f t="shared" ref="Z11:Z17" si="7">Q11</f>
        <v>用途</v>
      </c>
      <c r="AA11" s="1571">
        <f t="shared" si="3"/>
        <v>1</v>
      </c>
      <c r="AB11" s="1571">
        <f t="shared" si="4"/>
        <v>1</v>
      </c>
      <c r="AC11" s="1571">
        <f t="shared" si="5"/>
        <v>1</v>
      </c>
    </row>
    <row r="12" spans="1:29" s="1338" customFormat="1" ht="27">
      <c r="A12" s="2914"/>
      <c r="B12" s="2919" t="s">
        <v>2751</v>
      </c>
      <c r="C12" s="528"/>
      <c r="D12" s="255">
        <v>100</v>
      </c>
      <c r="E12" s="528"/>
      <c r="F12" s="255">
        <f>ROUND(100/'数据-取费表'!G16,0)</f>
        <v>105</v>
      </c>
      <c r="G12" s="528"/>
      <c r="H12" s="255">
        <f>ROUND(100/'数据-取费表'!G16,0)</f>
        <v>105</v>
      </c>
      <c r="I12" s="528"/>
      <c r="J12" s="255">
        <f>ROUND(100/'数据-取费表'!G16,0)</f>
        <v>105</v>
      </c>
      <c r="K12" s="531"/>
      <c r="L12" s="2138"/>
      <c r="M12" s="2178"/>
      <c r="N12" s="2178"/>
      <c r="O12" s="2139"/>
      <c r="P12" s="3390"/>
      <c r="Q12" s="1151" t="str">
        <f t="shared" si="6"/>
        <v>土地使用年限（年）</v>
      </c>
      <c r="R12" s="1568" t="s">
        <v>8</v>
      </c>
      <c r="S12" s="1569">
        <f t="shared" si="0"/>
        <v>105</v>
      </c>
      <c r="T12" s="1568" t="s">
        <v>8</v>
      </c>
      <c r="U12" s="1569">
        <f t="shared" si="1"/>
        <v>105</v>
      </c>
      <c r="V12" s="1568" t="s">
        <v>8</v>
      </c>
      <c r="W12" s="1569">
        <f t="shared" si="2"/>
        <v>105</v>
      </c>
      <c r="X12" s="1570"/>
      <c r="Y12" s="3336"/>
      <c r="Z12" s="1150" t="str">
        <f t="shared" si="7"/>
        <v>土地使用年限（年）</v>
      </c>
      <c r="AA12" s="1571">
        <f t="shared" si="3"/>
        <v>0.95238095238095233</v>
      </c>
      <c r="AB12" s="1571">
        <f t="shared" si="4"/>
        <v>0.95238095238095233</v>
      </c>
      <c r="AC12" s="1571">
        <f t="shared" si="5"/>
        <v>0.95238095238095233</v>
      </c>
    </row>
    <row r="13" spans="1:29" ht="15">
      <c r="A13" s="2915"/>
      <c r="B13" s="2919"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0"/>
      <c r="Q13" s="1151" t="str">
        <f t="shared" si="6"/>
        <v>容积率</v>
      </c>
      <c r="R13" s="1568" t="s">
        <v>8</v>
      </c>
      <c r="S13" s="1569" t="e">
        <f t="shared" si="0"/>
        <v>#N/A</v>
      </c>
      <c r="T13" s="1568" t="s">
        <v>8</v>
      </c>
      <c r="U13" s="1569" t="e">
        <f t="shared" si="1"/>
        <v>#N/A</v>
      </c>
      <c r="V13" s="1568" t="s">
        <v>8</v>
      </c>
      <c r="W13" s="1569" t="e">
        <f t="shared" si="2"/>
        <v>#N/A</v>
      </c>
      <c r="X13" s="1570"/>
      <c r="Y13" s="3336"/>
      <c r="Z13" s="1150" t="str">
        <f t="shared" si="7"/>
        <v>容积率</v>
      </c>
      <c r="AA13" s="1571" t="e">
        <f t="shared" si="3"/>
        <v>#N/A</v>
      </c>
      <c r="AB13" s="1571" t="e">
        <f t="shared" si="4"/>
        <v>#N/A</v>
      </c>
      <c r="AC13" s="1571"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0"/>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D14/F14</f>
        <v>1</v>
      </c>
      <c r="AB14" s="1571">
        <f>D14/H14</f>
        <v>1</v>
      </c>
      <c r="AC14" s="1571">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0"/>
      <c r="Q15" s="1151">
        <f t="shared" si="6"/>
        <v>111</v>
      </c>
      <c r="R15" s="1568" t="s">
        <v>8</v>
      </c>
      <c r="S15" s="1569">
        <f t="shared" si="0"/>
        <v>100</v>
      </c>
      <c r="T15" s="1568" t="s">
        <v>8</v>
      </c>
      <c r="U15" s="1569">
        <f t="shared" si="1"/>
        <v>100</v>
      </c>
      <c r="V15" s="1568" t="s">
        <v>8</v>
      </c>
      <c r="W15" s="1569">
        <f t="shared" si="2"/>
        <v>100</v>
      </c>
      <c r="X15" s="1570"/>
      <c r="Y15" s="3336"/>
      <c r="Z15" s="1150">
        <f t="shared" si="7"/>
        <v>111</v>
      </c>
      <c r="AA15" s="1571">
        <f t="shared" si="3"/>
        <v>1</v>
      </c>
      <c r="AB15" s="1571">
        <f t="shared" si="4"/>
        <v>1</v>
      </c>
      <c r="AC15" s="1571">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0"/>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 t="shared" si="3"/>
        <v>1</v>
      </c>
      <c r="AB16" s="1571">
        <f t="shared" si="4"/>
        <v>1</v>
      </c>
      <c r="AC16" s="1571">
        <f t="shared" si="5"/>
        <v>1</v>
      </c>
    </row>
    <row r="17" spans="1:29" ht="57">
      <c r="A17" s="2909" t="s">
        <v>2748</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5" t="s">
        <v>538</v>
      </c>
      <c r="Q17" s="1572" t="str">
        <f t="shared" si="6"/>
        <v>产业集聚程度</v>
      </c>
      <c r="R17" s="1573" t="s">
        <v>8</v>
      </c>
      <c r="S17" s="1574">
        <f t="shared" si="0"/>
        <v>100</v>
      </c>
      <c r="T17" s="1573" t="s">
        <v>8</v>
      </c>
      <c r="U17" s="1574">
        <f t="shared" si="1"/>
        <v>100</v>
      </c>
      <c r="V17" s="1573" t="s">
        <v>8</v>
      </c>
      <c r="W17" s="1574">
        <f t="shared" si="2"/>
        <v>100</v>
      </c>
      <c r="X17" s="1567"/>
      <c r="Y17" s="3425" t="s">
        <v>538</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26"/>
      <c r="Q18" s="1572"/>
      <c r="R18" s="1573"/>
      <c r="S18" s="1574"/>
      <c r="T18" s="1573"/>
      <c r="U18" s="1574"/>
      <c r="V18" s="1573"/>
      <c r="W18" s="1574"/>
      <c r="X18" s="1567"/>
      <c r="Y18" s="3426"/>
      <c r="Z18" s="1575"/>
      <c r="AA18" s="1576">
        <v>1</v>
      </c>
      <c r="AB18" s="1576">
        <v>1</v>
      </c>
      <c r="AC18" s="1576">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6"/>
      <c r="Q19" s="1572" t="str">
        <f>B19</f>
        <v>交通便捷度</v>
      </c>
      <c r="R19" s="1573" t="s">
        <v>8</v>
      </c>
      <c r="S19" s="1574">
        <f>F19</f>
        <v>100</v>
      </c>
      <c r="T19" s="1573" t="s">
        <v>8</v>
      </c>
      <c r="U19" s="1574">
        <f>H19</f>
        <v>100</v>
      </c>
      <c r="V19" s="1573" t="s">
        <v>8</v>
      </c>
      <c r="W19" s="1574">
        <f>J19</f>
        <v>100</v>
      </c>
      <c r="X19" s="1567"/>
      <c r="Y19" s="342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26"/>
      <c r="Q20" s="1572"/>
      <c r="R20" s="1573"/>
      <c r="S20" s="1574"/>
      <c r="T20" s="1573"/>
      <c r="U20" s="1574"/>
      <c r="V20" s="1573"/>
      <c r="W20" s="1574"/>
      <c r="X20" s="1567"/>
      <c r="Y20" s="3426"/>
      <c r="Z20" s="1575"/>
      <c r="AA20" s="1576">
        <v>1</v>
      </c>
      <c r="AB20" s="1576">
        <v>1</v>
      </c>
      <c r="AC20" s="1576">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6"/>
      <c r="Q21" s="1572" t="str">
        <f t="shared" ref="Q21:Q35" si="8">B21</f>
        <v>区域土地利用方向</v>
      </c>
      <c r="R21" s="1573" t="s">
        <v>8</v>
      </c>
      <c r="S21" s="1574">
        <f>F21</f>
        <v>100</v>
      </c>
      <c r="T21" s="1573" t="s">
        <v>8</v>
      </c>
      <c r="U21" s="1574">
        <f>H21</f>
        <v>100</v>
      </c>
      <c r="V21" s="1573" t="s">
        <v>8</v>
      </c>
      <c r="W21" s="1574">
        <f>J21</f>
        <v>100</v>
      </c>
      <c r="X21" s="1567"/>
      <c r="Y21" s="342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426"/>
      <c r="Q22" s="1572"/>
      <c r="R22" s="1573"/>
      <c r="S22" s="1574"/>
      <c r="T22" s="1573"/>
      <c r="U22" s="1574"/>
      <c r="V22" s="1573"/>
      <c r="W22" s="1574"/>
      <c r="X22" s="1567"/>
      <c r="Y22" s="3426"/>
      <c r="Z22" s="1575"/>
      <c r="AA22" s="1576"/>
      <c r="AB22" s="1576"/>
      <c r="AC22" s="1576"/>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6"/>
      <c r="Q23" s="1572" t="str">
        <f t="shared" si="8"/>
        <v>环境状况</v>
      </c>
      <c r="R23" s="1573" t="s">
        <v>8</v>
      </c>
      <c r="S23" s="1574">
        <f>F23</f>
        <v>100</v>
      </c>
      <c r="T23" s="1573" t="s">
        <v>8</v>
      </c>
      <c r="U23" s="1574">
        <f>H23</f>
        <v>100</v>
      </c>
      <c r="V23" s="1573" t="s">
        <v>8</v>
      </c>
      <c r="W23" s="1574">
        <f>J23</f>
        <v>100</v>
      </c>
      <c r="X23" s="1567"/>
      <c r="Y23" s="342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26"/>
      <c r="Q24" s="1572"/>
      <c r="R24" s="1573"/>
      <c r="S24" s="1574"/>
      <c r="T24" s="1573"/>
      <c r="U24" s="1574"/>
      <c r="V24" s="1573"/>
      <c r="W24" s="1574"/>
      <c r="X24" s="1567"/>
      <c r="Y24" s="3426"/>
      <c r="Z24" s="1575"/>
      <c r="AA24" s="1576">
        <v>1</v>
      </c>
      <c r="AB24" s="1576">
        <v>1</v>
      </c>
      <c r="AC24" s="1576">
        <v>1</v>
      </c>
    </row>
    <row r="25" spans="1:29" s="1220" customFormat="1" ht="42.75">
      <c r="A25" s="577"/>
      <c r="B25" s="2593"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6"/>
      <c r="Q25" s="1151" t="str">
        <f t="shared" si="8"/>
        <v>公共配套设施</v>
      </c>
      <c r="R25" s="1568" t="s">
        <v>8</v>
      </c>
      <c r="S25" s="1569">
        <f>F25</f>
        <v>100</v>
      </c>
      <c r="T25" s="1568" t="s">
        <v>8</v>
      </c>
      <c r="U25" s="1569">
        <f>H25</f>
        <v>100</v>
      </c>
      <c r="V25" s="1568" t="s">
        <v>8</v>
      </c>
      <c r="W25" s="1569">
        <f>J25</f>
        <v>100</v>
      </c>
      <c r="X25" s="1570"/>
      <c r="Y25" s="3426"/>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426"/>
      <c r="Q26" s="1151"/>
      <c r="R26" s="1568"/>
      <c r="S26" s="1569"/>
      <c r="T26" s="1568"/>
      <c r="U26" s="1569"/>
      <c r="V26" s="1568"/>
      <c r="W26" s="1569"/>
      <c r="X26" s="1570"/>
      <c r="Y26" s="3426"/>
      <c r="Z26" s="1150"/>
      <c r="AA26" s="1571">
        <v>1</v>
      </c>
      <c r="AB26" s="1571">
        <v>1</v>
      </c>
      <c r="AC26" s="1571">
        <v>1</v>
      </c>
    </row>
    <row r="27" spans="1:29" s="1220" customFormat="1" ht="28.5">
      <c r="A27" s="577"/>
      <c r="B27" s="2593"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6"/>
      <c r="Q27" s="2578" t="str">
        <f t="shared" ref="Q27" si="9">B27</f>
        <v>基础设施水平</v>
      </c>
      <c r="R27" s="1568" t="s">
        <v>8</v>
      </c>
      <c r="S27" s="1569">
        <f>F27</f>
        <v>100</v>
      </c>
      <c r="T27" s="1568" t="s">
        <v>8</v>
      </c>
      <c r="U27" s="1569">
        <f>H27</f>
        <v>100</v>
      </c>
      <c r="V27" s="1568" t="s">
        <v>8</v>
      </c>
      <c r="W27" s="1569">
        <f>J27</f>
        <v>100</v>
      </c>
      <c r="X27" s="1570"/>
      <c r="Y27" s="3426"/>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426"/>
      <c r="Q28" s="2578"/>
      <c r="R28" s="1568"/>
      <c r="S28" s="1569"/>
      <c r="T28" s="1568"/>
      <c r="U28" s="1569"/>
      <c r="V28" s="1568"/>
      <c r="W28" s="1569"/>
      <c r="X28" s="1570"/>
      <c r="Y28" s="3426"/>
      <c r="Z28" s="2575"/>
      <c r="AA28" s="1571">
        <v>1</v>
      </c>
      <c r="AB28" s="1571">
        <v>1</v>
      </c>
      <c r="AC28" s="1571">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6"/>
      <c r="Z29" s="1575" t="str">
        <f t="shared" ref="Z29:Z42" si="13">Q29</f>
        <v>临街状况</v>
      </c>
      <c r="AA29" s="1576">
        <f t="shared" si="3"/>
        <v>1</v>
      </c>
      <c r="AB29" s="1576">
        <f t="shared" si="4"/>
        <v>1</v>
      </c>
      <c r="AC29" s="1576">
        <f t="shared" si="5"/>
        <v>1</v>
      </c>
    </row>
    <row r="30" spans="1:29" ht="27">
      <c r="A30" s="532"/>
      <c r="B30" s="922" t="s">
        <v>546</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6"/>
      <c r="Q30" s="1572" t="str">
        <f t="shared" si="8"/>
        <v>毗邻道路的类型与等级</v>
      </c>
      <c r="R30" s="1573" t="s">
        <v>8</v>
      </c>
      <c r="S30" s="1574">
        <f t="shared" si="10"/>
        <v>100</v>
      </c>
      <c r="T30" s="1573" t="s">
        <v>8</v>
      </c>
      <c r="U30" s="1574">
        <f t="shared" si="11"/>
        <v>100</v>
      </c>
      <c r="V30" s="1573" t="s">
        <v>8</v>
      </c>
      <c r="W30" s="1574">
        <f t="shared" si="12"/>
        <v>100</v>
      </c>
      <c r="X30" s="1567"/>
      <c r="Y30" s="342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26"/>
      <c r="Q31" s="1572"/>
      <c r="R31" s="1573"/>
      <c r="S31" s="1574"/>
      <c r="T31" s="1573"/>
      <c r="U31" s="1574"/>
      <c r="V31" s="1573"/>
      <c r="W31" s="1574"/>
      <c r="X31" s="1567"/>
      <c r="Y31" s="3426"/>
      <c r="Z31" s="1575"/>
      <c r="AA31" s="1576">
        <v>1</v>
      </c>
      <c r="AB31" s="1576">
        <v>1</v>
      </c>
      <c r="AC31" s="1576">
        <v>1</v>
      </c>
    </row>
    <row r="32" spans="1:29" ht="15">
      <c r="A32" s="532"/>
      <c r="B32" s="527" t="s">
        <v>547</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6"/>
      <c r="Q32" s="1572" t="str">
        <f t="shared" si="8"/>
        <v>土地级别</v>
      </c>
      <c r="R32" s="1573" t="s">
        <v>8</v>
      </c>
      <c r="S32" s="1574">
        <f t="shared" si="10"/>
        <v>100</v>
      </c>
      <c r="T32" s="1573" t="s">
        <v>8</v>
      </c>
      <c r="U32" s="1574">
        <f t="shared" si="11"/>
        <v>100</v>
      </c>
      <c r="V32" s="1573" t="s">
        <v>8</v>
      </c>
      <c r="W32" s="1574">
        <f t="shared" si="12"/>
        <v>100</v>
      </c>
      <c r="X32" s="1567"/>
      <c r="Y32" s="342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6"/>
      <c r="Q33" s="1572">
        <f t="shared" si="8"/>
        <v>111</v>
      </c>
      <c r="R33" s="1573" t="s">
        <v>8</v>
      </c>
      <c r="S33" s="1574">
        <f t="shared" si="10"/>
        <v>100</v>
      </c>
      <c r="T33" s="1573" t="s">
        <v>8</v>
      </c>
      <c r="U33" s="1574">
        <f t="shared" si="11"/>
        <v>100</v>
      </c>
      <c r="V33" s="1573" t="s">
        <v>8</v>
      </c>
      <c r="W33" s="1574">
        <f t="shared" si="12"/>
        <v>100</v>
      </c>
      <c r="X33" s="1567"/>
      <c r="Y33" s="342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7" t="s">
        <v>548</v>
      </c>
      <c r="Q34" s="1572">
        <f t="shared" si="8"/>
        <v>111</v>
      </c>
      <c r="R34" s="1573" t="s">
        <v>8</v>
      </c>
      <c r="S34" s="1574">
        <f t="shared" si="10"/>
        <v>100</v>
      </c>
      <c r="T34" s="1573" t="s">
        <v>8</v>
      </c>
      <c r="U34" s="1574">
        <f t="shared" si="11"/>
        <v>100</v>
      </c>
      <c r="V34" s="1573" t="s">
        <v>8</v>
      </c>
      <c r="W34" s="1574">
        <f t="shared" si="12"/>
        <v>100</v>
      </c>
      <c r="X34" s="1567"/>
      <c r="Y34" s="3428" t="s">
        <v>548</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8"/>
      <c r="Q35" s="1572">
        <f t="shared" si="8"/>
        <v>111</v>
      </c>
      <c r="R35" s="1577" t="s">
        <v>8</v>
      </c>
      <c r="S35" s="1578">
        <f t="shared" si="10"/>
        <v>100</v>
      </c>
      <c r="T35" s="1577" t="s">
        <v>8</v>
      </c>
      <c r="U35" s="1578">
        <f t="shared" si="11"/>
        <v>100</v>
      </c>
      <c r="V35" s="1577" t="s">
        <v>8</v>
      </c>
      <c r="W35" s="1578">
        <f t="shared" si="12"/>
        <v>100</v>
      </c>
      <c r="X35" s="1579"/>
      <c r="Y35" s="3428"/>
      <c r="Z35" s="1580">
        <f t="shared" si="13"/>
        <v>111</v>
      </c>
      <c r="AA35" s="1576">
        <f t="shared" si="3"/>
        <v>1</v>
      </c>
      <c r="AB35" s="1576">
        <f t="shared" si="4"/>
        <v>1</v>
      </c>
      <c r="AC35" s="1576">
        <f t="shared" si="5"/>
        <v>1</v>
      </c>
    </row>
    <row r="36" spans="1:29" ht="15">
      <c r="A36" s="2907" t="s">
        <v>2749</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8"/>
      <c r="Q36" s="1572" t="str">
        <f>B36</f>
        <v>宗地面积</v>
      </c>
      <c r="R36" s="1573" t="s">
        <v>8</v>
      </c>
      <c r="S36" s="1574" t="e">
        <f t="shared" si="10"/>
        <v>#N/A</v>
      </c>
      <c r="T36" s="1573" t="s">
        <v>8</v>
      </c>
      <c r="U36" s="1574" t="e">
        <f t="shared" si="11"/>
        <v>#N/A</v>
      </c>
      <c r="V36" s="1573" t="s">
        <v>8</v>
      </c>
      <c r="W36" s="1574" t="e">
        <f t="shared" si="12"/>
        <v>#N/A</v>
      </c>
      <c r="X36" s="1567"/>
      <c r="Y36" s="3428"/>
      <c r="Z36" s="1575" t="str">
        <f t="shared" si="13"/>
        <v>宗地面积</v>
      </c>
      <c r="AA36" s="1576" t="e">
        <f t="shared" si="3"/>
        <v>#N/A</v>
      </c>
      <c r="AB36" s="1576" t="e">
        <f t="shared" si="4"/>
        <v>#N/A</v>
      </c>
      <c r="AC36" s="1576"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8"/>
      <c r="Q37" s="1572" t="str">
        <f t="shared" ref="Q37:Q42" si="14">B37</f>
        <v>宗地形状</v>
      </c>
      <c r="R37" s="1573" t="s">
        <v>8</v>
      </c>
      <c r="S37" s="1574">
        <f t="shared" si="10"/>
        <v>100</v>
      </c>
      <c r="T37" s="1573" t="s">
        <v>8</v>
      </c>
      <c r="U37" s="1574">
        <f t="shared" si="11"/>
        <v>100</v>
      </c>
      <c r="V37" s="1573" t="s">
        <v>8</v>
      </c>
      <c r="W37" s="1574">
        <f t="shared" si="12"/>
        <v>100</v>
      </c>
      <c r="X37" s="1567"/>
      <c r="Y37" s="3428"/>
      <c r="Z37" s="1575" t="str">
        <f t="shared" si="13"/>
        <v>宗地形状</v>
      </c>
      <c r="AA37" s="1576">
        <f t="shared" si="3"/>
        <v>1</v>
      </c>
      <c r="AB37" s="1576">
        <f t="shared" si="4"/>
        <v>1</v>
      </c>
      <c r="AC37" s="1576">
        <f t="shared" si="5"/>
        <v>1</v>
      </c>
    </row>
    <row r="38" spans="1:29" s="1220" customFormat="1" ht="15">
      <c r="A38" s="600"/>
      <c r="B38" s="1895"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8"/>
      <c r="Q38" s="1572" t="str">
        <f t="shared" si="14"/>
        <v>宗地开发程度</v>
      </c>
      <c r="R38" s="1568" t="s">
        <v>8</v>
      </c>
      <c r="S38" s="1569">
        <f t="shared" si="10"/>
        <v>100</v>
      </c>
      <c r="T38" s="1568" t="s">
        <v>8</v>
      </c>
      <c r="U38" s="1569">
        <f t="shared" si="11"/>
        <v>100</v>
      </c>
      <c r="V38" s="1568" t="s">
        <v>8</v>
      </c>
      <c r="W38" s="1569">
        <f t="shared" si="12"/>
        <v>100</v>
      </c>
      <c r="X38" s="1570"/>
      <c r="Y38" s="3428"/>
      <c r="Z38" s="1150" t="str">
        <f t="shared" si="13"/>
        <v>宗地开发程度</v>
      </c>
      <c r="AA38" s="1571">
        <f t="shared" si="3"/>
        <v>1</v>
      </c>
      <c r="AB38" s="1571">
        <f t="shared" si="4"/>
        <v>1</v>
      </c>
      <c r="AC38" s="1571">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8" t="s">
        <v>599</v>
      </c>
      <c r="Q39" s="1572" t="str">
        <f t="shared" si="14"/>
        <v>工程地质条件</v>
      </c>
      <c r="R39" s="1573" t="s">
        <v>8</v>
      </c>
      <c r="S39" s="1574">
        <f t="shared" si="10"/>
        <v>100</v>
      </c>
      <c r="T39" s="1573" t="s">
        <v>8</v>
      </c>
      <c r="U39" s="1574">
        <f t="shared" si="11"/>
        <v>100</v>
      </c>
      <c r="V39" s="1573" t="s">
        <v>8</v>
      </c>
      <c r="W39" s="1574">
        <f t="shared" si="12"/>
        <v>100</v>
      </c>
      <c r="X39" s="1567"/>
      <c r="Y39" s="3428" t="s">
        <v>599</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8"/>
      <c r="Q40" s="1572">
        <f t="shared" si="14"/>
        <v>111</v>
      </c>
      <c r="R40" s="1573" t="s">
        <v>8</v>
      </c>
      <c r="S40" s="1574">
        <f t="shared" si="10"/>
        <v>100</v>
      </c>
      <c r="T40" s="1573" t="s">
        <v>8</v>
      </c>
      <c r="U40" s="1574">
        <f t="shared" si="11"/>
        <v>100</v>
      </c>
      <c r="V40" s="1573" t="s">
        <v>8</v>
      </c>
      <c r="W40" s="1574">
        <f t="shared" si="12"/>
        <v>100</v>
      </c>
      <c r="X40" s="1567"/>
      <c r="Y40" s="342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8"/>
      <c r="Q41" s="1572">
        <f t="shared" si="14"/>
        <v>111</v>
      </c>
      <c r="R41" s="1573" t="s">
        <v>8</v>
      </c>
      <c r="S41" s="1574">
        <f t="shared" si="10"/>
        <v>100</v>
      </c>
      <c r="T41" s="1573" t="s">
        <v>8</v>
      </c>
      <c r="U41" s="1574">
        <f t="shared" si="11"/>
        <v>100</v>
      </c>
      <c r="V41" s="1573" t="s">
        <v>8</v>
      </c>
      <c r="W41" s="1574">
        <f t="shared" si="12"/>
        <v>100</v>
      </c>
      <c r="X41" s="1567"/>
      <c r="Y41" s="342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8"/>
      <c r="Q42" s="1572">
        <f t="shared" si="14"/>
        <v>111</v>
      </c>
      <c r="R42" s="1577" t="s">
        <v>8</v>
      </c>
      <c r="S42" s="1578">
        <f t="shared" si="10"/>
        <v>100</v>
      </c>
      <c r="T42" s="1577" t="s">
        <v>8</v>
      </c>
      <c r="U42" s="1578">
        <f t="shared" si="11"/>
        <v>100</v>
      </c>
      <c r="V42" s="1577" t="s">
        <v>8</v>
      </c>
      <c r="W42" s="1578">
        <f t="shared" si="12"/>
        <v>100</v>
      </c>
      <c r="X42" s="1579"/>
      <c r="Y42" s="3428"/>
      <c r="Z42" s="1580">
        <f t="shared" si="13"/>
        <v>111</v>
      </c>
      <c r="AA42" s="1576">
        <f t="shared" si="3"/>
        <v>1</v>
      </c>
      <c r="AB42" s="1576">
        <f t="shared" si="4"/>
        <v>1</v>
      </c>
      <c r="AC42" s="1576">
        <f t="shared" si="5"/>
        <v>1</v>
      </c>
    </row>
    <row r="43" spans="1:29" ht="15">
      <c r="A43" s="607" t="s">
        <v>554</v>
      </c>
      <c r="B43" s="608" t="s">
        <v>2921</v>
      </c>
      <c r="C43" s="609" t="s">
        <v>1</v>
      </c>
      <c r="D43" s="610"/>
      <c r="E43" s="611"/>
      <c r="F43" s="612"/>
      <c r="G43" s="613"/>
      <c r="H43" s="614"/>
      <c r="I43" s="611"/>
      <c r="J43" s="614"/>
      <c r="K43" s="1340"/>
      <c r="L43" s="2144"/>
      <c r="M43" s="2134"/>
      <c r="N43" s="2134"/>
      <c r="O43" s="2145"/>
      <c r="P43" s="3390" t="str">
        <f>A43</f>
        <v>成交单价</v>
      </c>
      <c r="Q43" s="3390"/>
      <c r="R43" s="3391">
        <f>E43</f>
        <v>0</v>
      </c>
      <c r="S43" s="3391"/>
      <c r="T43" s="3391">
        <f>G43</f>
        <v>0</v>
      </c>
      <c r="U43" s="3391"/>
      <c r="V43" s="3391">
        <f>I43</f>
        <v>0</v>
      </c>
      <c r="W43" s="3391"/>
      <c r="X43" s="1559"/>
      <c r="Y43" s="1581"/>
      <c r="Z43" s="1559"/>
      <c r="AA43" s="1559"/>
      <c r="AB43" s="1559"/>
      <c r="AC43" s="1559"/>
    </row>
    <row r="44" spans="1:29" ht="15.75" thickBot="1">
      <c r="A44" s="615" t="s">
        <v>2687</v>
      </c>
      <c r="B44" s="616"/>
      <c r="C44" s="617" t="e">
        <f>R45</f>
        <v>#DIV/0!</v>
      </c>
      <c r="D44" s="618"/>
      <c r="E44" s="617" t="e">
        <f>R44</f>
        <v>#DIV/0!</v>
      </c>
      <c r="F44" s="619"/>
      <c r="G44" s="620" t="e">
        <f>T44</f>
        <v>#DIV/0!</v>
      </c>
      <c r="H44" s="618"/>
      <c r="I44" s="617" t="e">
        <f>V44</f>
        <v>#DIV/0!</v>
      </c>
      <c r="J44" s="618"/>
      <c r="K44" s="1341"/>
      <c r="L44" s="2144"/>
      <c r="M44" s="2134"/>
      <c r="N44" s="2134"/>
      <c r="O44" s="2145"/>
      <c r="P44" s="3390" t="str">
        <f>A44</f>
        <v>比较价格（元/平方米）</v>
      </c>
      <c r="Q44" s="3390"/>
      <c r="R44" s="3392" t="e">
        <f>ROUND(PRODUCT(R43,AA9:AA42),0)</f>
        <v>#DIV/0!</v>
      </c>
      <c r="S44" s="3392"/>
      <c r="T44" s="3392" t="e">
        <f>ROUND(PRODUCT(T43,AB9:AB42),0)</f>
        <v>#DIV/0!</v>
      </c>
      <c r="U44" s="3392"/>
      <c r="V44" s="3392" t="e">
        <f>ROUND(PRODUCT(V43,AC9:AC42),0)</f>
        <v>#DIV/0!</v>
      </c>
      <c r="W44" s="3392"/>
      <c r="X44" s="1559"/>
      <c r="Y44" s="1559"/>
      <c r="Z44" s="1559"/>
      <c r="AA44" s="1559"/>
      <c r="AB44" s="1559"/>
      <c r="AC44" s="1559"/>
    </row>
    <row r="45" spans="1:29" ht="15.75" thickBot="1">
      <c r="A45" s="621" t="s">
        <v>2922</v>
      </c>
      <c r="B45" s="622"/>
      <c r="C45" s="623" t="e">
        <f>R45</f>
        <v>#DIV/0!</v>
      </c>
      <c r="D45" s="623"/>
      <c r="E45" s="623"/>
      <c r="F45" s="623"/>
      <c r="G45" s="623"/>
      <c r="H45" s="623"/>
      <c r="I45" s="623"/>
      <c r="J45" s="623"/>
      <c r="K45" s="1342"/>
      <c r="L45" s="2144"/>
      <c r="M45" s="2134"/>
      <c r="N45" s="2134"/>
      <c r="O45" s="2145"/>
      <c r="P45" s="3387" t="str">
        <f>A45</f>
        <v>估价对象XX用房的比较价格（楼面单价，元/平方米）</v>
      </c>
      <c r="Q45" s="3388"/>
      <c r="R45" s="3389" t="e">
        <f>ROUND(AVERAGE(R44:V44),0)</f>
        <v>#DIV/0!</v>
      </c>
      <c r="S45" s="3389"/>
      <c r="T45" s="3389"/>
      <c r="U45" s="3389"/>
      <c r="V45" s="3389"/>
      <c r="W45" s="338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558</v>
      </c>
      <c r="B52" s="630" t="s">
        <v>559</v>
      </c>
      <c r="C52" s="1560" t="s">
        <v>1723</v>
      </c>
      <c r="D52" s="2227" t="s">
        <v>2291</v>
      </c>
      <c r="E52" s="631" t="s">
        <v>560</v>
      </c>
      <c r="F52" s="1951" t="s">
        <v>561</v>
      </c>
      <c r="G52" s="3435" t="s">
        <v>2282</v>
      </c>
      <c r="H52" s="3436"/>
      <c r="I52" s="1952" t="s">
        <v>1946</v>
      </c>
      <c r="J52" s="1555" t="str">
        <f>项目基本情况!F41</f>
        <v>天津市</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562</v>
      </c>
      <c r="B53" s="634" t="e">
        <f>C45</f>
        <v>#DIV/0!</v>
      </c>
      <c r="C53" s="635">
        <v>1</v>
      </c>
      <c r="D53" s="2228">
        <v>1</v>
      </c>
      <c r="E53" s="635">
        <f>'数据-汇总表'!E8+'数据-汇总表'!E9</f>
        <v>113163.68</v>
      </c>
      <c r="F53" s="1950" t="e">
        <f t="shared" ref="F53:F62" si="15">ROUND(B53*E53/10000,0)</f>
        <v>#DIV/0!</v>
      </c>
      <c r="G53" s="3437"/>
      <c r="H53" s="343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563</v>
      </c>
      <c r="B54" s="638" t="e">
        <f>ROUND($C$45*C54*D54,0)</f>
        <v>#DIV/0!</v>
      </c>
      <c r="C54" s="378">
        <f t="shared" ref="C54:C62" si="16">IF($C$52="北京市系数",I54,J54)</f>
        <v>0</v>
      </c>
      <c r="D54" s="2229">
        <v>0.25</v>
      </c>
      <c r="E54" s="639"/>
      <c r="F54" s="1950" t="e">
        <f t="shared" si="15"/>
        <v>#DIV/0!</v>
      </c>
      <c r="G54" s="3439" t="s">
        <v>2283</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564</v>
      </c>
      <c r="B55" s="638" t="e">
        <f t="shared" ref="B55:B62" si="17">ROUND($C$45*C55*D55,0)</f>
        <v>#DIV/0!</v>
      </c>
      <c r="C55" s="378">
        <f t="shared" si="16"/>
        <v>0</v>
      </c>
      <c r="D55" s="2229">
        <v>0.25</v>
      </c>
      <c r="E55" s="639"/>
      <c r="F55" s="1950" t="e">
        <f t="shared" si="15"/>
        <v>#DIV/0!</v>
      </c>
      <c r="G55" s="343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565</v>
      </c>
      <c r="B56" s="638" t="e">
        <f t="shared" si="17"/>
        <v>#DIV/0!</v>
      </c>
      <c r="C56" s="378">
        <f t="shared" si="16"/>
        <v>0</v>
      </c>
      <c r="D56" s="2229">
        <v>0.25</v>
      </c>
      <c r="E56" s="639"/>
      <c r="F56" s="1950" t="e">
        <f t="shared" si="15"/>
        <v>#DIV/0!</v>
      </c>
      <c r="G56" s="343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566</v>
      </c>
      <c r="B57" s="638" t="e">
        <f t="shared" si="17"/>
        <v>#DIV/0!</v>
      </c>
      <c r="C57" s="378">
        <f t="shared" si="16"/>
        <v>0</v>
      </c>
      <c r="D57" s="2229">
        <v>0.25</v>
      </c>
      <c r="E57" s="639"/>
      <c r="F57" s="1950" t="e">
        <f t="shared" si="15"/>
        <v>#DIV/0!</v>
      </c>
      <c r="G57" s="343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2324</v>
      </c>
      <c r="B58" s="638" t="e">
        <f t="shared" si="17"/>
        <v>#DIV/0!</v>
      </c>
      <c r="C58" s="378">
        <f t="shared" si="16"/>
        <v>0</v>
      </c>
      <c r="D58" s="2229">
        <v>0.25</v>
      </c>
      <c r="E58" s="641">
        <f>'数据-汇总表'!E11</f>
        <v>0</v>
      </c>
      <c r="F58" s="1950" t="e">
        <f t="shared" si="15"/>
        <v>#DIV/0!</v>
      </c>
      <c r="G58" s="1956" t="s">
        <v>2284</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567</v>
      </c>
      <c r="B59" s="638" t="e">
        <f t="shared" si="17"/>
        <v>#DIV/0!</v>
      </c>
      <c r="C59" s="378">
        <f t="shared" si="16"/>
        <v>0</v>
      </c>
      <c r="D59" s="2229">
        <v>0.25</v>
      </c>
      <c r="E59" s="641">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568</v>
      </c>
      <c r="B60" s="638" t="e">
        <f t="shared" si="17"/>
        <v>#DIV/0!</v>
      </c>
      <c r="C60" s="378">
        <f t="shared" si="16"/>
        <v>0</v>
      </c>
      <c r="D60" s="2229">
        <v>0.25</v>
      </c>
      <c r="E60" s="641">
        <f>'数据-汇总表'!E13</f>
        <v>0</v>
      </c>
      <c r="F60" s="1950" t="e">
        <f t="shared" si="15"/>
        <v>#DIV/0!</v>
      </c>
      <c r="G60" s="1946" t="s">
        <v>921</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569</v>
      </c>
      <c r="B61" s="638" t="e">
        <f t="shared" si="17"/>
        <v>#DIV/0!</v>
      </c>
      <c r="C61" s="378">
        <f t="shared" si="16"/>
        <v>0</v>
      </c>
      <c r="D61" s="2229">
        <v>0.25</v>
      </c>
      <c r="E61" s="641">
        <f>'数据-汇总表'!E14</f>
        <v>0</v>
      </c>
      <c r="F61" s="1950" t="e">
        <f t="shared" si="15"/>
        <v>#DIV/0!</v>
      </c>
      <c r="G61" s="1956" t="s">
        <v>2283</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570</v>
      </c>
      <c r="B62" s="638" t="e">
        <f t="shared" si="17"/>
        <v>#DIV/0!</v>
      </c>
      <c r="C62" s="378">
        <f t="shared" si="16"/>
        <v>0</v>
      </c>
      <c r="D62" s="2229">
        <v>0.25</v>
      </c>
      <c r="E62" s="641">
        <f>'数据-汇总表'!E15</f>
        <v>0</v>
      </c>
      <c r="F62" s="1950" t="e">
        <f t="shared" si="15"/>
        <v>#DIV/0!</v>
      </c>
      <c r="G62" s="1957" t="s">
        <v>2284</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571</v>
      </c>
      <c r="B63" s="643" t="s">
        <v>17</v>
      </c>
      <c r="C63" s="643" t="s">
        <v>18</v>
      </c>
      <c r="D63" s="643" t="s">
        <v>2292</v>
      </c>
      <c r="E63" s="643">
        <f>IF(B43="楼面地价",SUM(E53:E62),'数据-汇总表'!D3)</f>
        <v>51383.96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4" t="s">
        <v>572</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2527</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2643</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573</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529</v>
      </c>
      <c r="B70" s="648"/>
      <c r="C70" s="660" t="s">
        <v>574</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575</v>
      </c>
      <c r="B72" s="665" t="s">
        <v>532</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535</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537</v>
      </c>
      <c r="B85" s="665" t="s">
        <v>600</v>
      </c>
      <c r="C85" s="703" t="s">
        <v>577</v>
      </c>
      <c r="D85" s="703" t="s">
        <v>578</v>
      </c>
      <c r="E85" s="703" t="s">
        <v>579</v>
      </c>
      <c r="F85" s="703" t="s">
        <v>580</v>
      </c>
      <c r="G85" s="703" t="s">
        <v>581</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584</v>
      </c>
      <c r="C87" s="708" t="s">
        <v>577</v>
      </c>
      <c r="D87" s="708" t="s">
        <v>578</v>
      </c>
      <c r="E87" s="708" t="s">
        <v>579</v>
      </c>
      <c r="F87" s="708" t="s">
        <v>580</v>
      </c>
      <c r="G87" s="708" t="s">
        <v>581</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2542</v>
      </c>
      <c r="C93" s="703" t="s">
        <v>577</v>
      </c>
      <c r="D93" s="703" t="s">
        <v>578</v>
      </c>
      <c r="E93" s="703" t="s">
        <v>579</v>
      </c>
      <c r="F93" s="703" t="s">
        <v>580</v>
      </c>
      <c r="G93" s="703" t="s">
        <v>581</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2544</v>
      </c>
      <c r="C95" s="2598" t="s">
        <v>2545</v>
      </c>
      <c r="D95" s="2598" t="s">
        <v>2546</v>
      </c>
      <c r="E95" s="2598" t="s">
        <v>2547</v>
      </c>
      <c r="F95" s="2598" t="s">
        <v>2548</v>
      </c>
      <c r="G95" s="2598" t="s">
        <v>2549</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587</v>
      </c>
      <c r="D97" s="674" t="s">
        <v>588</v>
      </c>
      <c r="E97" s="674" t="s">
        <v>589</v>
      </c>
      <c r="F97" s="674" t="s">
        <v>590</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546</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547</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592</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2421</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594</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2422</v>
      </c>
      <c r="D1" s="1521">
        <f>SUM(D29:D30,D33:D39)</f>
        <v>0</v>
      </c>
      <c r="E1" s="1406" t="s">
        <v>2423</v>
      </c>
      <c r="F1" s="2452"/>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35" t="s">
        <v>2756</v>
      </c>
      <c r="S1" s="2935" t="s">
        <v>2757</v>
      </c>
      <c r="T1" s="2935" t="s">
        <v>2778</v>
      </c>
      <c r="U1" s="2935" t="s">
        <v>2779</v>
      </c>
      <c r="V1" s="2935" t="s">
        <v>2780</v>
      </c>
      <c r="W1" s="2189"/>
      <c r="X1" s="2189"/>
      <c r="Y1" s="2189"/>
      <c r="Z1" s="2189"/>
      <c r="AA1" s="2189"/>
      <c r="AB1" s="2189"/>
      <c r="AC1" s="2190"/>
    </row>
    <row r="2" spans="1:39" ht="15.75">
      <c r="A2" s="1406" t="s">
        <v>918</v>
      </c>
      <c r="B2" s="1038" t="e">
        <f>C26</f>
        <v>#DIV/0!</v>
      </c>
      <c r="C2" s="1407" t="s">
        <v>919</v>
      </c>
      <c r="D2" s="1408" t="s">
        <v>920</v>
      </c>
      <c r="E2" s="1409"/>
      <c r="F2" s="1408" t="s">
        <v>922</v>
      </c>
      <c r="G2" s="1652">
        <f>IF(E2="商业",项目基本情况!B43,IF(E2="办公",项目基本情况!C43,IF(E2="住宅",项目基本情况!D43,项目基本情况!E43)))</f>
        <v>0</v>
      </c>
      <c r="H2" s="1408" t="s">
        <v>924</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1" t="s">
        <v>1686</v>
      </c>
      <c r="B3" s="1038" t="e">
        <f>ROUND(B2*10000/D1,0)</f>
        <v>#DIV/0!</v>
      </c>
      <c r="C3" s="1407" t="s">
        <v>925</v>
      </c>
      <c r="D3" s="1408" t="s">
        <v>926</v>
      </c>
      <c r="E3" s="1412"/>
      <c r="F3" s="1413" t="s">
        <v>2923</v>
      </c>
      <c r="G3" s="1039">
        <f>IF(F3="宗地容积率",'数据-汇总表'!I4,IF(F3="估价对象容积率",'数据-汇总表'!I6,'数据-汇总表'!I7))</f>
        <v>2.2999999999999998</v>
      </c>
      <c r="H3" s="1414" t="s">
        <v>927</v>
      </c>
      <c r="I3" s="1040">
        <v>8</v>
      </c>
      <c r="J3" s="1410" t="s">
        <v>928</v>
      </c>
      <c r="K3" s="1401"/>
      <c r="L3" s="1885" t="s">
        <v>2239</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2278</v>
      </c>
      <c r="B4" s="2453"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1" customFormat="1" ht="15.75" thickBot="1">
      <c r="A5" s="1638" t="s">
        <v>1822</v>
      </c>
      <c r="B5" s="1415" t="s">
        <v>929</v>
      </c>
      <c r="C5" s="1041" t="e">
        <f>ROUND(IF(E2="商业",IF(F16="增加",C6*C7+C16,C6*C7-C16),IF(E2="住宅",IF(F16="增加",C6*C12+C16,C6*C12-C16),IF(F16="增加",C6+C16,C6-C16))),0)</f>
        <v>#DIV/0!</v>
      </c>
      <c r="D5" s="3117">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1869</v>
      </c>
      <c r="B6" s="1422" t="s">
        <v>929</v>
      </c>
      <c r="C6" s="1042">
        <f>SUMIF(L1:L12,基准地价!G2,M1:M12)</f>
        <v>0</v>
      </c>
      <c r="D6" s="1423" t="s">
        <v>1694</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9"/>
      <c r="AE6" s="1419"/>
      <c r="AF6" s="1419"/>
      <c r="AG6" s="1419"/>
      <c r="AH6" s="1419"/>
      <c r="AI6" s="1419"/>
      <c r="AJ6" s="1420"/>
    </row>
    <row r="7" spans="1:39" ht="24">
      <c r="A7" s="3449" t="str">
        <f>IF(E2="商业",IF(C8="不临58条商业街","",2),"")</f>
        <v/>
      </c>
      <c r="B7" s="1427" t="s">
        <v>930</v>
      </c>
      <c r="C7" s="1043" t="e">
        <f>IF(C8="不临58条商业街",1,ROUND(1+(1.6*E8+1.2*E9+0.8*E10+0.4*E11)*C9,4))</f>
        <v>#DIV/0!</v>
      </c>
      <c r="D7" s="1428" t="s">
        <v>931</v>
      </c>
      <c r="E7" s="1044"/>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2759</v>
      </c>
      <c r="X7" s="2926">
        <f>G2</f>
        <v>0</v>
      </c>
      <c r="Y7" s="2926" t="s">
        <v>2760</v>
      </c>
      <c r="Z7" s="2927">
        <f>G3</f>
        <v>2.2999999999999998</v>
      </c>
      <c r="AA7" s="2192"/>
      <c r="AB7" s="2192"/>
      <c r="AC7" s="2193"/>
      <c r="AD7" s="2928"/>
      <c r="AE7" s="2928"/>
      <c r="AF7" s="2928"/>
      <c r="AG7" s="2928"/>
      <c r="AH7" s="2928"/>
      <c r="AI7" s="2928"/>
      <c r="AJ7" s="2929"/>
    </row>
    <row r="8" spans="1:39" ht="15">
      <c r="A8" s="3450"/>
      <c r="B8" s="1414" t="s">
        <v>932</v>
      </c>
      <c r="C8" s="1529"/>
      <c r="D8" s="1045" t="s">
        <v>933</v>
      </c>
      <c r="E8" s="1046" t="e">
        <f>ROUND(C11/E7,4)</f>
        <v>#DIV/0!</v>
      </c>
      <c r="F8" s="1432" t="s">
        <v>934</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41" t="s">
        <v>2777</v>
      </c>
      <c r="X8" s="3442"/>
      <c r="Y8" s="1849" t="s">
        <v>2761</v>
      </c>
      <c r="Z8" s="1849" t="s">
        <v>2762</v>
      </c>
      <c r="AA8" s="1849" t="s">
        <v>2763</v>
      </c>
      <c r="AB8" s="1849" t="s">
        <v>2764</v>
      </c>
      <c r="AC8" s="1849" t="s">
        <v>2765</v>
      </c>
      <c r="AD8" s="1849" t="s">
        <v>2766</v>
      </c>
      <c r="AE8" s="1849" t="s">
        <v>2767</v>
      </c>
      <c r="AF8" s="1849" t="s">
        <v>2768</v>
      </c>
      <c r="AG8" s="1849" t="s">
        <v>2769</v>
      </c>
      <c r="AH8" s="1849" t="s">
        <v>2770</v>
      </c>
      <c r="AI8" s="1849" t="s">
        <v>2771</v>
      </c>
      <c r="AJ8" s="1849" t="s">
        <v>2772</v>
      </c>
    </row>
    <row r="9" spans="1:39" ht="15">
      <c r="A9" s="3450"/>
      <c r="B9" s="1414" t="s">
        <v>935</v>
      </c>
      <c r="C9" s="1047">
        <f>SUMIF(修正!C59:C119,C8,修正!E59:E119)</f>
        <v>0</v>
      </c>
      <c r="D9" s="1048" t="s">
        <v>936</v>
      </c>
      <c r="E9" s="1048" t="e">
        <f>ROUND(C11/E7,4)</f>
        <v>#DIV/0!</v>
      </c>
      <c r="F9" s="1432" t="s">
        <v>937</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40" t="s">
        <v>2773</v>
      </c>
      <c r="X9" s="2930" t="s">
        <v>2774</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4" t="s">
        <v>938</v>
      </c>
      <c r="C10" s="1048">
        <f>SUMIF(修正!C59:C119,C8,修正!F59:F119)</f>
        <v>0</v>
      </c>
      <c r="D10" s="1048" t="s">
        <v>939</v>
      </c>
      <c r="E10" s="1048" t="e">
        <f>ROUND(C11/E7,4)</f>
        <v>#DIV/0!</v>
      </c>
      <c r="F10" s="1432" t="s">
        <v>940</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5" t="s">
        <v>941</v>
      </c>
      <c r="C11" s="1049">
        <f>C10/4</f>
        <v>0</v>
      </c>
      <c r="D11" s="1049" t="s">
        <v>942</v>
      </c>
      <c r="E11" s="1049" t="e">
        <f>ROUND(C11/E7,4)</f>
        <v>#DIV/0!</v>
      </c>
      <c r="F11" s="1436" t="s">
        <v>943</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40" t="s">
        <v>2775</v>
      </c>
      <c r="X11" s="1048" t="s">
        <v>2760</v>
      </c>
      <c r="Y11" s="1653">
        <f>$G$3</f>
        <v>2.2999999999999998</v>
      </c>
      <c r="Z11" s="1653">
        <f t="shared" ref="Z11:AJ11" si="3">$G$3</f>
        <v>2.2999999999999998</v>
      </c>
      <c r="AA11" s="1653">
        <f t="shared" si="3"/>
        <v>2.2999999999999998</v>
      </c>
      <c r="AB11" s="1653">
        <f t="shared" si="3"/>
        <v>2.2999999999999998</v>
      </c>
      <c r="AC11" s="1653">
        <f t="shared" si="3"/>
        <v>2.2999999999999998</v>
      </c>
      <c r="AD11" s="1653">
        <f t="shared" si="3"/>
        <v>2.2999999999999998</v>
      </c>
      <c r="AE11" s="1653">
        <f t="shared" si="3"/>
        <v>2.2999999999999998</v>
      </c>
      <c r="AF11" s="1653">
        <f t="shared" si="3"/>
        <v>2.2999999999999998</v>
      </c>
      <c r="AG11" s="1653">
        <f t="shared" si="3"/>
        <v>2.2999999999999998</v>
      </c>
      <c r="AH11" s="1653">
        <f t="shared" si="3"/>
        <v>2.2999999999999998</v>
      </c>
      <c r="AI11" s="1653">
        <f t="shared" si="3"/>
        <v>2.2999999999999998</v>
      </c>
      <c r="AJ11" s="1653">
        <f t="shared" si="3"/>
        <v>2.2999999999999998</v>
      </c>
    </row>
    <row r="12" spans="1:39" ht="25.5" thickBot="1">
      <c r="A12" s="3449" t="s">
        <v>1870</v>
      </c>
      <c r="B12" s="1439" t="s">
        <v>944</v>
      </c>
      <c r="C12" s="1043">
        <f>ROUND(C15*D15*E15*F15*G15*H15*I15*J15,4)</f>
        <v>1</v>
      </c>
      <c r="D12" s="1440" t="s">
        <v>945</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40"/>
      <c r="X12" s="2933" t="s">
        <v>2776</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4" t="s">
        <v>1695</v>
      </c>
      <c r="C13" s="1445" t="s">
        <v>1696</v>
      </c>
      <c r="D13" s="1089" t="s">
        <v>1697</v>
      </c>
      <c r="E13" s="1089" t="s">
        <v>1698</v>
      </c>
      <c r="F13" s="1446" t="s">
        <v>946</v>
      </c>
      <c r="G13" s="1447" t="s">
        <v>1641</v>
      </c>
      <c r="H13" s="1448" t="s">
        <v>1641</v>
      </c>
      <c r="I13" s="1449" t="s">
        <v>1641</v>
      </c>
      <c r="J13" s="1450" t="s">
        <v>1641</v>
      </c>
      <c r="K13" s="1401"/>
      <c r="L13" s="2189"/>
      <c r="M13" s="2189"/>
      <c r="N13" s="2189"/>
      <c r="O13" s="2189"/>
      <c r="P13" s="2189"/>
      <c r="Q13" s="2189"/>
      <c r="R13" s="2936">
        <v>12</v>
      </c>
      <c r="S13" s="2925"/>
      <c r="T13" s="2936" t="e">
        <f t="shared" si="0"/>
        <v>#DIV/0!</v>
      </c>
      <c r="U13" s="2925"/>
      <c r="V13" s="2936" t="e">
        <f t="shared" si="1"/>
        <v>#DIV/0!</v>
      </c>
      <c r="W13" s="3440"/>
      <c r="X13" s="2933"/>
      <c r="Y13" s="2932">
        <f>(-0.163*(Y12^2)-0.59*Y12+7617)*(10^(-4))/Y11</f>
        <v>0.33117391304347832</v>
      </c>
      <c r="Z13" s="2932">
        <f t="shared" ref="Z13:AJ13" si="5">(-0.163*(Z12^2)-0.59*Z12+7617)*(10^(-4))/Z11</f>
        <v>0.33117391304347832</v>
      </c>
      <c r="AA13" s="2932">
        <f t="shared" si="5"/>
        <v>0.33117391304347832</v>
      </c>
      <c r="AB13" s="2932">
        <f t="shared" si="5"/>
        <v>0.33117391304347832</v>
      </c>
      <c r="AC13" s="2932">
        <f t="shared" si="5"/>
        <v>0.33117391304347832</v>
      </c>
      <c r="AD13" s="2932">
        <f t="shared" si="5"/>
        <v>0.33117391304347832</v>
      </c>
      <c r="AE13" s="2932">
        <f t="shared" si="5"/>
        <v>0.33117391304347832</v>
      </c>
      <c r="AF13" s="2932">
        <f t="shared" si="5"/>
        <v>0.33117391304347832</v>
      </c>
      <c r="AG13" s="2932">
        <f t="shared" si="5"/>
        <v>0.33117391304347832</v>
      </c>
      <c r="AH13" s="2932">
        <f t="shared" si="5"/>
        <v>0.33117391304347832</v>
      </c>
      <c r="AI13" s="2932">
        <f t="shared" si="5"/>
        <v>0.33117391304347832</v>
      </c>
      <c r="AJ13" s="2932">
        <f t="shared" si="5"/>
        <v>0.33117391304347832</v>
      </c>
    </row>
    <row r="14" spans="1:39" ht="12.75" customHeight="1" thickBot="1">
      <c r="A14" s="3451"/>
      <c r="B14" s="1451"/>
      <c r="C14" s="1452"/>
      <c r="D14" s="1453"/>
      <c r="E14" s="1453"/>
      <c r="F14" s="1454"/>
      <c r="G14" s="1455" t="s">
        <v>947</v>
      </c>
      <c r="H14" s="1456"/>
      <c r="I14" s="1457"/>
      <c r="J14" s="1458"/>
      <c r="K14" s="1401"/>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52"/>
      <c r="B15" s="1459" t="s">
        <v>1699</v>
      </c>
      <c r="C15" s="1051">
        <f>IF(C14="有",1.1,1)</f>
        <v>1</v>
      </c>
      <c r="D15" s="1051">
        <f>IF(D14="有",1.1,1)</f>
        <v>1</v>
      </c>
      <c r="E15" s="1051">
        <f>IF(E14="有",1.1,1)</f>
        <v>1</v>
      </c>
      <c r="F15" s="1051">
        <f>IF(F14="500米范围内",1.2,IF(F14="500-1000米",1.1,1))</f>
        <v>1</v>
      </c>
      <c r="G15" s="1052">
        <v>1</v>
      </c>
      <c r="H15" s="1052">
        <v>1</v>
      </c>
      <c r="I15" s="1052">
        <v>1</v>
      </c>
      <c r="J15" s="1053">
        <v>1</v>
      </c>
      <c r="K15" s="1401"/>
      <c r="L15" s="1598" t="s">
        <v>896</v>
      </c>
      <c r="M15" s="1428" t="s">
        <v>982</v>
      </c>
      <c r="N15" s="1428" t="s">
        <v>983</v>
      </c>
      <c r="O15" s="1428" t="s">
        <v>900</v>
      </c>
      <c r="P15" s="1476" t="s">
        <v>984</v>
      </c>
      <c r="Q15" s="2189"/>
      <c r="R15" s="2936">
        <v>14</v>
      </c>
      <c r="S15" s="2925"/>
      <c r="T15" s="2936" t="e">
        <f t="shared" si="0"/>
        <v>#DIV/0!</v>
      </c>
      <c r="U15" s="2925"/>
      <c r="V15" s="2936" t="e">
        <f t="shared" si="1"/>
        <v>#DIV/0!</v>
      </c>
      <c r="W15" s="2189"/>
      <c r="X15" s="2189"/>
      <c r="Y15" s="2189"/>
      <c r="Z15" s="2189"/>
      <c r="AA15" s="2189"/>
      <c r="AB15" s="2189"/>
      <c r="AC15" s="2190"/>
    </row>
    <row r="16" spans="1:39" ht="24">
      <c r="A16" s="3449" t="s">
        <v>1837</v>
      </c>
      <c r="B16" s="1427" t="s">
        <v>948</v>
      </c>
      <c r="C16" s="1054" t="e">
        <f>ROUND(SUM(G17:J17)/C17,0)</f>
        <v>#DIV/0!</v>
      </c>
      <c r="D16" s="1460" t="s">
        <v>949</v>
      </c>
      <c r="E16" s="1461"/>
      <c r="F16" s="1462"/>
      <c r="G16" s="1463"/>
      <c r="H16" s="1463"/>
      <c r="I16" s="1463"/>
      <c r="J16" s="1463"/>
      <c r="K16" s="1401"/>
      <c r="L16" s="1464" t="s">
        <v>986</v>
      </c>
      <c r="M16" s="1047">
        <v>0.25</v>
      </c>
      <c r="N16" s="1047">
        <v>0.2</v>
      </c>
      <c r="O16" s="1047">
        <v>0.15</v>
      </c>
      <c r="P16" s="1539">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50"/>
      <c r="B17" s="1465" t="s">
        <v>951</v>
      </c>
      <c r="C17" s="1055">
        <f>SUMPRODUCT((修正!A2:A5=E2)*(修正!B1:M1=G2)*(修正!B2:M5))</f>
        <v>0</v>
      </c>
      <c r="D17" s="1467" t="s">
        <v>952</v>
      </c>
      <c r="E17" s="1468" t="str">
        <f>IF(OR(G2="八级",G2="九级",G2="十级",G2="十一级",G2="十二级"),"五通一平","七通一平")</f>
        <v>七通一平</v>
      </c>
      <c r="F17" s="1466"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972</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1828</v>
      </c>
      <c r="B18" s="2772" t="s">
        <v>954</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1834</v>
      </c>
      <c r="B19" s="1470" t="s">
        <v>955</v>
      </c>
      <c r="C19" s="1057" t="e">
        <f>ROUND(IF(H19="按公示增长率计算",SUMPRODUCT((地价!A3:A23=YEAR(G19)&amp;"-"&amp;ROUNDUP(MONTH(G19)/3,0))*(地价!X2:AB2=E2)*(地价!X3:AB23)),IF(H19="地价指数",M20/M19,(1+I19)^O19)),4)</f>
        <v>#DIV/0!</v>
      </c>
      <c r="D19" s="1474" t="s">
        <v>956</v>
      </c>
      <c r="E19" s="1058">
        <v>41640</v>
      </c>
      <c r="F19" s="1474" t="s">
        <v>957</v>
      </c>
      <c r="G19" s="1059">
        <f>'数据-取费表'!B2</f>
        <v>43325</v>
      </c>
      <c r="H19" s="1475" t="s">
        <v>2924</v>
      </c>
      <c r="I19" s="2784" t="str">
        <f>IF(H19="季度增幅（自定义）",SUMIF(N21:N24,E2,O21:O24),"")</f>
        <v/>
      </c>
      <c r="J19" s="1471"/>
      <c r="K19" s="1481"/>
      <c r="L19" s="3038" t="s">
        <v>2835</v>
      </c>
      <c r="M19" s="3039">
        <f>ROUND(SUMIF(地价!B2:F2,E2,地价!B23:F23),0)</f>
        <v>0</v>
      </c>
      <c r="N19" s="2786" t="s">
        <v>1675</v>
      </c>
      <c r="O19" s="2785">
        <f>ROUNDDOWN(DATEDIF(E19,G19,"M")/3,0)</f>
        <v>18</v>
      </c>
      <c r="P19" s="1596"/>
      <c r="R19" s="2924"/>
      <c r="S19" s="2924"/>
      <c r="T19" s="2924"/>
      <c r="U19" s="2924"/>
      <c r="V19" s="292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1835</v>
      </c>
      <c r="B20" s="2779" t="s">
        <v>970</v>
      </c>
      <c r="C20" s="2780" t="e">
        <f>ROUND(POWER(1+G20,J20-I20)*(POWER(1+G20,I20)-1)/(POWER(1+G20,J20)-1),4)</f>
        <v>#DIV/0!</v>
      </c>
      <c r="D20" s="2781" t="s">
        <v>971</v>
      </c>
      <c r="E20" s="3092">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1"/>
      <c r="L20" s="3040" t="s">
        <v>2836</v>
      </c>
      <c r="M20" s="3041">
        <f>ROUND(SUMPRODUCT((地价!A4:A23=YEAR(G19)&amp;"-"&amp;ROUNDUP(MONTH(G19)/3,0))*(地价!B2:F2=E2)*(地价!B4:F23)),0)</f>
        <v>0</v>
      </c>
      <c r="N20" s="2789" t="s">
        <v>2639</v>
      </c>
      <c r="O20" s="2787" t="s">
        <v>2638</v>
      </c>
      <c r="P20" s="2788" t="s">
        <v>2644</v>
      </c>
      <c r="R20" s="2924"/>
      <c r="S20" s="2924"/>
      <c r="T20" s="2924"/>
      <c r="U20" s="2924"/>
      <c r="V20" s="2924"/>
      <c r="W20" s="2195"/>
      <c r="X20" s="2195"/>
      <c r="Y20" s="2195"/>
      <c r="Z20" s="2195"/>
      <c r="AA20" s="2195"/>
      <c r="AB20" s="2195"/>
      <c r="AC20" s="2195"/>
      <c r="AD20" s="1472"/>
      <c r="AE20" s="1472"/>
      <c r="AF20" s="1472"/>
      <c r="AG20" s="1472"/>
      <c r="AH20" s="1472"/>
      <c r="AI20" s="1472"/>
    </row>
    <row r="21" spans="1:40" s="1421" customFormat="1" ht="14.25">
      <c r="A21" s="1642" t="s">
        <v>1836</v>
      </c>
      <c r="B21" s="1480" t="s">
        <v>2755</v>
      </c>
      <c r="C21" s="1158">
        <f>IF(B21="容积率修正",IF(G3&lt;=10,D22,J22),C23)</f>
        <v>0</v>
      </c>
      <c r="D21" s="1481"/>
      <c r="E21" s="1481"/>
      <c r="F21" s="1481"/>
      <c r="G21" s="1481"/>
      <c r="H21" s="1481"/>
      <c r="I21" s="1481"/>
      <c r="J21" s="1482"/>
      <c r="K21" s="1481"/>
      <c r="L21" s="1481"/>
      <c r="M21" s="1481"/>
      <c r="N21" s="1478" t="s">
        <v>974</v>
      </c>
      <c r="O21" s="1542"/>
      <c r="P21" s="2769">
        <f>SUMPRODUCT((地价!A3:A23=YEAR(G19)&amp;"-"&amp;ROUNDUP(MONTH(G19)/3,0))*(地价!AD2:AH2=N21)*(地价!AD3:AH23))</f>
        <v>1.54E-2</v>
      </c>
      <c r="R21" s="2924"/>
      <c r="S21" s="2924"/>
      <c r="T21" s="2924"/>
      <c r="U21" s="2924"/>
      <c r="V21" s="2924"/>
      <c r="W21" s="2195"/>
      <c r="X21" s="2195"/>
      <c r="Y21" s="2195"/>
      <c r="Z21" s="2195"/>
      <c r="AA21" s="2195"/>
      <c r="AB21" s="2195"/>
      <c r="AC21" s="2195"/>
      <c r="AD21" s="1403"/>
      <c r="AE21" s="1403"/>
      <c r="AF21" s="1403"/>
      <c r="AG21" s="1403"/>
      <c r="AH21" s="1472"/>
      <c r="AI21" s="1472"/>
    </row>
    <row r="22" spans="1:40" s="1421" customFormat="1" ht="14.25">
      <c r="A22" s="1643" t="s">
        <v>1869</v>
      </c>
      <c r="B22" s="1483" t="s">
        <v>975</v>
      </c>
      <c r="C22" s="1060" t="s">
        <v>1701</v>
      </c>
      <c r="D22" s="1060" t="b">
        <f>IF(E22=G22,F22,IF(G3&lt;=10,ROUND(F22+(H22-F22)*(G3-E22)/(G22-E22),4),"——"))</f>
        <v>0</v>
      </c>
      <c r="E22" s="1039">
        <f>ROUNDDOWN(G3,1)</f>
        <v>2.2999999999999998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1"/>
      <c r="L22" s="1481"/>
      <c r="M22" s="1481"/>
      <c r="N22" s="1478" t="s">
        <v>977</v>
      </c>
      <c r="O22" s="1542"/>
      <c r="P22" s="2769">
        <f>SUMPRODUCT((地价!A3:A23=YEAR(G19)&amp;"-"&amp;ROUNDUP(MONTH(G19)/3,0))*(地价!AD2:AH2=N22)*(地价!AD3:AH23))</f>
        <v>1.54E-2</v>
      </c>
      <c r="R22" s="2924"/>
      <c r="S22" s="2924"/>
      <c r="T22" s="2924"/>
      <c r="U22" s="2924"/>
      <c r="V22" s="2924"/>
      <c r="W22" s="2195"/>
      <c r="X22" s="2195"/>
      <c r="Y22" s="2195"/>
      <c r="Z22" s="2195"/>
      <c r="AA22" s="2195"/>
      <c r="AB22" s="2195"/>
      <c r="AC22" s="2195"/>
      <c r="AD22" s="1472"/>
      <c r="AE22" s="1472"/>
      <c r="AF22" s="1472"/>
      <c r="AG22" s="1472"/>
      <c r="AH22" s="1472"/>
      <c r="AI22" s="1472"/>
    </row>
    <row r="23" spans="1:40" ht="27.75" thickBot="1">
      <c r="A23" s="1643" t="s">
        <v>1870</v>
      </c>
      <c r="B23" s="1483" t="s">
        <v>978</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921</v>
      </c>
      <c r="O23" s="1542"/>
      <c r="P23" s="2769">
        <f>SUMPRODUCT((地价!A3:A23=YEAR(G19)&amp;"-"&amp;ROUNDUP(MONTH(G19)/3,0))*(地价!AD2:AH2=N23)*(地价!AD3:AH23))</f>
        <v>2.4500000000000001E-2</v>
      </c>
      <c r="R23" s="2924"/>
      <c r="S23" s="2924"/>
      <c r="T23" s="2924"/>
      <c r="U23" s="2924"/>
      <c r="V23" s="2924"/>
      <c r="W23" s="2195"/>
      <c r="X23" s="2195"/>
      <c r="Y23" s="2195"/>
      <c r="Z23" s="2195"/>
      <c r="AA23" s="2195"/>
      <c r="AB23" s="2195"/>
      <c r="AC23" s="2195"/>
      <c r="AN23" s="1404"/>
    </row>
    <row r="24" spans="1:40" s="1421" customFormat="1" ht="15.75" thickBot="1">
      <c r="A24" s="1641" t="s">
        <v>1871</v>
      </c>
      <c r="B24" s="1415" t="s">
        <v>979</v>
      </c>
      <c r="C24" s="1062">
        <f>SUMIF(A44:A87,E2,B44:B87)</f>
        <v>0</v>
      </c>
      <c r="D24" s="1535"/>
      <c r="E24" s="1536"/>
      <c r="F24" s="1536"/>
      <c r="G24" s="1536"/>
      <c r="H24" s="1536"/>
      <c r="I24" s="1536"/>
      <c r="J24" s="1536"/>
      <c r="K24" s="1481"/>
      <c r="L24" s="1481"/>
      <c r="M24" s="1481"/>
      <c r="N24" s="1484" t="s">
        <v>980</v>
      </c>
      <c r="O24" s="1543"/>
      <c r="P24" s="1541">
        <f>SUMPRODUCT((地价!A3:A23=YEAR(G19)&amp;"-"&amp;ROUNDUP(MONTH(G19)/3,0))*(地价!AD2:AH2=N24)*(地价!AD3:AH23))</f>
        <v>1.41E-2</v>
      </c>
      <c r="R24" s="2924"/>
      <c r="S24" s="2924"/>
      <c r="T24" s="2924"/>
      <c r="U24" s="2924"/>
      <c r="V24" s="2924"/>
      <c r="W24" s="2195"/>
      <c r="X24" s="2195"/>
      <c r="Y24" s="2195"/>
      <c r="Z24" s="2195"/>
      <c r="AA24" s="2195"/>
      <c r="AB24" s="2195"/>
      <c r="AC24" s="2195"/>
      <c r="AD24" s="1472"/>
      <c r="AE24" s="1472"/>
      <c r="AF24" s="1472"/>
      <c r="AG24" s="1472"/>
      <c r="AH24" s="1472"/>
      <c r="AI24" s="1472"/>
    </row>
    <row r="25" spans="1:40" ht="15" thickBot="1">
      <c r="A25" s="1641" t="s">
        <v>1872</v>
      </c>
      <c r="B25" s="1486" t="s">
        <v>981</v>
      </c>
      <c r="C25" s="1487"/>
      <c r="D25" s="1430"/>
      <c r="E25" s="1430"/>
      <c r="F25" s="1488"/>
      <c r="G25" s="1430"/>
      <c r="H25" s="1430"/>
      <c r="I25" s="1430"/>
      <c r="J25" s="1431"/>
      <c r="K25" s="1401"/>
      <c r="L25" s="2195"/>
      <c r="M25" s="2195"/>
      <c r="N25" s="2797" t="s">
        <v>2642</v>
      </c>
      <c r="O25" s="2195"/>
      <c r="P25" s="1541">
        <f>SUMPRODUCT((地价!A3:A23=YEAR(G19)&amp;"-"&amp;ROUNDUP(MONTH(G19)/3,0))*(地价!AD2:AH2=N25)*(地价!AD3:AH23))</f>
        <v>2.23E-2</v>
      </c>
      <c r="R25" s="2924"/>
      <c r="S25" s="2924"/>
      <c r="T25" s="2924"/>
      <c r="U25" s="2924"/>
      <c r="V25" s="2924"/>
      <c r="W25" s="2195"/>
      <c r="X25" s="2195"/>
      <c r="Y25" s="2195"/>
      <c r="Z25" s="2195"/>
      <c r="AA25" s="2195"/>
      <c r="AB25" s="2195"/>
      <c r="AC25" s="2195"/>
    </row>
    <row r="26" spans="1:40" ht="14.25">
      <c r="A26" s="1489"/>
      <c r="B26" s="1483" t="s">
        <v>985</v>
      </c>
      <c r="C26" s="1063" t="e">
        <f>E29+SUM(E33:E39)</f>
        <v>#DIV/0!</v>
      </c>
      <c r="D26" s="1490"/>
      <c r="E26" s="1456"/>
      <c r="F26" s="1491"/>
      <c r="G26" s="1456"/>
      <c r="H26" s="1456"/>
      <c r="I26" s="1456"/>
      <c r="J26" s="1492"/>
      <c r="K26" s="1401"/>
      <c r="L26" s="2195"/>
      <c r="M26" s="2195"/>
      <c r="N26" s="2195"/>
      <c r="O26" s="2195"/>
      <c r="P26" s="2195"/>
      <c r="Q26" s="2195"/>
      <c r="R26" s="2924"/>
      <c r="S26" s="2924"/>
      <c r="T26" s="2924"/>
      <c r="U26" s="2924"/>
      <c r="V26" s="2924"/>
      <c r="W26" s="2195"/>
      <c r="X26" s="2195"/>
      <c r="Y26" s="2195"/>
      <c r="Z26" s="2195"/>
      <c r="AA26" s="2195"/>
      <c r="AB26" s="2195"/>
      <c r="AC26" s="2195"/>
      <c r="AD26" s="1472"/>
      <c r="AE26" s="1472"/>
      <c r="AF26" s="1472"/>
      <c r="AG26" s="1472"/>
    </row>
    <row r="27" spans="1:40" ht="15" thickBot="1">
      <c r="A27" s="1489"/>
      <c r="B27" s="1493" t="s">
        <v>987</v>
      </c>
      <c r="C27" s="1064" t="e">
        <f>E30+SUM(I33:I39)</f>
        <v>#DIV/0!</v>
      </c>
      <c r="D27" s="1494"/>
      <c r="E27" s="1495"/>
      <c r="F27" s="1496"/>
      <c r="G27" s="1495"/>
      <c r="H27" s="1495"/>
      <c r="I27" s="1495"/>
      <c r="J27" s="1497"/>
      <c r="K27" s="1401"/>
      <c r="L27" s="2195"/>
      <c r="M27" s="2195"/>
      <c r="N27" s="2195"/>
      <c r="O27" s="2195"/>
      <c r="P27" s="2195"/>
      <c r="Q27" s="2195"/>
      <c r="R27" s="2924"/>
      <c r="S27" s="2924"/>
      <c r="T27" s="2924"/>
      <c r="U27" s="2924"/>
      <c r="V27" s="2924"/>
      <c r="W27" s="2195"/>
      <c r="X27" s="2195"/>
      <c r="Y27" s="2195"/>
      <c r="Z27" s="2195"/>
      <c r="AA27" s="2195"/>
      <c r="AB27" s="2195"/>
      <c r="AC27" s="2195"/>
    </row>
    <row r="28" spans="1:40" ht="14.25">
      <c r="A28" s="1485"/>
      <c r="B28" s="1498" t="s">
        <v>988</v>
      </c>
      <c r="C28" s="1499" t="s">
        <v>989</v>
      </c>
      <c r="D28" s="1499" t="s">
        <v>990</v>
      </c>
      <c r="E28" s="1500" t="s">
        <v>991</v>
      </c>
      <c r="F28" s="1501"/>
      <c r="G28" s="1442"/>
      <c r="H28" s="1442"/>
      <c r="I28" s="1442"/>
      <c r="J28" s="1443"/>
      <c r="K28" s="1401"/>
      <c r="L28" s="2195"/>
      <c r="M28" s="2195"/>
      <c r="N28" s="2195"/>
      <c r="O28" s="2195"/>
      <c r="P28" s="2195"/>
      <c r="Q28" s="2195"/>
      <c r="R28" s="2924"/>
      <c r="S28" s="2924"/>
      <c r="T28" s="2924"/>
      <c r="U28" s="2924"/>
      <c r="V28" s="2924"/>
      <c r="W28" s="2195"/>
      <c r="X28" s="2195"/>
      <c r="Y28" s="2195"/>
      <c r="Z28" s="2195"/>
      <c r="AA28" s="2195"/>
      <c r="AB28" s="2195"/>
      <c r="AC28" s="2195"/>
      <c r="AD28" s="1472"/>
      <c r="AE28" s="1472"/>
      <c r="AF28" s="1472"/>
      <c r="AG28" s="1472"/>
    </row>
    <row r="29" spans="1:40" ht="24">
      <c r="A29" s="1502"/>
      <c r="B29" s="1503" t="s">
        <v>992</v>
      </c>
      <c r="C29" s="1063" t="e">
        <f>ROUND(C5*C18*C19*C20*C21*C24,0)</f>
        <v>#DIV/0!</v>
      </c>
      <c r="D29" s="1504"/>
      <c r="E29" s="1849" t="e">
        <f>ROUND(C29*D29/10000,0)</f>
        <v>#DIV/0!</v>
      </c>
      <c r="F29" s="1505" t="s">
        <v>1700</v>
      </c>
      <c r="G29" s="1506"/>
      <c r="H29" s="1506"/>
      <c r="I29" s="1506"/>
      <c r="J29" s="1507"/>
      <c r="K29" s="1401"/>
      <c r="L29" s="2195"/>
      <c r="M29" s="2195"/>
      <c r="N29" s="2195"/>
      <c r="O29" s="2195"/>
      <c r="P29" s="2195"/>
      <c r="Q29" s="2195"/>
      <c r="R29" s="2924"/>
      <c r="S29" s="2924"/>
      <c r="T29" s="2924"/>
      <c r="U29" s="2924"/>
      <c r="V29" s="2924"/>
      <c r="W29" s="2195"/>
      <c r="X29" s="2195"/>
      <c r="Y29" s="2195"/>
      <c r="Z29" s="2195"/>
      <c r="AA29" s="2195"/>
      <c r="AB29" s="2195"/>
      <c r="AC29" s="2195"/>
      <c r="AH29" s="1402"/>
      <c r="AI29" s="1402"/>
      <c r="AJ29" s="1405"/>
      <c r="AK29" s="1405"/>
      <c r="AL29" s="1405"/>
      <c r="AM29" s="1405"/>
    </row>
    <row r="30" spans="1:40" ht="24.75" thickBot="1">
      <c r="A30" s="1508"/>
      <c r="B30" s="1509" t="s">
        <v>993</v>
      </c>
      <c r="C30" s="1051" t="e">
        <f>ROUND(IF(E2="工业",C29*M39,C29*M38),0)</f>
        <v>#DIV/0!</v>
      </c>
      <c r="D30" s="1510"/>
      <c r="E30" s="1849" t="e">
        <f>ROUND(C30*D30/10000,0)</f>
        <v>#DIV/0!</v>
      </c>
      <c r="F30" s="1511" t="s">
        <v>994</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995</v>
      </c>
      <c r="C31" s="1516" t="s">
        <v>996</v>
      </c>
      <c r="D31" s="1442"/>
      <c r="E31" s="1516"/>
      <c r="F31" s="1516"/>
      <c r="G31" s="1440" t="s">
        <v>994</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989</v>
      </c>
      <c r="D32" s="1520" t="s">
        <v>990</v>
      </c>
      <c r="E32" s="1520" t="s">
        <v>991</v>
      </c>
      <c r="F32" s="1521" t="s">
        <v>997</v>
      </c>
      <c r="G32" s="1479" t="s">
        <v>989</v>
      </c>
      <c r="H32" s="1479" t="s">
        <v>990</v>
      </c>
      <c r="I32" s="1479" t="s">
        <v>991</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55" t="s">
        <v>2950</v>
      </c>
      <c r="B33" s="1524" t="s">
        <v>998</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56"/>
      <c r="B34" s="1445" t="s">
        <v>999</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56"/>
      <c r="B35" s="1445" t="s">
        <v>1000</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7"/>
      <c r="B36" s="1445" t="s">
        <v>1001</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1002</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1702</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1003</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1704</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1004</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1703</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1005</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1006</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1007</v>
      </c>
      <c r="B46" s="2408" t="s">
        <v>1008</v>
      </c>
      <c r="C46" s="2430" t="s">
        <v>1009</v>
      </c>
      <c r="D46" s="2431" t="s">
        <v>1010</v>
      </c>
      <c r="E46" s="2432" t="s">
        <v>1012</v>
      </c>
      <c r="F46" s="2433" t="s">
        <v>2249</v>
      </c>
      <c r="G46" s="2431" t="s">
        <v>1013</v>
      </c>
      <c r="H46" s="2414" t="s">
        <v>2414</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7" t="s">
        <v>1019</v>
      </c>
      <c r="B47" s="2411" t="str">
        <f>估价对象房地状况!C16</f>
        <v>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7" t="s">
        <v>1020</v>
      </c>
      <c r="B48" s="2408" t="str">
        <f>估价对象房地状况!C18</f>
        <v>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1021</v>
      </c>
      <c r="B49" s="2408" t="str">
        <f>估价对象房地状况!C19</f>
        <v>较好</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1022</v>
      </c>
      <c r="B50" s="3094" t="s">
        <v>2926</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1023</v>
      </c>
      <c r="B51" s="2408" t="str">
        <f>估价对象房地状况!C24</f>
        <v>支路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1024</v>
      </c>
      <c r="B52" s="3093" t="s">
        <v>2925</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1025</v>
      </c>
      <c r="B53" s="2409" t="str">
        <f>估价对象房地状况!C21</f>
        <v>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1026</v>
      </c>
      <c r="B54" s="2408" t="str">
        <f>估价对象房地状况!C22</f>
        <v>七通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41" t="s">
        <v>1027</v>
      </c>
      <c r="B55" s="2412" t="str">
        <f>估价对象房地状况!C20</f>
        <v>较好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1028</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1007</v>
      </c>
      <c r="B57" s="2408"/>
      <c r="C57" s="2430" t="s">
        <v>1009</v>
      </c>
      <c r="D57" s="2431" t="s">
        <v>1010</v>
      </c>
      <c r="E57" s="2432" t="s">
        <v>1012</v>
      </c>
      <c r="F57" s="2433" t="s">
        <v>2250</v>
      </c>
      <c r="G57" s="2431" t="s">
        <v>1013</v>
      </c>
      <c r="H57" s="2414" t="s">
        <v>2414</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7" t="s">
        <v>1029</v>
      </c>
      <c r="B58" s="2411">
        <f>估价对象房地状况!C17</f>
        <v>0</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7" t="s">
        <v>1020</v>
      </c>
      <c r="B59" s="2408" t="str">
        <f>估价对象房地状况!C18</f>
        <v>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1021</v>
      </c>
      <c r="B60" s="2408" t="str">
        <f>估价对象房地状况!C19</f>
        <v>较好</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1022</v>
      </c>
      <c r="B61" s="3094" t="s">
        <v>2927</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1023</v>
      </c>
      <c r="B62" s="2408" t="str">
        <f>估价对象房地状况!C24</f>
        <v>支路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1024</v>
      </c>
      <c r="B63" s="3093" t="s">
        <v>2925</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1025</v>
      </c>
      <c r="B64" s="2409" t="str">
        <f>估价对象房地状况!C21</f>
        <v>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1026</v>
      </c>
      <c r="B65" s="2409" t="str">
        <f>估价对象房地状况!C22</f>
        <v>七通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41" t="s">
        <v>1027</v>
      </c>
      <c r="B66" s="2413" t="str">
        <f>估价对象房地状况!C20</f>
        <v>较好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1030</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1007</v>
      </c>
      <c r="B68" s="2408"/>
      <c r="C68" s="2430" t="s">
        <v>1009</v>
      </c>
      <c r="D68" s="2431" t="s">
        <v>1010</v>
      </c>
      <c r="E68" s="2432" t="s">
        <v>1012</v>
      </c>
      <c r="F68" s="2433" t="s">
        <v>2251</v>
      </c>
      <c r="G68" s="2431" t="s">
        <v>1013</v>
      </c>
      <c r="H68" s="2414" t="s">
        <v>2414</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7" t="s">
        <v>1031</v>
      </c>
      <c r="B69" s="2411" t="str">
        <f>估价对象房地状况!C15</f>
        <v>较好</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7" t="s">
        <v>1032</v>
      </c>
      <c r="B70" s="2408" t="str">
        <f>估价对象房地状况!C18</f>
        <v>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1021</v>
      </c>
      <c r="B71" s="2408" t="str">
        <f>估价对象房地状况!C19</f>
        <v>较好</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1033</v>
      </c>
      <c r="B72" s="2408" t="str">
        <f>估价对象房地状况!C24</f>
        <v>支路</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1025</v>
      </c>
      <c r="B73" s="2409" t="str">
        <f>估价对象房地状况!C21</f>
        <v>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1026</v>
      </c>
      <c r="B74" s="2409" t="str">
        <f>估价对象房地状况!C22</f>
        <v>七通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1024</v>
      </c>
      <c r="B75" s="3093" t="s">
        <v>2925</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7" t="s">
        <v>1027</v>
      </c>
      <c r="B76" s="2411" t="str">
        <f>估价对象房地状况!C20</f>
        <v>较好</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1034</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1035</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1007</v>
      </c>
      <c r="B79" s="2408"/>
      <c r="C79" s="2430" t="s">
        <v>1009</v>
      </c>
      <c r="D79" s="2431" t="s">
        <v>1010</v>
      </c>
      <c r="E79" s="2432" t="s">
        <v>1012</v>
      </c>
      <c r="F79" s="2433" t="s">
        <v>2252</v>
      </c>
      <c r="G79" s="2431" t="s">
        <v>1013</v>
      </c>
      <c r="H79" s="2414" t="s">
        <v>2414</v>
      </c>
      <c r="I79" s="2431" t="s">
        <v>1011</v>
      </c>
      <c r="J79" s="2434" t="s">
        <v>1014</v>
      </c>
      <c r="K79" s="2434" t="s">
        <v>1015</v>
      </c>
      <c r="L79" s="2434" t="s">
        <v>1016</v>
      </c>
      <c r="M79" s="2434" t="s">
        <v>1017</v>
      </c>
      <c r="N79" s="2434" t="s">
        <v>1018</v>
      </c>
      <c r="AC79" s="1405"/>
      <c r="AD79" s="1404"/>
      <c r="AJ79" s="1403"/>
      <c r="AN79" s="1404"/>
    </row>
    <row r="80" spans="1:40" ht="36">
      <c r="A80" s="1067" t="s">
        <v>1036</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1032</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1021</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1033</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1025</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1026</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1024</v>
      </c>
      <c r="B86" s="3093" t="s">
        <v>2925</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1037</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53" t="s">
        <v>1632</v>
      </c>
      <c r="B90" s="3453"/>
      <c r="C90" s="3453"/>
      <c r="D90" s="3453"/>
      <c r="E90" s="3453"/>
      <c r="F90" s="3453"/>
      <c r="G90" s="3453"/>
      <c r="H90" s="3453"/>
      <c r="I90" s="3453"/>
      <c r="J90" s="3453"/>
      <c r="K90" s="2450"/>
      <c r="L90" s="2450"/>
      <c r="M90" s="2450"/>
      <c r="N90" s="2450"/>
    </row>
    <row r="91" spans="1:40">
      <c r="A91" s="3454" t="s">
        <v>1442</v>
      </c>
      <c r="B91" s="3454" t="s">
        <v>1633</v>
      </c>
      <c r="C91" s="1140" t="s">
        <v>1634</v>
      </c>
      <c r="D91" s="1141"/>
      <c r="E91" s="1141"/>
      <c r="F91" s="1141"/>
      <c r="G91" s="1141"/>
      <c r="H91" s="1141"/>
      <c r="I91" s="1141"/>
      <c r="J91" s="1142"/>
      <c r="K91" s="1134"/>
      <c r="L91" s="1134"/>
      <c r="M91" s="1134"/>
      <c r="N91" s="1134"/>
    </row>
    <row r="92" spans="1:40">
      <c r="A92" s="3454"/>
      <c r="B92" s="3454"/>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43" t="s">
        <v>2758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4"/>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3" t="s">
        <v>1636</v>
      </c>
      <c r="B101" s="1147" t="s">
        <v>904</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444"/>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444"/>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444"/>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444"/>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444"/>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444"/>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444"/>
      <c r="B108" s="3446"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5"/>
      <c r="B109" s="3447"/>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448" t="s">
        <v>1638</v>
      </c>
      <c r="B110" s="3448"/>
      <c r="C110" s="3448"/>
      <c r="D110" s="3448"/>
      <c r="E110" s="3448"/>
      <c r="F110" s="3448"/>
      <c r="G110" s="3448"/>
      <c r="H110" s="3448"/>
      <c r="I110" s="3448"/>
      <c r="J110" s="3448"/>
      <c r="K110" s="2448"/>
      <c r="L110" s="2448"/>
      <c r="M110" s="2448"/>
      <c r="N110" s="2448"/>
    </row>
    <row r="112" spans="1:14" ht="12.75" thickBot="1"/>
    <row r="113" spans="1:13" ht="25.5" thickBot="1">
      <c r="A113" s="1016" t="s">
        <v>894</v>
      </c>
      <c r="B113" s="2451">
        <f>G3</f>
        <v>2.2999999999999998</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899</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900</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901</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599" customFormat="1" ht="19.5" customHeight="1">
      <c r="A18" s="3454" t="s">
        <v>1006</v>
      </c>
      <c r="B18" s="1154" t="s">
        <v>1445</v>
      </c>
      <c r="C18" s="1131" t="s">
        <v>1446</v>
      </c>
      <c r="D18" s="1132"/>
      <c r="E18" s="1154">
        <v>1</v>
      </c>
      <c r="F18" s="1133" t="s">
        <v>1447</v>
      </c>
      <c r="G18" s="1134"/>
      <c r="H18" s="1105"/>
      <c r="I18" s="1105"/>
    </row>
    <row r="19" spans="1:9" s="1599" customFormat="1" ht="19.5" customHeight="1">
      <c r="A19" s="3454"/>
      <c r="B19" s="3454" t="s">
        <v>1448</v>
      </c>
      <c r="C19" s="1131" t="s">
        <v>1449</v>
      </c>
      <c r="D19" s="1132"/>
      <c r="E19" s="1154">
        <v>0.9</v>
      </c>
      <c r="F19" s="1133" t="s">
        <v>1450</v>
      </c>
      <c r="G19" s="1134"/>
      <c r="H19" s="1105"/>
      <c r="I19" s="1105"/>
    </row>
    <row r="20" spans="1:9" s="1599" customFormat="1" ht="19.5" customHeight="1">
      <c r="A20" s="3454"/>
      <c r="B20" s="3454"/>
      <c r="C20" s="1131" t="s">
        <v>1451</v>
      </c>
      <c r="D20" s="1132"/>
      <c r="E20" s="1154">
        <v>1.1000000000000001</v>
      </c>
      <c r="F20" s="1133" t="s">
        <v>1452</v>
      </c>
      <c r="G20" s="1134"/>
      <c r="H20" s="1105"/>
      <c r="I20" s="1105"/>
    </row>
    <row r="21" spans="1:9" s="1599" customFormat="1" ht="19.5" customHeight="1">
      <c r="A21" s="3454"/>
      <c r="B21" s="3454"/>
      <c r="C21" s="1131" t="s">
        <v>1453</v>
      </c>
      <c r="D21" s="1132"/>
      <c r="E21" s="1154">
        <v>0.8</v>
      </c>
      <c r="F21" s="1133" t="s">
        <v>1454</v>
      </c>
      <c r="G21" s="1134"/>
      <c r="H21" s="1105"/>
      <c r="I21" s="1105"/>
    </row>
    <row r="22" spans="1:9" s="1599" customFormat="1" ht="19.5" customHeight="1">
      <c r="A22" s="3454"/>
      <c r="B22" s="3454"/>
      <c r="C22" s="1131" t="s">
        <v>1455</v>
      </c>
      <c r="D22" s="1132"/>
      <c r="E22" s="1154">
        <v>0.5</v>
      </c>
      <c r="F22" s="1133"/>
      <c r="G22" s="1134"/>
      <c r="H22" s="1105"/>
      <c r="I22" s="1105"/>
    </row>
    <row r="23" spans="1:9" s="1599" customFormat="1" ht="19.5" customHeight="1">
      <c r="A23" s="3454" t="s">
        <v>1028</v>
      </c>
      <c r="B23" s="1154" t="s">
        <v>1445</v>
      </c>
      <c r="C23" s="1131" t="s">
        <v>1456</v>
      </c>
      <c r="D23" s="1132"/>
      <c r="E23" s="1154">
        <v>1</v>
      </c>
      <c r="F23" s="1133" t="s">
        <v>1457</v>
      </c>
      <c r="G23" s="1134"/>
      <c r="H23" s="1105"/>
      <c r="I23" s="1105"/>
    </row>
    <row r="24" spans="1:9" s="1599" customFormat="1" ht="19.5" customHeight="1">
      <c r="A24" s="3454"/>
      <c r="B24" s="3454" t="s">
        <v>1448</v>
      </c>
      <c r="C24" s="1131" t="s">
        <v>1458</v>
      </c>
      <c r="D24" s="1132"/>
      <c r="E24" s="1154">
        <v>0.5</v>
      </c>
      <c r="F24" s="1133"/>
      <c r="G24" s="1134"/>
      <c r="H24" s="1105"/>
      <c r="I24" s="1105"/>
    </row>
    <row r="25" spans="1:9" s="1599" customFormat="1" ht="19.5" customHeight="1">
      <c r="A25" s="3454"/>
      <c r="B25" s="3454"/>
      <c r="C25" s="1131" t="s">
        <v>1459</v>
      </c>
      <c r="D25" s="1132"/>
      <c r="E25" s="1154">
        <v>1.1000000000000001</v>
      </c>
      <c r="F25" s="1133"/>
      <c r="G25" s="1134"/>
      <c r="H25" s="1105"/>
      <c r="I25" s="1105"/>
    </row>
    <row r="26" spans="1:9" s="1599" customFormat="1" ht="19.5" customHeight="1">
      <c r="A26" s="3454"/>
      <c r="B26" s="3454"/>
      <c r="C26" s="1131" t="s">
        <v>1460</v>
      </c>
      <c r="D26" s="1132"/>
      <c r="E26" s="1154">
        <v>1.1000000000000001</v>
      </c>
      <c r="F26" s="1133"/>
      <c r="G26" s="1134"/>
      <c r="H26" s="1105"/>
      <c r="I26" s="1105"/>
    </row>
    <row r="27" spans="1:9" s="1599" customFormat="1" ht="19.5" customHeight="1">
      <c r="A27" s="3454"/>
      <c r="B27" s="3454"/>
      <c r="C27" s="1131" t="s">
        <v>1461</v>
      </c>
      <c r="D27" s="1132"/>
      <c r="E27" s="1154">
        <v>0.9</v>
      </c>
      <c r="F27" s="1133" t="s">
        <v>1462</v>
      </c>
      <c r="G27" s="1134"/>
      <c r="H27" s="1105"/>
      <c r="I27" s="1105"/>
    </row>
    <row r="28" spans="1:9" s="1599" customFormat="1" ht="19.5" customHeight="1">
      <c r="A28" s="3454"/>
      <c r="B28" s="3454"/>
      <c r="C28" s="1131" t="s">
        <v>1463</v>
      </c>
      <c r="D28" s="1132"/>
      <c r="E28" s="1154">
        <v>0.9</v>
      </c>
      <c r="F28" s="1133" t="s">
        <v>1464</v>
      </c>
      <c r="G28" s="1134"/>
      <c r="H28" s="1105"/>
      <c r="I28" s="1105"/>
    </row>
    <row r="29" spans="1:9" s="1599" customFormat="1" ht="19.5" customHeight="1">
      <c r="A29" s="3454"/>
      <c r="B29" s="3454"/>
      <c r="C29" s="1131" t="s">
        <v>1465</v>
      </c>
      <c r="D29" s="1132"/>
      <c r="E29" s="1154">
        <v>0.9</v>
      </c>
      <c r="F29" s="1133" t="s">
        <v>1466</v>
      </c>
      <c r="G29" s="1134"/>
      <c r="H29" s="1105"/>
      <c r="I29" s="1105"/>
    </row>
    <row r="30" spans="1:9" s="1599" customFormat="1" ht="19.5" customHeight="1">
      <c r="A30" s="3454"/>
      <c r="B30" s="3454"/>
      <c r="C30" s="1131" t="s">
        <v>1467</v>
      </c>
      <c r="D30" s="1132"/>
      <c r="E30" s="1154">
        <v>0.9</v>
      </c>
      <c r="F30" s="1133" t="s">
        <v>1468</v>
      </c>
      <c r="G30" s="1134"/>
      <c r="H30" s="1105"/>
      <c r="I30" s="1105"/>
    </row>
    <row r="31" spans="1:9" s="1599" customFormat="1" ht="19.5" customHeight="1">
      <c r="A31" s="3454"/>
      <c r="B31" s="3454"/>
      <c r="C31" s="1131" t="s">
        <v>1469</v>
      </c>
      <c r="D31" s="1132"/>
      <c r="E31" s="1154">
        <v>0.8</v>
      </c>
      <c r="F31" s="1133" t="s">
        <v>1470</v>
      </c>
      <c r="G31" s="1134"/>
      <c r="H31" s="1105"/>
      <c r="I31" s="1105"/>
    </row>
    <row r="32" spans="1:9" s="1599" customFormat="1" ht="19.5" customHeight="1">
      <c r="A32" s="3454"/>
      <c r="B32" s="3454"/>
      <c r="C32" s="1131" t="s">
        <v>1471</v>
      </c>
      <c r="D32" s="1132"/>
      <c r="E32" s="1154">
        <v>0.8</v>
      </c>
      <c r="F32" s="1133" t="s">
        <v>1472</v>
      </c>
      <c r="G32" s="1134"/>
      <c r="H32" s="1105"/>
      <c r="I32" s="1105"/>
    </row>
    <row r="33" spans="1:9" s="1599" customFormat="1" ht="19.5" customHeight="1">
      <c r="A33" s="3454" t="s">
        <v>1473</v>
      </c>
      <c r="B33" s="1154" t="s">
        <v>1445</v>
      </c>
      <c r="C33" s="1131" t="s">
        <v>1474</v>
      </c>
      <c r="D33" s="1132"/>
      <c r="E33" s="1154">
        <v>1</v>
      </c>
      <c r="F33" s="1133" t="s">
        <v>1475</v>
      </c>
      <c r="G33" s="1134"/>
      <c r="H33" s="1105"/>
      <c r="I33" s="1105"/>
    </row>
    <row r="34" spans="1:9" s="1599" customFormat="1" ht="19.5" customHeight="1">
      <c r="A34" s="3454"/>
      <c r="B34" s="1154" t="s">
        <v>1448</v>
      </c>
      <c r="C34" s="1131" t="s">
        <v>1476</v>
      </c>
      <c r="D34" s="1132"/>
      <c r="E34" s="1154">
        <v>1.5</v>
      </c>
      <c r="F34" s="1133" t="s">
        <v>1477</v>
      </c>
      <c r="G34" s="1134"/>
      <c r="H34" s="1105"/>
      <c r="I34" s="1105"/>
    </row>
    <row r="35" spans="1:9" s="1599" customFormat="1" ht="19.5" customHeight="1">
      <c r="A35" s="3454" t="s">
        <v>1431</v>
      </c>
      <c r="B35" s="1154" t="s">
        <v>1445</v>
      </c>
      <c r="C35" s="1131" t="s">
        <v>1478</v>
      </c>
      <c r="D35" s="1132"/>
      <c r="E35" s="1154">
        <v>1</v>
      </c>
      <c r="F35" s="1133" t="s">
        <v>1479</v>
      </c>
      <c r="G35" s="1134"/>
      <c r="H35" s="1105"/>
      <c r="I35" s="1105"/>
    </row>
    <row r="36" spans="1:9" s="1599" customFormat="1" ht="19.5" customHeight="1">
      <c r="A36" s="3454"/>
      <c r="B36" s="3454" t="s">
        <v>1448</v>
      </c>
      <c r="C36" s="1131" t="s">
        <v>1480</v>
      </c>
      <c r="D36" s="1132"/>
      <c r="E36" s="1154">
        <v>1</v>
      </c>
      <c r="F36" s="1133" t="s">
        <v>1481</v>
      </c>
      <c r="G36" s="1134"/>
      <c r="H36" s="1105"/>
      <c r="I36" s="1105"/>
    </row>
    <row r="37" spans="1:9" s="1599" customFormat="1" ht="19.5" customHeight="1">
      <c r="A37" s="3454"/>
      <c r="B37" s="3454"/>
      <c r="C37" s="1131" t="s">
        <v>1482</v>
      </c>
      <c r="D37" s="1132"/>
      <c r="E37" s="1154">
        <v>1.5</v>
      </c>
      <c r="F37" s="1133" t="s">
        <v>1483</v>
      </c>
      <c r="G37" s="1134"/>
      <c r="H37" s="1105"/>
      <c r="I37" s="1105"/>
    </row>
    <row r="38" spans="1:9" s="1599" customFormat="1" ht="19.5" customHeight="1">
      <c r="A38" s="3454"/>
      <c r="B38" s="3454"/>
      <c r="C38" s="1131" t="s">
        <v>1484</v>
      </c>
      <c r="D38" s="1132"/>
      <c r="E38" s="1154">
        <v>1</v>
      </c>
      <c r="F38" s="1133" t="s">
        <v>1485</v>
      </c>
      <c r="G38" s="1134"/>
      <c r="H38" s="1105"/>
      <c r="I38" s="1105"/>
    </row>
    <row r="39" spans="1:9" s="1599" customFormat="1" ht="19.5" customHeight="1">
      <c r="A39" s="3454"/>
      <c r="B39" s="3454"/>
      <c r="C39" s="1131" t="s">
        <v>1486</v>
      </c>
      <c r="D39" s="1132"/>
      <c r="E39" s="1154">
        <v>1</v>
      </c>
      <c r="F39" s="1133" t="s">
        <v>1487</v>
      </c>
      <c r="G39" s="1134"/>
      <c r="H39" s="1105"/>
      <c r="I39" s="1105"/>
    </row>
    <row r="40" spans="1:9" s="1599" customFormat="1" ht="19.5" customHeight="1">
      <c r="A40" s="1600" t="s">
        <v>1488</v>
      </c>
      <c r="B40" s="1600"/>
      <c r="C40" s="1600"/>
      <c r="D40" s="1600"/>
      <c r="E40" s="1600"/>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454" t="s">
        <v>1500</v>
      </c>
      <c r="C61" s="1068" t="s">
        <v>1501</v>
      </c>
      <c r="D61" s="1068" t="s">
        <v>1502</v>
      </c>
      <c r="E61" s="1139">
        <v>0.5</v>
      </c>
      <c r="F61" s="1154">
        <v>80</v>
      </c>
      <c r="H61" s="1105">
        <f>SUMIF(C59:C119,基准地价!C8,E59:E119)</f>
        <v>0</v>
      </c>
    </row>
    <row r="62" spans="1:8" s="1105" customFormat="1" ht="24">
      <c r="A62" s="1154">
        <v>2</v>
      </c>
      <c r="B62" s="3454"/>
      <c r="C62" s="1068" t="s">
        <v>1503</v>
      </c>
      <c r="D62" s="1068" t="s">
        <v>1504</v>
      </c>
      <c r="E62" s="1139">
        <v>0.5</v>
      </c>
      <c r="F62" s="1154">
        <v>80</v>
      </c>
    </row>
    <row r="63" spans="1:8" s="1105" customFormat="1" ht="36">
      <c r="A63" s="1154">
        <v>3</v>
      </c>
      <c r="B63" s="3454"/>
      <c r="C63" s="1068" t="s">
        <v>1505</v>
      </c>
      <c r="D63" s="1068" t="s">
        <v>1506</v>
      </c>
      <c r="E63" s="1139">
        <v>0.5</v>
      </c>
      <c r="F63" s="1154">
        <v>80</v>
      </c>
    </row>
    <row r="64" spans="1:8" s="1105" customFormat="1" ht="36">
      <c r="A64" s="1154">
        <v>4</v>
      </c>
      <c r="B64" s="3454"/>
      <c r="C64" s="1068" t="s">
        <v>1507</v>
      </c>
      <c r="D64" s="1068" t="s">
        <v>1508</v>
      </c>
      <c r="E64" s="1139">
        <v>0.4</v>
      </c>
      <c r="F64" s="1154">
        <v>60</v>
      </c>
    </row>
    <row r="65" spans="1:6" s="1105" customFormat="1" ht="36">
      <c r="A65" s="1154">
        <v>5</v>
      </c>
      <c r="B65" s="3454"/>
      <c r="C65" s="1068" t="s">
        <v>1509</v>
      </c>
      <c r="D65" s="1068" t="s">
        <v>1510</v>
      </c>
      <c r="E65" s="1139">
        <v>0.2</v>
      </c>
      <c r="F65" s="1154">
        <v>30</v>
      </c>
    </row>
    <row r="66" spans="1:6" s="1105" customFormat="1" ht="36">
      <c r="A66" s="1154">
        <v>6</v>
      </c>
      <c r="B66" s="3454"/>
      <c r="C66" s="1068" t="s">
        <v>1511</v>
      </c>
      <c r="D66" s="1068" t="s">
        <v>1512</v>
      </c>
      <c r="E66" s="1139">
        <v>0.3</v>
      </c>
      <c r="F66" s="1154">
        <v>50</v>
      </c>
    </row>
    <row r="67" spans="1:6" s="1105" customFormat="1" ht="36">
      <c r="A67" s="1154">
        <v>7</v>
      </c>
      <c r="B67" s="3454"/>
      <c r="C67" s="1068" t="s">
        <v>1513</v>
      </c>
      <c r="D67" s="1068" t="s">
        <v>1514</v>
      </c>
      <c r="E67" s="1139">
        <v>0.2</v>
      </c>
      <c r="F67" s="1154">
        <v>30</v>
      </c>
    </row>
    <row r="68" spans="1:6" s="1105" customFormat="1" ht="36">
      <c r="A68" s="1154">
        <v>8</v>
      </c>
      <c r="B68" s="3454"/>
      <c r="C68" s="1068" t="s">
        <v>1515</v>
      </c>
      <c r="D68" s="1068" t="s">
        <v>1516</v>
      </c>
      <c r="E68" s="1139">
        <v>0.2</v>
      </c>
      <c r="F68" s="1154">
        <v>30</v>
      </c>
    </row>
    <row r="69" spans="1:6" s="1105" customFormat="1" ht="36">
      <c r="A69" s="1154">
        <v>9</v>
      </c>
      <c r="B69" s="3454"/>
      <c r="C69" s="1068" t="s">
        <v>1517</v>
      </c>
      <c r="D69" s="1068" t="s">
        <v>1518</v>
      </c>
      <c r="E69" s="1139">
        <v>0.2</v>
      </c>
      <c r="F69" s="1154">
        <v>30</v>
      </c>
    </row>
    <row r="70" spans="1:6" s="1105" customFormat="1" ht="48">
      <c r="A70" s="1154">
        <v>10</v>
      </c>
      <c r="B70" s="3454"/>
      <c r="C70" s="1068" t="s">
        <v>1519</v>
      </c>
      <c r="D70" s="1068" t="s">
        <v>1520</v>
      </c>
      <c r="E70" s="1139">
        <v>0.2</v>
      </c>
      <c r="F70" s="1154">
        <v>30</v>
      </c>
    </row>
    <row r="71" spans="1:6" s="1105" customFormat="1" ht="48">
      <c r="A71" s="1154">
        <v>11</v>
      </c>
      <c r="B71" s="3454"/>
      <c r="C71" s="1068" t="s">
        <v>1521</v>
      </c>
      <c r="D71" s="1068" t="s">
        <v>1522</v>
      </c>
      <c r="E71" s="1139">
        <v>0.2</v>
      </c>
      <c r="F71" s="1154">
        <v>30</v>
      </c>
    </row>
    <row r="72" spans="1:6" s="1105" customFormat="1" ht="36">
      <c r="A72" s="1154">
        <v>12</v>
      </c>
      <c r="B72" s="3454"/>
      <c r="C72" s="1068" t="s">
        <v>1523</v>
      </c>
      <c r="D72" s="1068" t="s">
        <v>1524</v>
      </c>
      <c r="E72" s="1139">
        <v>0.5</v>
      </c>
      <c r="F72" s="1154">
        <v>80</v>
      </c>
    </row>
    <row r="73" spans="1:6" s="1105" customFormat="1" ht="24">
      <c r="A73" s="1154">
        <v>13</v>
      </c>
      <c r="B73" s="3454"/>
      <c r="C73" s="1068" t="s">
        <v>1525</v>
      </c>
      <c r="D73" s="1068" t="s">
        <v>1526</v>
      </c>
      <c r="E73" s="1139">
        <v>0.4</v>
      </c>
      <c r="F73" s="1154">
        <v>60</v>
      </c>
    </row>
    <row r="74" spans="1:6" s="1105" customFormat="1" ht="24">
      <c r="A74" s="1154">
        <v>14</v>
      </c>
      <c r="B74" s="3454"/>
      <c r="C74" s="1068" t="s">
        <v>1527</v>
      </c>
      <c r="D74" s="1068" t="s">
        <v>1528</v>
      </c>
      <c r="E74" s="1139">
        <v>0.2</v>
      </c>
      <c r="F74" s="1154">
        <v>30</v>
      </c>
    </row>
    <row r="75" spans="1:6" s="1105" customFormat="1" ht="24">
      <c r="A75" s="1154">
        <v>15</v>
      </c>
      <c r="B75" s="3454"/>
      <c r="C75" s="1068" t="s">
        <v>1529</v>
      </c>
      <c r="D75" s="1068" t="s">
        <v>1530</v>
      </c>
      <c r="E75" s="1139">
        <v>0.2</v>
      </c>
      <c r="F75" s="1154">
        <v>30</v>
      </c>
    </row>
    <row r="76" spans="1:6" s="1105" customFormat="1" ht="24">
      <c r="A76" s="1154">
        <v>16</v>
      </c>
      <c r="B76" s="3454" t="s">
        <v>1531</v>
      </c>
      <c r="C76" s="1068" t="s">
        <v>1532</v>
      </c>
      <c r="D76" s="1068" t="s">
        <v>1533</v>
      </c>
      <c r="E76" s="1139">
        <v>0.5</v>
      </c>
      <c r="F76" s="1154">
        <v>80</v>
      </c>
    </row>
    <row r="77" spans="1:6" s="1105" customFormat="1" ht="24">
      <c r="A77" s="1154">
        <v>17</v>
      </c>
      <c r="B77" s="3454"/>
      <c r="C77" s="1068" t="s">
        <v>1534</v>
      </c>
      <c r="D77" s="1068" t="s">
        <v>1535</v>
      </c>
      <c r="E77" s="1139">
        <v>0.5</v>
      </c>
      <c r="F77" s="1154">
        <v>80</v>
      </c>
    </row>
    <row r="78" spans="1:6" s="1105" customFormat="1" ht="24">
      <c r="A78" s="1154">
        <v>18</v>
      </c>
      <c r="B78" s="3454"/>
      <c r="C78" s="1068" t="s">
        <v>1536</v>
      </c>
      <c r="D78" s="1068" t="s">
        <v>1537</v>
      </c>
      <c r="E78" s="1139">
        <v>0.2</v>
      </c>
      <c r="F78" s="1154">
        <v>30</v>
      </c>
    </row>
    <row r="79" spans="1:6" s="1105" customFormat="1" ht="24">
      <c r="A79" s="1154">
        <v>19</v>
      </c>
      <c r="B79" s="3454"/>
      <c r="C79" s="1068" t="s">
        <v>1538</v>
      </c>
      <c r="D79" s="1068" t="s">
        <v>1539</v>
      </c>
      <c r="E79" s="1139">
        <v>0.5</v>
      </c>
      <c r="F79" s="1154">
        <v>80</v>
      </c>
    </row>
    <row r="80" spans="1:6" s="1105" customFormat="1" ht="36">
      <c r="A80" s="1154">
        <v>20</v>
      </c>
      <c r="B80" s="3454"/>
      <c r="C80" s="1068" t="s">
        <v>1540</v>
      </c>
      <c r="D80" s="1068" t="s">
        <v>1541</v>
      </c>
      <c r="E80" s="1139">
        <v>0.2</v>
      </c>
      <c r="F80" s="1154">
        <v>30</v>
      </c>
    </row>
    <row r="81" spans="1:6" s="1105" customFormat="1" ht="36">
      <c r="A81" s="1154">
        <v>21</v>
      </c>
      <c r="B81" s="3454"/>
      <c r="C81" s="1068" t="s">
        <v>1542</v>
      </c>
      <c r="D81" s="1068" t="s">
        <v>1543</v>
      </c>
      <c r="E81" s="1139">
        <v>0.2</v>
      </c>
      <c r="F81" s="1154">
        <v>30</v>
      </c>
    </row>
    <row r="82" spans="1:6" s="1105" customFormat="1" ht="48">
      <c r="A82" s="1154">
        <v>22</v>
      </c>
      <c r="B82" s="3454"/>
      <c r="C82" s="1068" t="s">
        <v>1544</v>
      </c>
      <c r="D82" s="1068" t="s">
        <v>1545</v>
      </c>
      <c r="E82" s="1139">
        <v>0.2</v>
      </c>
      <c r="F82" s="1154">
        <v>30</v>
      </c>
    </row>
    <row r="83" spans="1:6" s="1105" customFormat="1" ht="48">
      <c r="A83" s="1154">
        <v>23</v>
      </c>
      <c r="B83" s="3454"/>
      <c r="C83" s="1068" t="s">
        <v>1546</v>
      </c>
      <c r="D83" s="1068" t="s">
        <v>1547</v>
      </c>
      <c r="E83" s="1139">
        <v>0.2</v>
      </c>
      <c r="F83" s="1154">
        <v>30</v>
      </c>
    </row>
    <row r="84" spans="1:6" s="1105" customFormat="1" ht="36">
      <c r="A84" s="1154">
        <v>24</v>
      </c>
      <c r="B84" s="3454"/>
      <c r="C84" s="1068" t="s">
        <v>1548</v>
      </c>
      <c r="D84" s="1068" t="s">
        <v>1549</v>
      </c>
      <c r="E84" s="1139">
        <v>0.2</v>
      </c>
      <c r="F84" s="1154">
        <v>30</v>
      </c>
    </row>
    <row r="85" spans="1:6" s="1105" customFormat="1" ht="36">
      <c r="A85" s="1154">
        <v>25</v>
      </c>
      <c r="B85" s="3454"/>
      <c r="C85" s="1068" t="s">
        <v>1550</v>
      </c>
      <c r="D85" s="1068" t="s">
        <v>1551</v>
      </c>
      <c r="E85" s="1139">
        <v>0.5</v>
      </c>
      <c r="F85" s="1154">
        <v>80</v>
      </c>
    </row>
    <row r="86" spans="1:6" s="1105" customFormat="1" ht="36">
      <c r="A86" s="1154">
        <v>26</v>
      </c>
      <c r="B86" s="3454"/>
      <c r="C86" s="1068" t="s">
        <v>1552</v>
      </c>
      <c r="D86" s="1068" t="s">
        <v>1553</v>
      </c>
      <c r="E86" s="1139">
        <v>0.2</v>
      </c>
      <c r="F86" s="1154">
        <v>30</v>
      </c>
    </row>
    <row r="87" spans="1:6" s="1105" customFormat="1" ht="36">
      <c r="A87" s="1154">
        <v>27</v>
      </c>
      <c r="B87" s="3454"/>
      <c r="C87" s="1068" t="s">
        <v>1554</v>
      </c>
      <c r="D87" s="1068" t="s">
        <v>1555</v>
      </c>
      <c r="E87" s="1139">
        <v>0.2</v>
      </c>
      <c r="F87" s="1154">
        <v>30</v>
      </c>
    </row>
    <row r="88" spans="1:6" s="1105" customFormat="1" ht="36">
      <c r="A88" s="1154">
        <v>28</v>
      </c>
      <c r="B88" s="3454"/>
      <c r="C88" s="1068" t="s">
        <v>1556</v>
      </c>
      <c r="D88" s="1068" t="s">
        <v>1557</v>
      </c>
      <c r="E88" s="1139">
        <v>0.2</v>
      </c>
      <c r="F88" s="1154">
        <v>30</v>
      </c>
    </row>
    <row r="89" spans="1:6" s="1105" customFormat="1" ht="24">
      <c r="A89" s="1154">
        <v>29</v>
      </c>
      <c r="B89" s="3454"/>
      <c r="C89" s="1068" t="s">
        <v>1558</v>
      </c>
      <c r="D89" s="1068" t="s">
        <v>1559</v>
      </c>
      <c r="E89" s="1139">
        <v>0.2</v>
      </c>
      <c r="F89" s="1154">
        <v>30</v>
      </c>
    </row>
    <row r="90" spans="1:6" s="1105" customFormat="1" ht="24">
      <c r="A90" s="1154">
        <v>30</v>
      </c>
      <c r="B90" s="3454"/>
      <c r="C90" s="1068" t="s">
        <v>1560</v>
      </c>
      <c r="D90" s="1068" t="s">
        <v>1561</v>
      </c>
      <c r="E90" s="1139">
        <v>0.2</v>
      </c>
      <c r="F90" s="1154">
        <v>30</v>
      </c>
    </row>
    <row r="91" spans="1:6" s="1105" customFormat="1" ht="36">
      <c r="A91" s="1154">
        <v>31</v>
      </c>
      <c r="B91" s="3454"/>
      <c r="C91" s="1068" t="s">
        <v>1562</v>
      </c>
      <c r="D91" s="1068" t="s">
        <v>1563</v>
      </c>
      <c r="E91" s="1139">
        <v>0.2</v>
      </c>
      <c r="F91" s="1154">
        <v>30</v>
      </c>
    </row>
    <row r="92" spans="1:6" s="1105" customFormat="1" ht="24">
      <c r="A92" s="1154">
        <v>32</v>
      </c>
      <c r="B92" s="3454" t="s">
        <v>1564</v>
      </c>
      <c r="C92" s="1154" t="s">
        <v>1565</v>
      </c>
      <c r="D92" s="1068" t="s">
        <v>1566</v>
      </c>
      <c r="E92" s="1139">
        <v>0.2</v>
      </c>
      <c r="F92" s="1154">
        <v>30</v>
      </c>
    </row>
    <row r="93" spans="1:6" s="1105" customFormat="1" ht="36">
      <c r="A93" s="1154">
        <v>33</v>
      </c>
      <c r="B93" s="3454"/>
      <c r="C93" s="1154" t="s">
        <v>1567</v>
      </c>
      <c r="D93" s="1068" t="s">
        <v>1568</v>
      </c>
      <c r="E93" s="1139">
        <v>0.2</v>
      </c>
      <c r="F93" s="1154">
        <v>30</v>
      </c>
    </row>
    <row r="94" spans="1:6" s="1105" customFormat="1" ht="48">
      <c r="A94" s="1154">
        <v>34</v>
      </c>
      <c r="B94" s="3454"/>
      <c r="C94" s="1154" t="s">
        <v>1569</v>
      </c>
      <c r="D94" s="1068" t="s">
        <v>1570</v>
      </c>
      <c r="E94" s="1139">
        <v>0.2</v>
      </c>
      <c r="F94" s="1154">
        <v>30</v>
      </c>
    </row>
    <row r="95" spans="1:6" s="1105" customFormat="1" ht="36">
      <c r="A95" s="1154">
        <v>35</v>
      </c>
      <c r="B95" s="3454"/>
      <c r="C95" s="1154" t="s">
        <v>1571</v>
      </c>
      <c r="D95" s="1068" t="s">
        <v>1572</v>
      </c>
      <c r="E95" s="1139">
        <v>0.2</v>
      </c>
      <c r="F95" s="1154">
        <v>30</v>
      </c>
    </row>
    <row r="96" spans="1:6" s="1105" customFormat="1" ht="48">
      <c r="A96" s="1154">
        <v>36</v>
      </c>
      <c r="B96" s="3454"/>
      <c r="C96" s="1068" t="s">
        <v>1573</v>
      </c>
      <c r="D96" s="1068" t="s">
        <v>1574</v>
      </c>
      <c r="E96" s="1139">
        <v>0.2</v>
      </c>
      <c r="F96" s="1154">
        <v>30</v>
      </c>
    </row>
    <row r="97" spans="1:6" s="1105" customFormat="1" ht="36">
      <c r="A97" s="1154">
        <v>37</v>
      </c>
      <c r="B97" s="3454"/>
      <c r="C97" s="1154" t="s">
        <v>1575</v>
      </c>
      <c r="D97" s="1068" t="s">
        <v>1576</v>
      </c>
      <c r="E97" s="1139">
        <v>0.2</v>
      </c>
      <c r="F97" s="1154">
        <v>30</v>
      </c>
    </row>
    <row r="98" spans="1:6" s="1105" customFormat="1" ht="36">
      <c r="A98" s="1154">
        <v>38</v>
      </c>
      <c r="B98" s="3454"/>
      <c r="C98" s="1154" t="s">
        <v>1577</v>
      </c>
      <c r="D98" s="1068" t="s">
        <v>1578</v>
      </c>
      <c r="E98" s="1139">
        <v>0.2</v>
      </c>
      <c r="F98" s="1154">
        <v>30</v>
      </c>
    </row>
    <row r="99" spans="1:6" s="1105" customFormat="1" ht="36">
      <c r="A99" s="1154">
        <v>39</v>
      </c>
      <c r="B99" s="3454" t="s">
        <v>1579</v>
      </c>
      <c r="C99" s="1154" t="s">
        <v>1580</v>
      </c>
      <c r="D99" s="1068" t="s">
        <v>1581</v>
      </c>
      <c r="E99" s="1139">
        <v>0.3</v>
      </c>
      <c r="F99" s="1154">
        <v>50</v>
      </c>
    </row>
    <row r="100" spans="1:6" s="1105" customFormat="1" ht="24">
      <c r="A100" s="1154">
        <v>40</v>
      </c>
      <c r="B100" s="3454"/>
      <c r="C100" s="1154" t="s">
        <v>1582</v>
      </c>
      <c r="D100" s="1068" t="s">
        <v>1583</v>
      </c>
      <c r="E100" s="1139">
        <v>0.2</v>
      </c>
      <c r="F100" s="1154">
        <v>30</v>
      </c>
    </row>
    <row r="101" spans="1:6" s="1105" customFormat="1" ht="36">
      <c r="A101" s="1154">
        <v>41</v>
      </c>
      <c r="B101" s="3454"/>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454" t="s">
        <v>1594</v>
      </c>
      <c r="C105" s="1154" t="s">
        <v>1595</v>
      </c>
      <c r="D105" s="1068" t="s">
        <v>1596</v>
      </c>
      <c r="E105" s="1139">
        <v>0.2</v>
      </c>
      <c r="F105" s="1154">
        <v>30</v>
      </c>
    </row>
    <row r="106" spans="1:6" s="1105" customFormat="1" ht="36">
      <c r="A106" s="1154">
        <v>46</v>
      </c>
      <c r="B106" s="3454"/>
      <c r="C106" s="1154" t="s">
        <v>1597</v>
      </c>
      <c r="D106" s="1068" t="s">
        <v>1598</v>
      </c>
      <c r="E106" s="1139">
        <v>0.2</v>
      </c>
      <c r="F106" s="1154">
        <v>30</v>
      </c>
    </row>
    <row r="107" spans="1:6" s="1105" customFormat="1" ht="36">
      <c r="A107" s="1154">
        <v>47</v>
      </c>
      <c r="B107" s="3454" t="s">
        <v>1599</v>
      </c>
      <c r="C107" s="1154" t="s">
        <v>1600</v>
      </c>
      <c r="D107" s="1068" t="s">
        <v>1601</v>
      </c>
      <c r="E107" s="1139">
        <v>0.3</v>
      </c>
      <c r="F107" s="1154">
        <v>50</v>
      </c>
    </row>
    <row r="108" spans="1:6" s="1105" customFormat="1" ht="36">
      <c r="A108" s="1154">
        <v>48</v>
      </c>
      <c r="B108" s="3454"/>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454" t="s">
        <v>1610</v>
      </c>
      <c r="C111" s="1154" t="s">
        <v>1611</v>
      </c>
      <c r="D111" s="1068" t="s">
        <v>1612</v>
      </c>
      <c r="E111" s="1139">
        <v>0.2</v>
      </c>
      <c r="F111" s="1154">
        <v>30</v>
      </c>
    </row>
    <row r="112" spans="1:6" s="1105" customFormat="1" ht="24">
      <c r="A112" s="1154">
        <v>52</v>
      </c>
      <c r="B112" s="3454"/>
      <c r="C112" s="1154" t="s">
        <v>1613</v>
      </c>
      <c r="D112" s="1068" t="s">
        <v>1614</v>
      </c>
      <c r="E112" s="1139">
        <v>0.2</v>
      </c>
      <c r="F112" s="1154">
        <v>30</v>
      </c>
    </row>
    <row r="113" spans="1:14" s="1105" customFormat="1" ht="24">
      <c r="A113" s="1154">
        <v>53</v>
      </c>
      <c r="B113" s="3454"/>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454" t="s">
        <v>1623</v>
      </c>
      <c r="C116" s="1154" t="s">
        <v>1624</v>
      </c>
      <c r="D116" s="1068" t="s">
        <v>1625</v>
      </c>
      <c r="E116" s="1139">
        <v>0.2</v>
      </c>
      <c r="F116" s="1154">
        <v>30</v>
      </c>
    </row>
    <row r="117" spans="1:14" ht="36">
      <c r="A117" s="1154">
        <v>57</v>
      </c>
      <c r="B117" s="3454"/>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453" t="s">
        <v>1632</v>
      </c>
      <c r="B121" s="3453"/>
      <c r="C121" s="3453"/>
      <c r="D121" s="3453"/>
      <c r="E121" s="3453"/>
      <c r="F121" s="3453"/>
      <c r="G121" s="3453"/>
      <c r="H121" s="3453"/>
      <c r="I121" s="3453"/>
      <c r="J121" s="345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8" t="s">
        <v>1038</v>
      </c>
      <c r="B1" s="3458"/>
      <c r="C1" s="3458"/>
      <c r="D1" s="3458"/>
      <c r="E1" s="3458"/>
      <c r="F1" s="3458"/>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459" t="s">
        <v>1051</v>
      </c>
      <c r="B2" s="3459"/>
      <c r="C2" s="3459"/>
      <c r="D2" s="3459"/>
      <c r="E2" s="3459"/>
      <c r="F2" s="3459"/>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460"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461"/>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2" t="s">
        <v>2078</v>
      </c>
      <c r="B1" s="3462"/>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1095</v>
      </c>
      <c r="B6" s="1859" t="s">
        <v>2087</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2088</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2089</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2090</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2091</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2092</v>
      </c>
      <c r="C72" s="1869"/>
      <c r="D72" s="1869"/>
      <c r="E72" s="1869"/>
      <c r="F72" s="1861">
        <v>0.05</v>
      </c>
    </row>
    <row r="73" spans="1:6" ht="14.25" thickBot="1">
      <c r="A73" s="1855" t="s">
        <v>923</v>
      </c>
      <c r="B73" s="1859" t="s">
        <v>2093</v>
      </c>
      <c r="C73" s="1869"/>
      <c r="D73" s="1869"/>
      <c r="E73" s="1869"/>
      <c r="F73" s="1861">
        <v>0.05</v>
      </c>
    </row>
    <row r="74" spans="1:6" ht="14.25" thickBot="1">
      <c r="A74" s="1855" t="s">
        <v>923</v>
      </c>
      <c r="B74" s="1859" t="s">
        <v>2094</v>
      </c>
      <c r="C74" s="1869"/>
      <c r="D74" s="1869"/>
      <c r="E74" s="1869"/>
      <c r="F74" s="1861">
        <v>0.05</v>
      </c>
    </row>
    <row r="75" spans="1:6" ht="14.25" thickBot="1">
      <c r="A75" s="1863" t="s">
        <v>923</v>
      </c>
      <c r="B75" s="1870" t="s">
        <v>2095</v>
      </c>
      <c r="C75" s="1866"/>
      <c r="D75" s="1866"/>
      <c r="E75" s="1866"/>
      <c r="F75" s="1871">
        <v>0.05</v>
      </c>
    </row>
    <row r="76" spans="1:6" ht="14.25" thickBot="1">
      <c r="A76" s="1855" t="s">
        <v>1406</v>
      </c>
      <c r="B76" s="1856" t="s">
        <v>2096</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2097</v>
      </c>
      <c r="C102" s="1869"/>
      <c r="D102" s="1869"/>
      <c r="E102" s="1869"/>
      <c r="F102" s="1861">
        <v>0.05</v>
      </c>
    </row>
    <row r="103" spans="1:6" ht="24.75" thickBot="1">
      <c r="A103" s="1855" t="s">
        <v>1406</v>
      </c>
      <c r="B103" s="1859" t="s">
        <v>2098</v>
      </c>
      <c r="C103" s="1869"/>
      <c r="D103" s="1869"/>
      <c r="E103" s="1869"/>
      <c r="F103" s="1861">
        <v>0.05</v>
      </c>
    </row>
    <row r="104" spans="1:6" ht="14.25" thickBot="1">
      <c r="A104" s="1855" t="s">
        <v>1406</v>
      </c>
      <c r="B104" s="1859" t="s">
        <v>2099</v>
      </c>
      <c r="C104" s="1869"/>
      <c r="D104" s="1869"/>
      <c r="E104" s="1869"/>
      <c r="F104" s="1861">
        <v>0.05</v>
      </c>
    </row>
    <row r="105" spans="1:6" ht="14.25" thickBot="1">
      <c r="A105" s="1855" t="s">
        <v>1406</v>
      </c>
      <c r="B105" s="1859" t="s">
        <v>2100</v>
      </c>
      <c r="C105" s="1869"/>
      <c r="D105" s="1869"/>
      <c r="E105" s="1869"/>
      <c r="F105" s="1861">
        <v>0.05</v>
      </c>
    </row>
    <row r="106" spans="1:6" ht="14.25" thickBot="1">
      <c r="A106" s="1855" t="s">
        <v>1406</v>
      </c>
      <c r="B106" s="1859" t="s">
        <v>2101</v>
      </c>
      <c r="C106" s="1869"/>
      <c r="D106" s="1869"/>
      <c r="E106" s="1869"/>
      <c r="F106" s="1861">
        <v>0.05</v>
      </c>
    </row>
    <row r="107" spans="1:6" ht="24.75" thickBot="1">
      <c r="A107" s="1855" t="s">
        <v>1406</v>
      </c>
      <c r="B107" s="1859" t="s">
        <v>2102</v>
      </c>
      <c r="C107" s="1869"/>
      <c r="D107" s="1869"/>
      <c r="E107" s="1869"/>
      <c r="F107" s="1861">
        <v>0.05</v>
      </c>
    </row>
    <row r="108" spans="1:6" ht="24.75" thickBot="1">
      <c r="A108" s="1855" t="s">
        <v>1406</v>
      </c>
      <c r="B108" s="1859" t="s">
        <v>2103</v>
      </c>
      <c r="C108" s="1869"/>
      <c r="D108" s="1869"/>
      <c r="E108" s="1869"/>
      <c r="F108" s="1861">
        <v>0.05</v>
      </c>
    </row>
    <row r="109" spans="1:6" ht="24.75" thickBot="1">
      <c r="A109" s="1863" t="s">
        <v>1406</v>
      </c>
      <c r="B109" s="1870" t="s">
        <v>2104</v>
      </c>
      <c r="C109" s="1866"/>
      <c r="D109" s="1866"/>
      <c r="E109" s="1866"/>
      <c r="F109" s="1871">
        <v>0.05</v>
      </c>
    </row>
    <row r="110" spans="1:6" ht="14.25" thickBot="1">
      <c r="A110" s="1855" t="s">
        <v>1408</v>
      </c>
      <c r="B110" s="1856" t="s">
        <v>2105</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2106</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2107</v>
      </c>
      <c r="C138" s="1860">
        <v>0.105</v>
      </c>
      <c r="D138" s="1860">
        <v>0.125</v>
      </c>
      <c r="E138" s="1860">
        <v>0.112</v>
      </c>
      <c r="F138" s="1868"/>
    </row>
    <row r="139" spans="1:6" ht="14.25" thickBot="1">
      <c r="A139" s="1855" t="s">
        <v>1408</v>
      </c>
      <c r="B139" s="1859" t="s">
        <v>2108</v>
      </c>
      <c r="C139" s="1860">
        <v>0.127</v>
      </c>
      <c r="D139" s="1860">
        <v>0.127</v>
      </c>
      <c r="E139" s="1860">
        <v>0.122</v>
      </c>
      <c r="F139" s="1861">
        <v>0.13</v>
      </c>
    </row>
    <row r="140" spans="1:6" ht="14.25" thickBot="1">
      <c r="A140" s="1855" t="s">
        <v>1408</v>
      </c>
      <c r="B140" s="1859" t="s">
        <v>2109</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2110</v>
      </c>
      <c r="C144" s="1873">
        <v>0.126</v>
      </c>
      <c r="D144" s="1873">
        <v>0.126</v>
      </c>
      <c r="E144" s="1873">
        <v>0.121</v>
      </c>
      <c r="F144" s="1868"/>
    </row>
    <row r="145" spans="1:6" ht="14.25" thickBot="1">
      <c r="A145" s="1863" t="s">
        <v>1408</v>
      </c>
      <c r="B145" s="1874" t="s">
        <v>2111</v>
      </c>
      <c r="C145" s="1875"/>
      <c r="D145" s="1875"/>
      <c r="E145" s="1875"/>
      <c r="F145" s="1876">
        <v>0.05</v>
      </c>
    </row>
    <row r="146" spans="1:6" ht="24.75" thickBot="1">
      <c r="A146" s="1877" t="s">
        <v>1408</v>
      </c>
      <c r="B146" s="1862" t="s">
        <v>2112</v>
      </c>
      <c r="C146" s="1869"/>
      <c r="D146" s="1869"/>
      <c r="E146" s="1869"/>
      <c r="F146" s="1878">
        <v>0.05</v>
      </c>
    </row>
    <row r="147" spans="1:6" ht="24.75" thickBot="1">
      <c r="A147" s="1855" t="s">
        <v>1408</v>
      </c>
      <c r="B147" s="1859" t="s">
        <v>2113</v>
      </c>
      <c r="C147" s="1869"/>
      <c r="D147" s="1869"/>
      <c r="E147" s="1869"/>
      <c r="F147" s="1861">
        <v>0.05</v>
      </c>
    </row>
    <row r="148" spans="1:6" ht="24.75" thickBot="1">
      <c r="A148" s="1855" t="s">
        <v>1408</v>
      </c>
      <c r="B148" s="1859" t="s">
        <v>2114</v>
      </c>
      <c r="C148" s="1869"/>
      <c r="D148" s="1869"/>
      <c r="E148" s="1869"/>
      <c r="F148" s="1861">
        <v>0.05</v>
      </c>
    </row>
    <row r="149" spans="1:6" ht="24.75" thickBot="1">
      <c r="A149" s="1855" t="s">
        <v>1408</v>
      </c>
      <c r="B149" s="1859" t="s">
        <v>2115</v>
      </c>
      <c r="C149" s="1869"/>
      <c r="D149" s="1869"/>
      <c r="E149" s="1869"/>
      <c r="F149" s="1861">
        <v>0.05</v>
      </c>
    </row>
    <row r="150" spans="1:6" ht="24.75" thickBot="1">
      <c r="A150" s="1855" t="s">
        <v>1408</v>
      </c>
      <c r="B150" s="1859" t="s">
        <v>2116</v>
      </c>
      <c r="C150" s="1869"/>
      <c r="D150" s="1869"/>
      <c r="E150" s="1869"/>
      <c r="F150" s="1861">
        <v>0.05</v>
      </c>
    </row>
    <row r="151" spans="1:6" ht="24.75" thickBot="1">
      <c r="A151" s="1855" t="s">
        <v>1408</v>
      </c>
      <c r="B151" s="1859" t="s">
        <v>2117</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2118</v>
      </c>
      <c r="C153" s="1869"/>
      <c r="D153" s="1869"/>
      <c r="E153" s="1869"/>
      <c r="F153" s="1861">
        <v>0.05</v>
      </c>
    </row>
    <row r="154" spans="1:6" ht="14.25" thickBot="1">
      <c r="A154" s="1855" t="s">
        <v>1408</v>
      </c>
      <c r="B154" s="1859" t="s">
        <v>2119</v>
      </c>
      <c r="C154" s="1869"/>
      <c r="D154" s="1869"/>
      <c r="E154" s="1869"/>
      <c r="F154" s="1861">
        <v>0.05</v>
      </c>
    </row>
    <row r="155" spans="1:6" ht="24.75" thickBot="1">
      <c r="A155" s="1855" t="s">
        <v>1408</v>
      </c>
      <c r="B155" s="1859" t="s">
        <v>2120</v>
      </c>
      <c r="C155" s="1869"/>
      <c r="D155" s="1869"/>
      <c r="E155" s="1869"/>
      <c r="F155" s="1861">
        <v>0.05</v>
      </c>
    </row>
    <row r="156" spans="1:6" ht="24.75" thickBot="1">
      <c r="A156" s="1855" t="s">
        <v>1408</v>
      </c>
      <c r="B156" s="1859" t="s">
        <v>2121</v>
      </c>
      <c r="C156" s="1869"/>
      <c r="D156" s="1869"/>
      <c r="E156" s="1869"/>
      <c r="F156" s="1861">
        <v>0.05</v>
      </c>
    </row>
    <row r="157" spans="1:6" ht="14.25" thickBot="1">
      <c r="A157" s="1863" t="s">
        <v>1408</v>
      </c>
      <c r="B157" s="1870" t="s">
        <v>2122</v>
      </c>
      <c r="C157" s="1866"/>
      <c r="D157" s="1866"/>
      <c r="E157" s="1866"/>
      <c r="F157" s="1871">
        <v>0.05</v>
      </c>
    </row>
    <row r="158" spans="1:6" ht="14.25" thickBot="1">
      <c r="A158" s="1855" t="s">
        <v>1410</v>
      </c>
      <c r="B158" s="1856" t="s">
        <v>2123</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2124</v>
      </c>
      <c r="C171" s="1860">
        <v>0.127</v>
      </c>
      <c r="D171" s="1860">
        <v>0.126</v>
      </c>
      <c r="E171" s="1860">
        <v>0.126</v>
      </c>
      <c r="F171" s="1861">
        <v>0.11799999999999999</v>
      </c>
    </row>
    <row r="172" spans="1:6" ht="14.25" thickBot="1">
      <c r="A172" s="1855" t="s">
        <v>1410</v>
      </c>
      <c r="B172" s="1859" t="s">
        <v>2125</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2126</v>
      </c>
      <c r="C174" s="1860">
        <v>0.13</v>
      </c>
      <c r="D174" s="1860">
        <v>0.13</v>
      </c>
      <c r="E174" s="1860">
        <v>0.13</v>
      </c>
      <c r="F174" s="1861">
        <v>0.13</v>
      </c>
    </row>
    <row r="175" spans="1:6" ht="14.25" thickBot="1">
      <c r="A175" s="1855" t="s">
        <v>1410</v>
      </c>
      <c r="B175" s="1859" t="s">
        <v>2127</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2128</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2129</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2130</v>
      </c>
      <c r="C185" s="1860">
        <v>0.127</v>
      </c>
      <c r="D185" s="1860">
        <v>0.127</v>
      </c>
      <c r="E185" s="1860">
        <v>0.128</v>
      </c>
      <c r="F185" s="1861">
        <v>0.13</v>
      </c>
    </row>
    <row r="186" spans="1:6" ht="24.75" thickBot="1">
      <c r="A186" s="1855" t="s">
        <v>1410</v>
      </c>
      <c r="B186" s="1859" t="s">
        <v>2131</v>
      </c>
      <c r="C186" s="1869"/>
      <c r="D186" s="1869"/>
      <c r="E186" s="1869"/>
      <c r="F186" s="1861">
        <v>0.05</v>
      </c>
    </row>
    <row r="187" spans="1:6" ht="14.25" thickBot="1">
      <c r="A187" s="1855" t="s">
        <v>1410</v>
      </c>
      <c r="B187" s="1859" t="s">
        <v>2132</v>
      </c>
      <c r="C187" s="1869"/>
      <c r="D187" s="1869"/>
      <c r="E187" s="1869"/>
      <c r="F187" s="1861">
        <v>0.05</v>
      </c>
    </row>
    <row r="188" spans="1:6" ht="14.25" thickBot="1">
      <c r="A188" s="1855" t="s">
        <v>1410</v>
      </c>
      <c r="B188" s="1859" t="s">
        <v>2133</v>
      </c>
      <c r="C188" s="1869"/>
      <c r="D188" s="1869"/>
      <c r="E188" s="1869"/>
      <c r="F188" s="1861">
        <v>0.05</v>
      </c>
    </row>
    <row r="189" spans="1:6" ht="24.75" thickBot="1">
      <c r="A189" s="1855" t="s">
        <v>1410</v>
      </c>
      <c r="B189" s="1859" t="s">
        <v>2134</v>
      </c>
      <c r="C189" s="1869"/>
      <c r="D189" s="1869"/>
      <c r="E189" s="1869"/>
      <c r="F189" s="1861">
        <v>0.05</v>
      </c>
    </row>
    <row r="190" spans="1:6" ht="24.75" thickBot="1">
      <c r="A190" s="1855" t="s">
        <v>1410</v>
      </c>
      <c r="B190" s="1859" t="s">
        <v>2135</v>
      </c>
      <c r="C190" s="1869"/>
      <c r="D190" s="1869"/>
      <c r="E190" s="1869"/>
      <c r="F190" s="1861">
        <v>0.05</v>
      </c>
    </row>
    <row r="191" spans="1:6" ht="24.75" thickBot="1">
      <c r="A191" s="1855" t="s">
        <v>1410</v>
      </c>
      <c r="B191" s="1859" t="s">
        <v>2136</v>
      </c>
      <c r="C191" s="1869"/>
      <c r="D191" s="1869"/>
      <c r="E191" s="1869"/>
      <c r="F191" s="1861">
        <v>0.05</v>
      </c>
    </row>
    <row r="192" spans="1:6" ht="24.75" thickBot="1">
      <c r="A192" s="1855" t="s">
        <v>1410</v>
      </c>
      <c r="B192" s="1859" t="s">
        <v>2137</v>
      </c>
      <c r="C192" s="1869"/>
      <c r="D192" s="1869"/>
      <c r="E192" s="1869"/>
      <c r="F192" s="1861">
        <v>0.05</v>
      </c>
    </row>
    <row r="193" spans="1:6" ht="24.75" thickBot="1">
      <c r="A193" s="1855" t="s">
        <v>1410</v>
      </c>
      <c r="B193" s="1859" t="s">
        <v>2138</v>
      </c>
      <c r="C193" s="1869"/>
      <c r="D193" s="1869"/>
      <c r="E193" s="1869"/>
      <c r="F193" s="1861">
        <v>0.05</v>
      </c>
    </row>
    <row r="194" spans="1:6" ht="24.75" thickBot="1">
      <c r="A194" s="1855" t="s">
        <v>1410</v>
      </c>
      <c r="B194" s="1859" t="s">
        <v>2139</v>
      </c>
      <c r="C194" s="1869"/>
      <c r="D194" s="1869"/>
      <c r="E194" s="1869"/>
      <c r="F194" s="1861">
        <v>0.05</v>
      </c>
    </row>
    <row r="195" spans="1:6" ht="14.25" thickBot="1">
      <c r="A195" s="1855" t="s">
        <v>1410</v>
      </c>
      <c r="B195" s="1859" t="s">
        <v>2140</v>
      </c>
      <c r="C195" s="1869"/>
      <c r="D195" s="1869"/>
      <c r="E195" s="1869"/>
      <c r="F195" s="1861">
        <v>0.05</v>
      </c>
    </row>
    <row r="196" spans="1:6" ht="24.75" thickBot="1">
      <c r="A196" s="1855" t="s">
        <v>1410</v>
      </c>
      <c r="B196" s="1859" t="s">
        <v>2141</v>
      </c>
      <c r="C196" s="1869"/>
      <c r="D196" s="1869"/>
      <c r="E196" s="1869"/>
      <c r="F196" s="1861">
        <v>0.05</v>
      </c>
    </row>
    <row r="197" spans="1:6" ht="24.75" thickBot="1">
      <c r="A197" s="1855" t="s">
        <v>1410</v>
      </c>
      <c r="B197" s="1859" t="s">
        <v>2142</v>
      </c>
      <c r="C197" s="1869"/>
      <c r="D197" s="1869"/>
      <c r="E197" s="1869"/>
      <c r="F197" s="1861">
        <v>0.05</v>
      </c>
    </row>
    <row r="198" spans="1:6" ht="24.75" thickBot="1">
      <c r="A198" s="1855" t="s">
        <v>1410</v>
      </c>
      <c r="B198" s="1859" t="s">
        <v>2143</v>
      </c>
      <c r="C198" s="1869"/>
      <c r="D198" s="1869"/>
      <c r="E198" s="1869"/>
      <c r="F198" s="1861">
        <v>0.05</v>
      </c>
    </row>
    <row r="199" spans="1:6" ht="24.75" thickBot="1">
      <c r="A199" s="1855" t="s">
        <v>1410</v>
      </c>
      <c r="B199" s="1859" t="s">
        <v>2144</v>
      </c>
      <c r="C199" s="1869"/>
      <c r="D199" s="1869"/>
      <c r="E199" s="1869"/>
      <c r="F199" s="1861">
        <v>0.05</v>
      </c>
    </row>
    <row r="200" spans="1:6" ht="24.75" thickBot="1">
      <c r="A200" s="1855" t="s">
        <v>1410</v>
      </c>
      <c r="B200" s="1859" t="s">
        <v>2145</v>
      </c>
      <c r="C200" s="1869"/>
      <c r="D200" s="1869"/>
      <c r="E200" s="1869"/>
      <c r="F200" s="1861">
        <v>0.05</v>
      </c>
    </row>
    <row r="201" spans="1:6" ht="24.75" thickBot="1">
      <c r="A201" s="1855" t="s">
        <v>1410</v>
      </c>
      <c r="B201" s="1859" t="s">
        <v>2146</v>
      </c>
      <c r="C201" s="1869"/>
      <c r="D201" s="1869"/>
      <c r="E201" s="1869"/>
      <c r="F201" s="1861">
        <v>0.05</v>
      </c>
    </row>
    <row r="202" spans="1:6" ht="24.75" thickBot="1">
      <c r="A202" s="1855" t="s">
        <v>1410</v>
      </c>
      <c r="B202" s="1859" t="s">
        <v>2147</v>
      </c>
      <c r="C202" s="1869"/>
      <c r="D202" s="1869"/>
      <c r="E202" s="1869"/>
      <c r="F202" s="1861">
        <v>0.05</v>
      </c>
    </row>
    <row r="203" spans="1:6" ht="24.75" thickBot="1">
      <c r="A203" s="1855" t="s">
        <v>1410</v>
      </c>
      <c r="B203" s="1859" t="s">
        <v>2148</v>
      </c>
      <c r="C203" s="1869"/>
      <c r="D203" s="1869"/>
      <c r="E203" s="1869"/>
      <c r="F203" s="1861">
        <v>0.05</v>
      </c>
    </row>
    <row r="204" spans="1:6" ht="14.25" thickBot="1">
      <c r="A204" s="1855" t="s">
        <v>1410</v>
      </c>
      <c r="B204" s="1859" t="s">
        <v>2149</v>
      </c>
      <c r="C204" s="1869"/>
      <c r="D204" s="1869"/>
      <c r="E204" s="1869"/>
      <c r="F204" s="1861">
        <v>0.05</v>
      </c>
    </row>
    <row r="205" spans="1:6" ht="14.25" thickBot="1">
      <c r="A205" s="1863" t="s">
        <v>1410</v>
      </c>
      <c r="B205" s="1870" t="s">
        <v>2150</v>
      </c>
      <c r="C205" s="1866"/>
      <c r="D205" s="1866"/>
      <c r="E205" s="1866"/>
      <c r="F205" s="1871">
        <v>0.05</v>
      </c>
    </row>
    <row r="206" spans="1:6" ht="14.25" thickBot="1">
      <c r="A206" s="1855" t="s">
        <v>1412</v>
      </c>
      <c r="B206" s="1856" t="s">
        <v>2151</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2152</v>
      </c>
      <c r="C210" s="1860">
        <v>0.15</v>
      </c>
      <c r="D210" s="1860">
        <v>0.15</v>
      </c>
      <c r="E210" s="1860">
        <v>0.15</v>
      </c>
      <c r="F210" s="1861">
        <v>0.13800000000000001</v>
      </c>
    </row>
    <row r="211" spans="1:6" ht="14.25" thickBot="1">
      <c r="A211" s="1855" t="s">
        <v>1412</v>
      </c>
      <c r="B211" s="1859" t="s">
        <v>2153</v>
      </c>
      <c r="C211" s="1860">
        <v>0.13700000000000001</v>
      </c>
      <c r="D211" s="1860">
        <v>0.13500000000000001</v>
      </c>
      <c r="E211" s="1860">
        <v>0.13600000000000001</v>
      </c>
      <c r="F211" s="1861">
        <v>0.1</v>
      </c>
    </row>
    <row r="212" spans="1:6" ht="14.25" thickBot="1">
      <c r="A212" s="1855" t="s">
        <v>1412</v>
      </c>
      <c r="B212" s="1859" t="s">
        <v>2154</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2155</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2156</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2157</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2158</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2159</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2160</v>
      </c>
      <c r="C231" s="1860">
        <v>0.128</v>
      </c>
      <c r="D231" s="1860">
        <v>0.125</v>
      </c>
      <c r="E231" s="1860">
        <v>0.13200000000000001</v>
      </c>
      <c r="F231" s="1868"/>
    </row>
    <row r="232" spans="1:6" ht="14.25" thickBot="1">
      <c r="A232" s="1855" t="s">
        <v>1412</v>
      </c>
      <c r="B232" s="1859" t="s">
        <v>2161</v>
      </c>
      <c r="C232" s="1860">
        <v>0.14499999999999999</v>
      </c>
      <c r="D232" s="1860">
        <v>0.14399999999999999</v>
      </c>
      <c r="E232" s="1860">
        <v>0.14599999999999999</v>
      </c>
      <c r="F232" s="1861">
        <v>0.13800000000000001</v>
      </c>
    </row>
    <row r="233" spans="1:6" ht="14.25" thickBot="1">
      <c r="A233" s="1855" t="s">
        <v>1412</v>
      </c>
      <c r="B233" s="1859" t="s">
        <v>2162</v>
      </c>
      <c r="C233" s="1860">
        <v>0.14499999999999999</v>
      </c>
      <c r="D233" s="1860">
        <v>0.14299999999999999</v>
      </c>
      <c r="E233" s="1860">
        <v>0.14199999999999999</v>
      </c>
      <c r="F233" s="1868"/>
    </row>
    <row r="234" spans="1:6" ht="14.25" thickBot="1">
      <c r="A234" s="1855" t="s">
        <v>1412</v>
      </c>
      <c r="B234" s="1859" t="s">
        <v>2163</v>
      </c>
      <c r="C234" s="1860">
        <v>0.14000000000000001</v>
      </c>
      <c r="D234" s="1860">
        <v>0.14000000000000001</v>
      </c>
      <c r="E234" s="1860">
        <v>0.14399999999999999</v>
      </c>
      <c r="F234" s="1868"/>
    </row>
    <row r="235" spans="1:6" ht="14.25" thickBot="1">
      <c r="A235" s="1855" t="s">
        <v>1412</v>
      </c>
      <c r="B235" s="1859" t="s">
        <v>2164</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2165</v>
      </c>
      <c r="C237" s="1869"/>
      <c r="D237" s="1869"/>
      <c r="E237" s="1869"/>
      <c r="F237" s="1861">
        <v>0.05</v>
      </c>
    </row>
    <row r="238" spans="1:6" ht="24.75" thickBot="1">
      <c r="A238" s="1855" t="s">
        <v>1412</v>
      </c>
      <c r="B238" s="1859" t="s">
        <v>2166</v>
      </c>
      <c r="C238" s="1869"/>
      <c r="D238" s="1869"/>
      <c r="E238" s="1869"/>
      <c r="F238" s="1861">
        <v>0.05</v>
      </c>
    </row>
    <row r="239" spans="1:6" ht="24.75" thickBot="1">
      <c r="A239" s="1855" t="s">
        <v>1412</v>
      </c>
      <c r="B239" s="1859" t="s">
        <v>2167</v>
      </c>
      <c r="C239" s="1869"/>
      <c r="D239" s="1869"/>
      <c r="E239" s="1869"/>
      <c r="F239" s="1861">
        <v>0.05</v>
      </c>
    </row>
    <row r="240" spans="1:6" ht="24.75" thickBot="1">
      <c r="A240" s="1855" t="s">
        <v>1412</v>
      </c>
      <c r="B240" s="1859" t="s">
        <v>2168</v>
      </c>
      <c r="C240" s="1869"/>
      <c r="D240" s="1869"/>
      <c r="E240" s="1869"/>
      <c r="F240" s="1861">
        <v>0.05</v>
      </c>
    </row>
    <row r="241" spans="1:6" ht="24.75" thickBot="1">
      <c r="A241" s="1855" t="s">
        <v>1412</v>
      </c>
      <c r="B241" s="1859" t="s">
        <v>2169</v>
      </c>
      <c r="C241" s="1869"/>
      <c r="D241" s="1869"/>
      <c r="E241" s="1869"/>
      <c r="F241" s="1861">
        <v>0.05</v>
      </c>
    </row>
    <row r="242" spans="1:6" ht="24.75" thickBot="1">
      <c r="A242" s="1855" t="s">
        <v>1412</v>
      </c>
      <c r="B242" s="1859" t="s">
        <v>2170</v>
      </c>
      <c r="C242" s="1869"/>
      <c r="D242" s="1869"/>
      <c r="E242" s="1869"/>
      <c r="F242" s="1861">
        <v>0.05</v>
      </c>
    </row>
    <row r="243" spans="1:6" ht="24.75" thickBot="1">
      <c r="A243" s="1855" t="s">
        <v>1412</v>
      </c>
      <c r="B243" s="1859" t="s">
        <v>2171</v>
      </c>
      <c r="C243" s="1869"/>
      <c r="D243" s="1869"/>
      <c r="E243" s="1869"/>
      <c r="F243" s="1861">
        <v>0.05</v>
      </c>
    </row>
    <row r="244" spans="1:6" ht="24.75" thickBot="1">
      <c r="A244" s="1863" t="s">
        <v>1412</v>
      </c>
      <c r="B244" s="1870" t="s">
        <v>2172</v>
      </c>
      <c r="C244" s="1866"/>
      <c r="D244" s="1866"/>
      <c r="E244" s="1866"/>
      <c r="F244" s="1871">
        <v>0.05</v>
      </c>
    </row>
    <row r="245" spans="1:6" ht="14.25" thickBot="1">
      <c r="A245" s="1855" t="s">
        <v>1414</v>
      </c>
      <c r="B245" s="1856" t="s">
        <v>2173</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2174</v>
      </c>
      <c r="C247" s="1860">
        <v>0.15</v>
      </c>
      <c r="D247" s="1860">
        <v>0.15</v>
      </c>
      <c r="E247" s="1860">
        <v>0.15</v>
      </c>
      <c r="F247" s="1861">
        <v>0.15</v>
      </c>
    </row>
    <row r="248" spans="1:6" ht="14.25" thickBot="1">
      <c r="A248" s="1855" t="s">
        <v>1414</v>
      </c>
      <c r="B248" s="1859" t="s">
        <v>2175</v>
      </c>
      <c r="C248" s="1860">
        <v>0.15</v>
      </c>
      <c r="D248" s="1860">
        <v>0.15</v>
      </c>
      <c r="E248" s="1860">
        <v>0.15</v>
      </c>
      <c r="F248" s="1861">
        <v>0.14000000000000001</v>
      </c>
    </row>
    <row r="249" spans="1:6" ht="14.25" thickBot="1">
      <c r="A249" s="1855" t="s">
        <v>1414</v>
      </c>
      <c r="B249" s="1859" t="s">
        <v>2176</v>
      </c>
      <c r="C249" s="1860">
        <v>0.15</v>
      </c>
      <c r="D249" s="1860">
        <v>0.14899999999999999</v>
      </c>
      <c r="E249" s="1860">
        <v>0.15</v>
      </c>
      <c r="F249" s="1861">
        <v>0.1</v>
      </c>
    </row>
    <row r="250" spans="1:6" ht="14.25" thickBot="1">
      <c r="A250" s="1855" t="s">
        <v>1414</v>
      </c>
      <c r="B250" s="1859" t="s">
        <v>2177</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2178</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2179</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2180</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2181</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2182</v>
      </c>
      <c r="C273" s="1860">
        <v>0.14199999999999999</v>
      </c>
      <c r="D273" s="1860">
        <v>0.14299999999999999</v>
      </c>
      <c r="E273" s="1860">
        <v>0.15</v>
      </c>
      <c r="F273" s="1861">
        <v>0.1</v>
      </c>
    </row>
    <row r="274" spans="1:6" ht="14.25" thickBot="1">
      <c r="A274" s="1855" t="s">
        <v>1414</v>
      </c>
      <c r="B274" s="1859" t="s">
        <v>2183</v>
      </c>
      <c r="C274" s="1860">
        <v>0.14799999999999999</v>
      </c>
      <c r="D274" s="1860">
        <v>0.14799999999999999</v>
      </c>
      <c r="E274" s="1860">
        <v>0.15</v>
      </c>
      <c r="F274" s="1861">
        <v>6.7000000000000004E-2</v>
      </c>
    </row>
    <row r="275" spans="1:6" ht="14.25" thickBot="1">
      <c r="A275" s="1855" t="s">
        <v>1414</v>
      </c>
      <c r="B275" s="1859" t="s">
        <v>2184</v>
      </c>
      <c r="C275" s="1860">
        <v>0.15</v>
      </c>
      <c r="D275" s="1860">
        <v>0.15</v>
      </c>
      <c r="E275" s="1860">
        <v>0.15</v>
      </c>
      <c r="F275" s="1861">
        <v>0.15</v>
      </c>
    </row>
    <row r="276" spans="1:6" ht="14.25" thickBot="1">
      <c r="A276" s="1855" t="s">
        <v>1414</v>
      </c>
      <c r="B276" s="1859" t="s">
        <v>2185</v>
      </c>
      <c r="C276" s="1860">
        <v>0.14499999999999999</v>
      </c>
      <c r="D276" s="1860">
        <v>0.14299999999999999</v>
      </c>
      <c r="E276" s="1860">
        <v>0.15</v>
      </c>
      <c r="F276" s="1861">
        <v>5.8999999999999997E-2</v>
      </c>
    </row>
    <row r="277" spans="1:6" ht="14.25" thickBot="1">
      <c r="A277" s="1855" t="s">
        <v>1414</v>
      </c>
      <c r="B277" s="1859" t="s">
        <v>2186</v>
      </c>
      <c r="C277" s="1860">
        <v>0.15</v>
      </c>
      <c r="D277" s="1860">
        <v>0.15</v>
      </c>
      <c r="E277" s="1860">
        <v>0.15</v>
      </c>
      <c r="F277" s="1861">
        <v>0.121</v>
      </c>
    </row>
    <row r="278" spans="1:6" ht="14.25" thickBot="1">
      <c r="A278" s="1855" t="s">
        <v>1414</v>
      </c>
      <c r="B278" s="1859" t="s">
        <v>2187</v>
      </c>
      <c r="C278" s="1860">
        <v>0.15</v>
      </c>
      <c r="D278" s="1860">
        <v>0.15</v>
      </c>
      <c r="E278" s="1860">
        <v>0.15</v>
      </c>
      <c r="F278" s="1861">
        <v>0.13800000000000001</v>
      </c>
    </row>
    <row r="279" spans="1:6" ht="24.75" thickBot="1">
      <c r="A279" s="1855" t="s">
        <v>1414</v>
      </c>
      <c r="B279" s="1859" t="s">
        <v>2188</v>
      </c>
      <c r="C279" s="1869"/>
      <c r="D279" s="1869"/>
      <c r="E279" s="1869"/>
      <c r="F279" s="1861">
        <v>0.05</v>
      </c>
    </row>
    <row r="280" spans="1:6" ht="24.75" thickBot="1">
      <c r="A280" s="1855" t="s">
        <v>1414</v>
      </c>
      <c r="B280" s="1859" t="s">
        <v>2189</v>
      </c>
      <c r="C280" s="1869"/>
      <c r="D280" s="1869"/>
      <c r="E280" s="1869"/>
      <c r="F280" s="1861">
        <v>0.05</v>
      </c>
    </row>
    <row r="281" spans="1:6" ht="24.75" thickBot="1">
      <c r="A281" s="1855" t="s">
        <v>1414</v>
      </c>
      <c r="B281" s="1859" t="s">
        <v>2190</v>
      </c>
      <c r="C281" s="1869"/>
      <c r="D281" s="1869"/>
      <c r="E281" s="1869"/>
      <c r="F281" s="1861">
        <v>0.05</v>
      </c>
    </row>
    <row r="282" spans="1:6" ht="24.75" thickBot="1">
      <c r="A282" s="1855" t="s">
        <v>1414</v>
      </c>
      <c r="B282" s="1859" t="s">
        <v>2191</v>
      </c>
      <c r="C282" s="1869"/>
      <c r="D282" s="1869"/>
      <c r="E282" s="1869"/>
      <c r="F282" s="1861">
        <v>0.05</v>
      </c>
    </row>
    <row r="283" spans="1:6" ht="24.75" thickBot="1">
      <c r="A283" s="1855" t="s">
        <v>1414</v>
      </c>
      <c r="B283" s="1859" t="s">
        <v>2192</v>
      </c>
      <c r="C283" s="1869"/>
      <c r="D283" s="1869"/>
      <c r="E283" s="1869"/>
      <c r="F283" s="1861">
        <v>0.05</v>
      </c>
    </row>
    <row r="284" spans="1:6" ht="24.75" thickBot="1">
      <c r="A284" s="1855" t="s">
        <v>1414</v>
      </c>
      <c r="B284" s="1859" t="s">
        <v>2193</v>
      </c>
      <c r="C284" s="1869"/>
      <c r="D284" s="1869"/>
      <c r="E284" s="1869"/>
      <c r="F284" s="1861">
        <v>0.05</v>
      </c>
    </row>
    <row r="285" spans="1:6" ht="24.75" thickBot="1">
      <c r="A285" s="1855" t="s">
        <v>1414</v>
      </c>
      <c r="B285" s="1859" t="s">
        <v>2194</v>
      </c>
      <c r="C285" s="1869"/>
      <c r="D285" s="1869"/>
      <c r="E285" s="1869"/>
      <c r="F285" s="1861">
        <v>0.05</v>
      </c>
    </row>
    <row r="286" spans="1:6" ht="24.75" thickBot="1">
      <c r="A286" s="1855" t="s">
        <v>1414</v>
      </c>
      <c r="B286" s="1859" t="s">
        <v>2195</v>
      </c>
      <c r="C286" s="1869"/>
      <c r="D286" s="1869"/>
      <c r="E286" s="1869"/>
      <c r="F286" s="1861">
        <v>0.05</v>
      </c>
    </row>
    <row r="287" spans="1:6" ht="24.75" thickBot="1">
      <c r="A287" s="1855" t="s">
        <v>1414</v>
      </c>
      <c r="B287" s="1859" t="s">
        <v>2196</v>
      </c>
      <c r="C287" s="1869"/>
      <c r="D287" s="1869"/>
      <c r="E287" s="1869"/>
      <c r="F287" s="1861">
        <v>0.05</v>
      </c>
    </row>
    <row r="288" spans="1:6" ht="24.75" thickBot="1">
      <c r="A288" s="1855" t="s">
        <v>1414</v>
      </c>
      <c r="B288" s="1859" t="s">
        <v>2197</v>
      </c>
      <c r="C288" s="1869"/>
      <c r="D288" s="1869"/>
      <c r="E288" s="1869"/>
      <c r="F288" s="1861">
        <v>0.05</v>
      </c>
    </row>
    <row r="289" spans="1:6" ht="24.75" thickBot="1">
      <c r="A289" s="1863" t="s">
        <v>1414</v>
      </c>
      <c r="B289" s="1870" t="s">
        <v>2198</v>
      </c>
      <c r="C289" s="1866"/>
      <c r="D289" s="1866"/>
      <c r="E289" s="1866"/>
      <c r="F289" s="1871">
        <v>0.05</v>
      </c>
    </row>
    <row r="290" spans="1:6" ht="14.25" thickBot="1">
      <c r="A290" s="1855" t="s">
        <v>1418</v>
      </c>
      <c r="B290" s="1856" t="s">
        <v>2199</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2200</v>
      </c>
      <c r="C292" s="1860">
        <v>0.15</v>
      </c>
      <c r="D292" s="1860">
        <v>0.15</v>
      </c>
      <c r="E292" s="1860">
        <v>0.15</v>
      </c>
      <c r="F292" s="1861">
        <v>0.14699999999999999</v>
      </c>
    </row>
    <row r="293" spans="1:6" ht="14.25" thickBot="1">
      <c r="A293" s="1855" t="s">
        <v>1418</v>
      </c>
      <c r="B293" s="1859" t="s">
        <v>2201</v>
      </c>
      <c r="C293" s="1869"/>
      <c r="D293" s="1869"/>
      <c r="E293" s="1869"/>
      <c r="F293" s="1861">
        <v>0.1</v>
      </c>
    </row>
    <row r="294" spans="1:6" ht="14.25" thickBot="1">
      <c r="A294" s="1855" t="s">
        <v>1418</v>
      </c>
      <c r="B294" s="1859" t="s">
        <v>2202</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2203</v>
      </c>
      <c r="C296" s="1860">
        <v>0.15</v>
      </c>
      <c r="D296" s="1860">
        <v>0.15</v>
      </c>
      <c r="E296" s="1860">
        <v>0.15</v>
      </c>
      <c r="F296" s="1861">
        <v>0.15</v>
      </c>
    </row>
    <row r="297" spans="1:6" ht="14.25" thickBot="1">
      <c r="A297" s="1855" t="s">
        <v>1418</v>
      </c>
      <c r="B297" s="1859" t="s">
        <v>2204</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2205</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2206</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2207</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2208</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2209</v>
      </c>
      <c r="C310" s="1860">
        <v>0.15</v>
      </c>
      <c r="D310" s="1860">
        <v>0.15</v>
      </c>
      <c r="E310" s="1860">
        <v>0.15</v>
      </c>
      <c r="F310" s="1861">
        <v>0.13700000000000001</v>
      </c>
    </row>
    <row r="311" spans="1:6" ht="14.25" thickBot="1">
      <c r="A311" s="1855" t="s">
        <v>1418</v>
      </c>
      <c r="B311" s="1859" t="s">
        <v>2210</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2211</v>
      </c>
      <c r="C313" s="1860">
        <v>0.15</v>
      </c>
      <c r="D313" s="1860">
        <v>0.15</v>
      </c>
      <c r="E313" s="1860">
        <v>0.15</v>
      </c>
      <c r="F313" s="1861">
        <v>0.15</v>
      </c>
    </row>
    <row r="314" spans="1:6" ht="24.75" thickBot="1">
      <c r="A314" s="1855" t="s">
        <v>1418</v>
      </c>
      <c r="B314" s="1859" t="s">
        <v>2212</v>
      </c>
      <c r="C314" s="1869"/>
      <c r="D314" s="1869"/>
      <c r="E314" s="1869"/>
      <c r="F314" s="1861">
        <v>0.05</v>
      </c>
    </row>
    <row r="315" spans="1:6" ht="24.75" thickBot="1">
      <c r="A315" s="1855" t="s">
        <v>1418</v>
      </c>
      <c r="B315" s="1859" t="s">
        <v>2213</v>
      </c>
      <c r="C315" s="1869"/>
      <c r="D315" s="1869"/>
      <c r="E315" s="1869"/>
      <c r="F315" s="1861">
        <v>0.05</v>
      </c>
    </row>
    <row r="316" spans="1:6" ht="24.75" thickBot="1">
      <c r="A316" s="1863" t="s">
        <v>1418</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1106</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1175</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1195</v>
      </c>
      <c r="C328" s="1860">
        <v>0.15</v>
      </c>
      <c r="D328" s="1860">
        <v>0.15</v>
      </c>
      <c r="E328" s="1860">
        <v>0.15</v>
      </c>
      <c r="F328" s="1861">
        <v>0.14099999999999999</v>
      </c>
    </row>
    <row r="329" spans="1:6" ht="14.25" thickBot="1">
      <c r="A329" s="1855" t="s">
        <v>2215</v>
      </c>
      <c r="B329" s="1859" t="s">
        <v>1205</v>
      </c>
      <c r="C329" s="1860">
        <v>0.15</v>
      </c>
      <c r="D329" s="1860">
        <v>0.15</v>
      </c>
      <c r="E329" s="1860">
        <v>0.15</v>
      </c>
      <c r="F329" s="1861">
        <v>0.15</v>
      </c>
    </row>
    <row r="330" spans="1:6" ht="14.25" thickBot="1">
      <c r="A330" s="1855" t="s">
        <v>2215</v>
      </c>
      <c r="B330" s="1859" t="s">
        <v>1215</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1235</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1255</v>
      </c>
      <c r="C334" s="1860">
        <v>0.15</v>
      </c>
      <c r="D334" s="1860">
        <v>0.15</v>
      </c>
      <c r="E334" s="1860">
        <v>0.15</v>
      </c>
      <c r="F334" s="1861">
        <v>0.15</v>
      </c>
    </row>
    <row r="335" spans="1:6" ht="14.25" thickBot="1">
      <c r="A335" s="1855" t="s">
        <v>2215</v>
      </c>
      <c r="B335" s="1859" t="s">
        <v>1265</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1283</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2938</v>
      </c>
      <c r="B1" s="3102"/>
      <c r="C1" s="3102"/>
      <c r="D1" s="3102"/>
      <c r="E1" s="3102"/>
      <c r="F1" s="3102"/>
    </row>
    <row r="2" spans="1:6" ht="14.25">
      <c r="A2" s="3103" t="s">
        <v>2933</v>
      </c>
      <c r="B2" s="3104" t="e">
        <f ca="1">SUMIF(B7:B14,"&lt;&gt;#ref!",B7:B14)</f>
        <v>#DIV/0!</v>
      </c>
      <c r="C2" s="3103" t="s">
        <v>2934</v>
      </c>
      <c r="D2" s="3102"/>
      <c r="E2" s="3102"/>
      <c r="F2" s="3102"/>
    </row>
    <row r="3" spans="1:6" ht="14.25">
      <c r="A3" s="3103" t="s">
        <v>2967</v>
      </c>
      <c r="B3" s="3104" t="e">
        <f ca="1">ROUND(B2*10000/E3,0)</f>
        <v>#DIV/0!</v>
      </c>
      <c r="C3" s="3103" t="s">
        <v>2077</v>
      </c>
      <c r="D3" s="3103" t="s">
        <v>2935</v>
      </c>
      <c r="E3" s="3104">
        <f ca="1">SUMIF(E7:E14,"&lt;&gt;#ref!",E7:E14)</f>
        <v>0</v>
      </c>
      <c r="F3" s="3102"/>
    </row>
    <row r="4" spans="1:6" ht="14.25">
      <c r="A4" s="3103" t="s">
        <v>2942</v>
      </c>
      <c r="B4" s="3104" t="e">
        <f ca="1">ROUND(B2*10000/E4,0)</f>
        <v>#DIV/0!</v>
      </c>
      <c r="C4" s="3103" t="s">
        <v>2077</v>
      </c>
      <c r="D4" s="3103" t="s">
        <v>2943</v>
      </c>
      <c r="E4" s="3104">
        <f ca="1">SUMIF(F7:F14,"&lt;&gt;#ref!",F7:F14)</f>
        <v>0</v>
      </c>
      <c r="F4" s="3102"/>
    </row>
    <row r="5" spans="1:6" ht="14.25">
      <c r="A5" s="3105"/>
      <c r="B5" s="1881"/>
      <c r="C5" s="1881"/>
      <c r="D5" s="1881"/>
      <c r="E5" s="1881"/>
      <c r="F5" s="3102"/>
    </row>
    <row r="6" spans="1:6" ht="28.5">
      <c r="A6" s="3106" t="s">
        <v>2939</v>
      </c>
      <c r="B6" s="3103" t="s">
        <v>2936</v>
      </c>
      <c r="C6" s="3104"/>
      <c r="D6" s="1881"/>
      <c r="E6" s="3103" t="s">
        <v>2937</v>
      </c>
      <c r="F6" s="3103" t="s">
        <v>2941</v>
      </c>
    </row>
    <row r="7" spans="1:6" ht="14.25">
      <c r="A7" s="260" t="s">
        <v>2940</v>
      </c>
      <c r="B7" s="3107" t="e">
        <f ca="1">SUMIF(INDIRECT("'"&amp;A7&amp;"'"&amp;"!A:A"),"总价",INDIRECT("'"&amp;A7&amp;"'"&amp;"!B:B"))</f>
        <v>#DIV/0!</v>
      </c>
      <c r="C7" s="3103" t="s">
        <v>2934</v>
      </c>
      <c r="D7" s="1881"/>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2934</v>
      </c>
      <c r="D8" s="1881"/>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2934</v>
      </c>
      <c r="D9" s="1881"/>
      <c r="E9" s="3108" t="e">
        <f t="shared" ca="1" si="1"/>
        <v>#REF!</v>
      </c>
      <c r="F9" s="3108" t="e">
        <f t="shared" ca="1" si="2"/>
        <v>#REF!</v>
      </c>
    </row>
    <row r="10" spans="1:6" ht="14.25">
      <c r="A10" s="260"/>
      <c r="B10" s="3107" t="e">
        <f t="shared" ca="1" si="0"/>
        <v>#REF!</v>
      </c>
      <c r="C10" s="3103" t="s">
        <v>2934</v>
      </c>
      <c r="D10" s="1881"/>
      <c r="E10" s="3108" t="e">
        <f t="shared" ca="1" si="1"/>
        <v>#REF!</v>
      </c>
      <c r="F10" s="3108" t="e">
        <f t="shared" ca="1" si="2"/>
        <v>#REF!</v>
      </c>
    </row>
    <row r="11" spans="1:6" ht="14.25">
      <c r="A11" s="260"/>
      <c r="B11" s="3107" t="e">
        <f t="shared" ca="1" si="0"/>
        <v>#REF!</v>
      </c>
      <c r="C11" s="3103" t="s">
        <v>2934</v>
      </c>
      <c r="D11" s="1881"/>
      <c r="E11" s="3108" t="e">
        <f t="shared" ca="1" si="1"/>
        <v>#REF!</v>
      </c>
      <c r="F11" s="3108" t="e">
        <f t="shared" ca="1" si="2"/>
        <v>#REF!</v>
      </c>
    </row>
    <row r="12" spans="1:6" ht="14.25">
      <c r="A12" s="260"/>
      <c r="B12" s="3107" t="e">
        <f t="shared" ca="1" si="0"/>
        <v>#REF!</v>
      </c>
      <c r="C12" s="3103" t="s">
        <v>2934</v>
      </c>
      <c r="D12" s="1881"/>
      <c r="E12" s="3108" t="e">
        <f t="shared" ca="1" si="1"/>
        <v>#REF!</v>
      </c>
      <c r="F12" s="3108" t="e">
        <f t="shared" ca="1" si="2"/>
        <v>#REF!</v>
      </c>
    </row>
    <row r="13" spans="1:6" ht="14.25">
      <c r="A13" s="260"/>
      <c r="B13" s="3107" t="e">
        <f t="shared" ca="1" si="0"/>
        <v>#REF!</v>
      </c>
      <c r="C13" s="3103" t="s">
        <v>2934</v>
      </c>
      <c r="D13" s="1881"/>
      <c r="E13" s="3108" t="e">
        <f t="shared" ca="1" si="1"/>
        <v>#REF!</v>
      </c>
      <c r="F13" s="3108" t="e">
        <f t="shared" ca="1" si="2"/>
        <v>#REF!</v>
      </c>
    </row>
    <row r="14" spans="1:6" ht="14.25">
      <c r="A14" s="3101"/>
      <c r="B14" s="3107" t="e">
        <f t="shared" ca="1" si="0"/>
        <v>#REF!</v>
      </c>
      <c r="C14" s="3103" t="s">
        <v>2934</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626</v>
      </c>
      <c r="B1" s="738"/>
      <c r="C1" s="773"/>
      <c r="D1" s="2050"/>
      <c r="E1" s="2387" t="s">
        <v>2370</v>
      </c>
      <c r="F1" s="2388">
        <f ca="1">J54</f>
        <v>-3</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627</v>
      </c>
      <c r="B2" s="775">
        <f ca="1">IF(ISERROR(C45+J31),0,C45+J31)</f>
        <v>0</v>
      </c>
      <c r="C2" s="1351"/>
      <c r="D2" s="2055"/>
      <c r="E2" s="2056"/>
      <c r="F2" s="2056"/>
      <c r="G2" s="1590"/>
      <c r="H2" s="1363"/>
      <c r="I2" s="2057"/>
      <c r="J2" s="2057"/>
      <c r="K2" s="2058"/>
      <c r="L2" s="2057"/>
      <c r="M2" s="2057"/>
    </row>
    <row r="3" spans="1:25" ht="18" customHeight="1">
      <c r="A3" s="1645" t="s">
        <v>1685</v>
      </c>
      <c r="B3" s="1391">
        <f ca="1">ROUND(B2*10000/'数据-汇总表'!E3,0)</f>
        <v>0</v>
      </c>
      <c r="C3" s="1351"/>
      <c r="D3" s="2055"/>
      <c r="E3" s="2056"/>
      <c r="F3" s="2056"/>
      <c r="G3" s="1590"/>
      <c r="H3" s="776" t="s">
        <v>693</v>
      </c>
      <c r="I3" s="2057"/>
      <c r="J3" s="2057"/>
      <c r="K3" s="2058"/>
      <c r="L3" s="2057"/>
      <c r="M3" s="2057"/>
    </row>
    <row r="4" spans="1:25" ht="18" customHeight="1">
      <c r="A4" s="1646" t="s">
        <v>694</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695</v>
      </c>
      <c r="D5" s="2055"/>
      <c r="E5" s="2056"/>
      <c r="F5" s="2056"/>
      <c r="G5" s="1590"/>
      <c r="H5" s="776"/>
      <c r="I5" s="2057"/>
      <c r="J5" s="2057"/>
      <c r="K5" s="2058"/>
      <c r="L5" s="2057"/>
      <c r="M5" s="2057"/>
    </row>
    <row r="6" spans="1:25" ht="18" customHeight="1">
      <c r="A6" s="1829" t="s">
        <v>696</v>
      </c>
      <c r="B6" s="1821" t="s">
        <v>697</v>
      </c>
      <c r="C6" s="1821" t="s">
        <v>630</v>
      </c>
      <c r="D6" s="1821" t="s">
        <v>631</v>
      </c>
      <c r="E6" s="779" t="s">
        <v>632</v>
      </c>
      <c r="F6" s="780"/>
      <c r="G6" s="1592"/>
      <c r="H6" s="1829" t="s">
        <v>628</v>
      </c>
      <c r="I6" s="1821" t="s">
        <v>629</v>
      </c>
      <c r="J6" s="1821" t="s">
        <v>630</v>
      </c>
      <c r="K6" s="1821" t="s">
        <v>631</v>
      </c>
      <c r="L6" s="779" t="s">
        <v>632</v>
      </c>
      <c r="M6" s="780"/>
    </row>
    <row r="7" spans="1:25" ht="18" customHeight="1">
      <c r="A7" s="781">
        <v>1</v>
      </c>
      <c r="B7" s="782" t="s">
        <v>2452</v>
      </c>
      <c r="C7" s="53">
        <f ca="1">C8+C12+C14</f>
        <v>0</v>
      </c>
      <c r="D7" s="2496" t="s">
        <v>2455</v>
      </c>
      <c r="E7" s="2490"/>
      <c r="F7" s="2491"/>
      <c r="G7" s="1592"/>
      <c r="H7" s="781">
        <v>1</v>
      </c>
      <c r="I7" s="782" t="s">
        <v>2452</v>
      </c>
      <c r="J7" s="53">
        <f ca="1">J8+J12+J14</f>
        <v>0</v>
      </c>
      <c r="K7" s="2496" t="s">
        <v>2455</v>
      </c>
      <c r="L7" s="2490"/>
      <c r="M7" s="2491"/>
    </row>
    <row r="8" spans="1:25" ht="18" customHeight="1">
      <c r="A8" s="1831" t="s">
        <v>1823</v>
      </c>
      <c r="B8" s="3464" t="s">
        <v>2457</v>
      </c>
      <c r="C8" s="1826">
        <f ca="1">ROUND(F8*F10*F9*(1-F11)/10000,0)</f>
        <v>0</v>
      </c>
      <c r="D8" s="1823" t="s">
        <v>2528</v>
      </c>
      <c r="E8" s="61" t="s">
        <v>635</v>
      </c>
      <c r="F8" s="785">
        <f ca="1">INDIRECT("'数据-取费表'!u"&amp;$G$1)</f>
        <v>0</v>
      </c>
      <c r="G8" s="1592"/>
      <c r="H8" s="2504" t="s">
        <v>1823</v>
      </c>
      <c r="I8" s="3464" t="s">
        <v>2457</v>
      </c>
      <c r="J8" s="783">
        <f ca="1">ROUND(M8*M10*M9*(1-M11)/10000,0)</f>
        <v>0</v>
      </c>
      <c r="K8" s="341" t="s">
        <v>2528</v>
      </c>
      <c r="L8" s="784" t="s">
        <v>1737</v>
      </c>
      <c r="M8" s="785">
        <f ca="1">INDIRECT("'数据-取费表'!z"&amp;$G$1)</f>
        <v>0</v>
      </c>
    </row>
    <row r="9" spans="1:25" ht="18" customHeight="1">
      <c r="A9" s="2500"/>
      <c r="B9" s="3465"/>
      <c r="C9" s="1827"/>
      <c r="D9" s="1824"/>
      <c r="E9" s="61" t="s">
        <v>636</v>
      </c>
      <c r="F9" s="785">
        <f ca="1">IF(INDIRECT("'数据-取费表'!ah"&amp;$G$1)="",INDIRECT("'数据-取费表'!k"&amp;$G$1),INDIRECT("'数据-取费表'!ah"&amp;$G$1))</f>
        <v>0</v>
      </c>
      <c r="G9" s="1592"/>
      <c r="H9" s="2489"/>
      <c r="I9" s="3465"/>
      <c r="J9" s="788"/>
      <c r="K9" s="789"/>
      <c r="L9" s="784" t="s">
        <v>1738</v>
      </c>
      <c r="M9" s="785">
        <f ca="1">F9</f>
        <v>0</v>
      </c>
    </row>
    <row r="10" spans="1:25" ht="18" customHeight="1">
      <c r="A10" s="2493"/>
      <c r="B10" s="3466"/>
      <c r="C10" s="1827"/>
      <c r="D10" s="1824"/>
      <c r="E10" s="61" t="s">
        <v>637</v>
      </c>
      <c r="F10" s="785">
        <f ca="1">INDIRECT("'数据-取费表'!ai"&amp;$G$1)</f>
        <v>0</v>
      </c>
      <c r="G10" s="1592"/>
      <c r="H10" s="2489"/>
      <c r="I10" s="3466"/>
      <c r="J10" s="788"/>
      <c r="K10" s="789"/>
      <c r="L10" s="784" t="s">
        <v>1739</v>
      </c>
      <c r="M10" s="785">
        <f ca="1">INDIRECT("'数据-取费表'!ai"&amp;$G$1)</f>
        <v>0</v>
      </c>
    </row>
    <row r="11" spans="1:25" ht="18" customHeight="1">
      <c r="A11" s="786"/>
      <c r="B11" s="3467"/>
      <c r="C11" s="1827"/>
      <c r="D11" s="1824"/>
      <c r="E11" s="61" t="s">
        <v>638</v>
      </c>
      <c r="F11" s="794">
        <f ca="1">INDIRECT("'数据-取费表'!w"&amp;$G$1)</f>
        <v>0</v>
      </c>
      <c r="G11" s="1592"/>
      <c r="H11" s="2505"/>
      <c r="I11" s="3466"/>
      <c r="J11" s="788"/>
      <c r="K11" s="789"/>
      <c r="L11" s="795" t="s">
        <v>1740</v>
      </c>
      <c r="M11" s="796">
        <f ca="1">INDIRECT("'数据-取费表'!ab"&amp;$G$1)</f>
        <v>0</v>
      </c>
    </row>
    <row r="12" spans="1:25" ht="18" customHeight="1">
      <c r="A12" s="1831" t="s">
        <v>1824</v>
      </c>
      <c r="B12" s="2494" t="s">
        <v>2453</v>
      </c>
      <c r="C12" s="799">
        <f ca="1">ROUND(IF(F12="押一",C8/12*F13,IF(F12="押二",C8/12*2*F13,IF(F12="押三",C8/12*3*F13,C13*F13))),0)</f>
        <v>0</v>
      </c>
      <c r="D12" s="2501" t="s">
        <v>2963</v>
      </c>
      <c r="E12" s="2498" t="s">
        <v>2458</v>
      </c>
      <c r="F12" s="2621"/>
      <c r="G12" s="1592"/>
      <c r="H12" s="2561" t="s">
        <v>1824</v>
      </c>
      <c r="I12" s="2566" t="s">
        <v>2453</v>
      </c>
      <c r="J12" s="783">
        <f ca="1">ROUND(IF(M12="押一",J8/12*M13,IF(M12="押二",J8/12*2*M13,IF(M12="押三",J8/12*3*M13,J13*M13))),0)</f>
        <v>0</v>
      </c>
      <c r="K12" s="2501" t="s">
        <v>2963</v>
      </c>
      <c r="L12" s="2498" t="s">
        <v>2458</v>
      </c>
      <c r="M12" s="2621"/>
    </row>
    <row r="13" spans="1:25" ht="18" customHeight="1">
      <c r="A13" s="790"/>
      <c r="B13" s="2495" t="s">
        <v>2567</v>
      </c>
      <c r="C13" s="2499"/>
      <c r="D13" s="789"/>
      <c r="E13" s="2498" t="s">
        <v>2450</v>
      </c>
      <c r="F13" s="796">
        <f ca="1">'数据-取费表'!B39</f>
        <v>1.4999999999999999E-2</v>
      </c>
      <c r="G13" s="1592"/>
      <c r="H13" s="2562"/>
      <c r="I13" s="2495" t="s">
        <v>2567</v>
      </c>
      <c r="J13" s="2499"/>
      <c r="K13" s="2563"/>
      <c r="L13" s="2498" t="s">
        <v>2450</v>
      </c>
      <c r="M13" s="2492">
        <f ca="1">'数据-取费表'!B39</f>
        <v>1.4999999999999999E-2</v>
      </c>
    </row>
    <row r="14" spans="1:25" ht="18" customHeight="1" thickBot="1">
      <c r="A14" s="2537" t="s">
        <v>2461</v>
      </c>
      <c r="B14" s="2538" t="s">
        <v>2454</v>
      </c>
      <c r="C14" s="2539"/>
      <c r="D14" s="2540"/>
      <c r="E14" s="2541"/>
      <c r="F14" s="2542"/>
      <c r="G14" s="1592"/>
      <c r="H14" s="2551" t="s">
        <v>2461</v>
      </c>
      <c r="I14" s="2564" t="s">
        <v>2454</v>
      </c>
      <c r="J14" s="2565"/>
      <c r="K14" s="2540"/>
      <c r="L14" s="2541"/>
      <c r="M14" s="2554"/>
    </row>
    <row r="15" spans="1:25" ht="18" customHeight="1" thickTop="1">
      <c r="A15" s="1830" t="s">
        <v>1873</v>
      </c>
      <c r="B15" s="1828" t="s">
        <v>639</v>
      </c>
      <c r="C15" s="792">
        <f ca="1">ROUND(C31*F15,0)</f>
        <v>0</v>
      </c>
      <c r="D15" s="1835" t="s">
        <v>640</v>
      </c>
      <c r="E15" s="795" t="s">
        <v>641</v>
      </c>
      <c r="F15" s="800">
        <f ca="1">INDIRECT("'数据-取费表'!y"&amp;$G$1)</f>
        <v>0</v>
      </c>
      <c r="G15" s="1592"/>
      <c r="H15" s="1830" t="s">
        <v>1825</v>
      </c>
      <c r="I15" s="1828" t="s">
        <v>642</v>
      </c>
      <c r="J15" s="1820">
        <f ca="1">ROUND(J16*J17,0)</f>
        <v>0</v>
      </c>
      <c r="K15" s="1822" t="s">
        <v>640</v>
      </c>
      <c r="L15" s="801"/>
      <c r="M15" s="802"/>
    </row>
    <row r="16" spans="1:25" ht="18" customHeight="1">
      <c r="A16" s="803" t="s">
        <v>1874</v>
      </c>
      <c r="B16" s="784" t="s">
        <v>643</v>
      </c>
      <c r="C16" s="804">
        <f ca="1">INDIRECT("'数据-取费表'!m"&amp;$G$1)+INDIRECT("'数据-取费表'!t"&amp;$G$1)</f>
        <v>0</v>
      </c>
      <c r="D16" s="1979" t="s">
        <v>644</v>
      </c>
      <c r="E16" s="1980"/>
      <c r="F16" s="805"/>
      <c r="G16" s="1592"/>
      <c r="H16" s="803" t="s">
        <v>2068</v>
      </c>
      <c r="I16" s="2231" t="s">
        <v>2819</v>
      </c>
      <c r="J16" s="53">
        <f ca="1">C31</f>
        <v>0</v>
      </c>
      <c r="K16" s="26"/>
      <c r="L16" s="801"/>
      <c r="M16" s="802"/>
    </row>
    <row r="17" spans="1:25" s="2064" customFormat="1" ht="18" customHeight="1">
      <c r="A17" s="803" t="s">
        <v>1848</v>
      </c>
      <c r="B17" s="784" t="s">
        <v>645</v>
      </c>
      <c r="C17" s="53">
        <f ca="1">ROUND(C16*F17,0)</f>
        <v>0</v>
      </c>
      <c r="D17" s="806" t="s">
        <v>646</v>
      </c>
      <c r="E17" s="806" t="s">
        <v>647</v>
      </c>
      <c r="F17" s="807">
        <f>'数据-取费表'!B33</f>
        <v>0.03</v>
      </c>
      <c r="G17" s="1593"/>
      <c r="H17" s="803" t="s">
        <v>2069</v>
      </c>
      <c r="I17" s="784" t="s">
        <v>641</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2"/>
      <c r="H18" s="797" t="s">
        <v>1826</v>
      </c>
      <c r="I18" s="798" t="s">
        <v>649</v>
      </c>
      <c r="J18" s="799">
        <f ca="1">ROUND(J19+J24+J25+J26,0)</f>
        <v>0</v>
      </c>
      <c r="K18" s="26" t="s">
        <v>650</v>
      </c>
      <c r="L18" s="1982"/>
      <c r="M18" s="56"/>
    </row>
    <row r="19" spans="1:25" s="2064" customFormat="1" ht="18" customHeight="1">
      <c r="A19" s="803" t="s">
        <v>1850</v>
      </c>
      <c r="B19" s="784" t="s">
        <v>651</v>
      </c>
      <c r="C19" s="53">
        <f ca="1">ROUND(F19*(INDIRECT("'数据-取费表'!k"&amp;$G$1)+INDIRECT("'数据-取费表'!S"&amp;$G$1))/10000,0)</f>
        <v>0</v>
      </c>
      <c r="D19" s="784" t="s">
        <v>652</v>
      </c>
      <c r="E19" s="784" t="s">
        <v>653</v>
      </c>
      <c r="F19" s="56">
        <f>'数据-取费表'!B35</f>
        <v>200</v>
      </c>
      <c r="G19" s="1593"/>
      <c r="H19" s="803" t="s">
        <v>2068</v>
      </c>
      <c r="I19" s="784" t="s">
        <v>654</v>
      </c>
      <c r="J19" s="53">
        <f ca="1">ROUND(IF(项目基本情况!B11="自然人",J7*M19,J20+J21+J22),0)</f>
        <v>0</v>
      </c>
      <c r="K19" s="1979" t="s">
        <v>655</v>
      </c>
      <c r="L19" s="1977" t="s">
        <v>656</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657</v>
      </c>
      <c r="C20" s="53">
        <f ca="1">ROUND(C16*F20,0)</f>
        <v>0</v>
      </c>
      <c r="D20" s="784" t="s">
        <v>646</v>
      </c>
      <c r="E20" s="784" t="s">
        <v>647</v>
      </c>
      <c r="F20" s="809">
        <f>'数据-取费表'!B36</f>
        <v>1.4999999999999999E-2</v>
      </c>
      <c r="G20" s="1593"/>
      <c r="H20" s="803" t="s">
        <v>1830</v>
      </c>
      <c r="I20" s="784" t="s">
        <v>658</v>
      </c>
      <c r="J20" s="53">
        <f ca="1">ROUND(J7*M20/1.05,1)</f>
        <v>0</v>
      </c>
      <c r="K20" s="1977" t="s">
        <v>659</v>
      </c>
      <c r="L20" s="784" t="s">
        <v>647</v>
      </c>
      <c r="M20" s="809">
        <f>'数据-取费表'!B41</f>
        <v>6.6000000000000003E-2</v>
      </c>
      <c r="N20" s="2063"/>
      <c r="O20" s="2063"/>
      <c r="P20" s="2063"/>
      <c r="Q20" s="2063"/>
      <c r="R20" s="2063"/>
      <c r="S20" s="2063"/>
      <c r="T20" s="2063"/>
      <c r="U20" s="2063"/>
      <c r="V20" s="2063"/>
      <c r="W20" s="2063"/>
      <c r="X20" s="2063"/>
      <c r="Y20" s="2063"/>
    </row>
    <row r="21" spans="1:25" ht="18" customHeight="1">
      <c r="A21" s="803" t="s">
        <v>1875</v>
      </c>
      <c r="B21" s="784" t="s">
        <v>660</v>
      </c>
      <c r="C21" s="53">
        <f ca="1">SUM(C16:C20)</f>
        <v>0</v>
      </c>
      <c r="D21" s="261" t="s">
        <v>661</v>
      </c>
      <c r="E21" s="1982"/>
      <c r="F21" s="56"/>
      <c r="G21" s="1592"/>
      <c r="H21" s="1831" t="s">
        <v>1848</v>
      </c>
      <c r="I21" s="784" t="s">
        <v>662</v>
      </c>
      <c r="J21" s="53">
        <f ca="1">IF(K21="按租金收入计税",ROUND(J7*M21,1),ROUND(C31*F35*0.7,1))</f>
        <v>0</v>
      </c>
      <c r="K21" s="811" t="s">
        <v>663</v>
      </c>
      <c r="L21" s="784" t="s">
        <v>647</v>
      </c>
      <c r="M21" s="809">
        <f>IF(K21="按租金收入计税",'数据-取费表'!B51,'数据-取费表'!B50)</f>
        <v>1.2E-2</v>
      </c>
    </row>
    <row r="22" spans="1:25" s="2064" customFormat="1" ht="18" customHeight="1">
      <c r="A22" s="803" t="s">
        <v>1876</v>
      </c>
      <c r="B22" s="784" t="s">
        <v>664</v>
      </c>
      <c r="C22" s="53">
        <f ca="1">ROUND(C21*F22,0)</f>
        <v>0</v>
      </c>
      <c r="D22" s="812" t="s">
        <v>665</v>
      </c>
      <c r="E22" s="784" t="s">
        <v>647</v>
      </c>
      <c r="F22" s="809">
        <f>'数据-取费表'!B37</f>
        <v>0.02</v>
      </c>
      <c r="G22" s="1593"/>
      <c r="H22" s="1833" t="s">
        <v>1849</v>
      </c>
      <c r="I22" s="1823" t="s">
        <v>666</v>
      </c>
      <c r="J22" s="54">
        <f ca="1">ROUND(M22*M23/10000,0)</f>
        <v>0</v>
      </c>
      <c r="K22" s="814" t="s">
        <v>667</v>
      </c>
      <c r="L22" s="784" t="s">
        <v>668</v>
      </c>
      <c r="M22" s="640">
        <f>'数据-取费表'!B52</f>
        <v>25</v>
      </c>
      <c r="N22" s="2063"/>
      <c r="O22" s="2063"/>
      <c r="P22" s="2063"/>
      <c r="Q22" s="2063"/>
      <c r="R22" s="2063"/>
      <c r="S22" s="2063"/>
      <c r="T22" s="2063"/>
      <c r="U22" s="2063"/>
      <c r="V22" s="2063"/>
      <c r="W22" s="2063"/>
      <c r="X22" s="2063"/>
      <c r="Y22" s="2063"/>
    </row>
    <row r="23" spans="1:25" s="2064" customFormat="1" ht="18" customHeight="1">
      <c r="A23" s="803" t="s">
        <v>1877</v>
      </c>
      <c r="B23" s="784" t="s">
        <v>669</v>
      </c>
      <c r="C23" s="53" t="s">
        <v>1</v>
      </c>
      <c r="D23" s="812" t="s">
        <v>670</v>
      </c>
      <c r="E23" s="784" t="s">
        <v>671</v>
      </c>
      <c r="F23" s="809">
        <f>'数据-取费表'!B38</f>
        <v>0.02</v>
      </c>
      <c r="G23" s="1593"/>
      <c r="H23" s="1834"/>
      <c r="I23" s="1825"/>
      <c r="J23" s="69"/>
      <c r="K23" s="816"/>
      <c r="L23" s="784" t="s">
        <v>672</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673</v>
      </c>
      <c r="C24" s="53"/>
      <c r="D24" s="2572" t="str">
        <f>IF(F25&lt;=1,"单利计息。","复利计息。")&amp;"建造成本、管理费用、销售费用产生的利息。"</f>
        <v>复利计息。建造成本、管理费用、销售费用产生的利息。</v>
      </c>
      <c r="E24" s="1982"/>
      <c r="F24" s="56"/>
      <c r="G24" s="1592"/>
      <c r="H24" s="1832" t="s">
        <v>2069</v>
      </c>
      <c r="I24" s="784" t="s">
        <v>674</v>
      </c>
      <c r="J24" s="53">
        <f ca="1">ROUND(J16*M24,0)</f>
        <v>0</v>
      </c>
      <c r="K24" s="1977" t="s">
        <v>675</v>
      </c>
      <c r="L24" s="784" t="s">
        <v>647</v>
      </c>
      <c r="M24" s="817">
        <f ca="1">INDIRECT("'数据-取费表'!Ak"&amp;$G$1)</f>
        <v>0</v>
      </c>
    </row>
    <row r="25" spans="1:25" s="2064" customFormat="1" ht="18" customHeight="1">
      <c r="A25" s="803" t="s">
        <v>1874</v>
      </c>
      <c r="B25" s="784" t="s">
        <v>2433</v>
      </c>
      <c r="C25" s="53">
        <f ca="1">ROUND(IF('数据-取费表'!B22&lt;=1,(C21+C22)*F26*F25/2,(C21+C22)*(POWER((1+F26),F25/2)-1)),0)</f>
        <v>0</v>
      </c>
      <c r="D25" s="2571" t="str">
        <f>IF(F25&lt;=1,"(建造成本+管理费用)×利率×(建设周期÷2)","(建造成本+管理费用)×((1+利率)^(建设周期÷2)-1)")</f>
        <v>(建造成本+管理费用)×((1+利率)^(建设周期÷2)-1)</v>
      </c>
      <c r="E25" s="784" t="s">
        <v>676</v>
      </c>
      <c r="F25" s="640">
        <f>'数据-取费表'!B20</f>
        <v>3</v>
      </c>
      <c r="G25" s="1593"/>
      <c r="H25" s="803" t="s">
        <v>1877</v>
      </c>
      <c r="I25" s="784" t="s">
        <v>677</v>
      </c>
      <c r="J25" s="53">
        <f ca="1">ROUND(J15*M25,0)</f>
        <v>0</v>
      </c>
      <c r="K25" s="1977" t="s">
        <v>678</v>
      </c>
      <c r="L25" s="784" t="s">
        <v>647</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679</v>
      </c>
      <c r="C26" s="53">
        <f ca="1">ROUND(IF('数据-取费表'!B22&lt;=1,F23*F26*F25/2,F23*(POWER((1+F26),F25/2)-1)),4)</f>
        <v>1.4E-3</v>
      </c>
      <c r="D26" s="2571" t="str">
        <f>IF(F25&lt;=1,"销售费用×利率×(建设周期÷2)","销售费用×((1+利率)^(建设周期÷2)-1)")</f>
        <v>销售费用×((1+利率)^(建设周期÷2)-1)</v>
      </c>
      <c r="E26" s="784" t="s">
        <v>680</v>
      </c>
      <c r="F26" s="819">
        <f ca="1">'数据-取费表'!B40</f>
        <v>4.7500000000000001E-2</v>
      </c>
      <c r="G26" s="1593"/>
      <c r="H26" s="803" t="s">
        <v>1878</v>
      </c>
      <c r="I26" s="784" t="s">
        <v>664</v>
      </c>
      <c r="J26" s="53">
        <f ca="1">ROUND(J7*M26,0)</f>
        <v>0</v>
      </c>
      <c r="K26" s="1977" t="s">
        <v>681</v>
      </c>
      <c r="L26" s="784" t="s">
        <v>647</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682</v>
      </c>
      <c r="C27" s="53"/>
      <c r="D27" s="261" t="s">
        <v>683</v>
      </c>
      <c r="E27" s="1982"/>
      <c r="F27" s="56"/>
      <c r="G27" s="1592"/>
      <c r="H27" s="797" t="s">
        <v>1827</v>
      </c>
      <c r="I27" s="3010" t="s">
        <v>2816</v>
      </c>
      <c r="J27" s="799">
        <f ca="1">J7-J18</f>
        <v>0</v>
      </c>
      <c r="K27" s="1979" t="s">
        <v>698</v>
      </c>
      <c r="L27" s="1981"/>
      <c r="M27" s="820"/>
    </row>
    <row r="28" spans="1:25" ht="18" customHeight="1">
      <c r="A28" s="803" t="s">
        <v>1874</v>
      </c>
      <c r="B28" s="784" t="s">
        <v>2434</v>
      </c>
      <c r="C28" s="53">
        <f ca="1">ROUND((C21+C22)*F28,0)</f>
        <v>0</v>
      </c>
      <c r="D28" s="812" t="s">
        <v>699</v>
      </c>
      <c r="E28" s="795" t="s">
        <v>700</v>
      </c>
      <c r="F28" s="794">
        <f ca="1">INDIRECT("'数据-取费表'!q"&amp;$G$1)</f>
        <v>0</v>
      </c>
      <c r="G28" s="1592"/>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2"/>
      <c r="H29" s="786"/>
      <c r="I29" s="787"/>
      <c r="J29" s="788"/>
      <c r="K29" s="821" t="s">
        <v>705</v>
      </c>
      <c r="L29" s="784" t="s">
        <v>706</v>
      </c>
      <c r="M29" s="822">
        <f ca="1">INDIRECT("'数据-取费表'!ag"&amp;$G$1)</f>
        <v>0</v>
      </c>
    </row>
    <row r="30" spans="1:25" s="2064" customFormat="1" ht="18" customHeight="1">
      <c r="A30" s="803" t="s">
        <v>1881</v>
      </c>
      <c r="B30" s="784" t="s">
        <v>685</v>
      </c>
      <c r="C30" s="53">
        <f>ROUND(F30/(1+'数据-取费表'!C42),4)</f>
        <v>6.2899999999999998E-2</v>
      </c>
      <c r="D30" s="812" t="s">
        <v>707</v>
      </c>
      <c r="E30" s="784" t="s">
        <v>647</v>
      </c>
      <c r="F30" s="809">
        <f>'数据-取费表'!B41</f>
        <v>6.6000000000000003E-2</v>
      </c>
      <c r="G30" s="1593"/>
      <c r="H30" s="790"/>
      <c r="I30" s="791"/>
      <c r="J30" s="792"/>
      <c r="K30" s="816"/>
      <c r="L30" s="784" t="s">
        <v>708</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2817</v>
      </c>
      <c r="C31" s="2544">
        <f ca="1">ROUND((C21+C22+C25+C28)/(1-F23-C26-C29-C30),0)</f>
        <v>0</v>
      </c>
      <c r="D31" s="2545"/>
      <c r="E31" s="2546"/>
      <c r="F31" s="2547"/>
      <c r="G31" s="1593"/>
      <c r="H31" s="823" t="s">
        <v>1871</v>
      </c>
      <c r="I31" s="3011" t="s">
        <v>2818</v>
      </c>
      <c r="J31" s="825">
        <f ca="1">ROUND(J28/(1+F45)^F46,0)</f>
        <v>0</v>
      </c>
      <c r="K31" s="826" t="s">
        <v>686</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687</v>
      </c>
      <c r="C32" s="792">
        <f ca="1">ROUND(C33+C38+C39+C40,0)</f>
        <v>0</v>
      </c>
      <c r="D32" s="1822" t="s">
        <v>650</v>
      </c>
      <c r="E32" s="2487"/>
      <c r="F32" s="2491"/>
      <c r="G32" s="2062"/>
      <c r="H32" s="2065"/>
      <c r="I32" s="2066"/>
      <c r="J32" s="2067"/>
      <c r="K32" s="2068"/>
      <c r="L32" s="2069"/>
      <c r="M32" s="2070"/>
    </row>
    <row r="33" spans="1:18" ht="18" customHeight="1">
      <c r="A33" s="803" t="s">
        <v>1875</v>
      </c>
      <c r="B33" s="784" t="s">
        <v>654</v>
      </c>
      <c r="C33" s="53">
        <f ca="1">ROUND(IF(项目基本情况!B11="自然人",C7*F33,C34+C35+C36),1)</f>
        <v>0</v>
      </c>
      <c r="D33" s="1979" t="s">
        <v>655</v>
      </c>
      <c r="E33" s="1977" t="s">
        <v>688</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658</v>
      </c>
      <c r="C34" s="53">
        <f ca="1">ROUND(C7*F34/1.05,1)</f>
        <v>0</v>
      </c>
      <c r="D34" s="1977" t="s">
        <v>659</v>
      </c>
      <c r="E34" s="784" t="s">
        <v>647</v>
      </c>
      <c r="F34" s="809">
        <f>'数据-取费表'!B41</f>
        <v>6.6000000000000003E-2</v>
      </c>
      <c r="G34" s="2062"/>
      <c r="H34" s="2071"/>
      <c r="I34" s="2072"/>
      <c r="J34" s="2073"/>
      <c r="K34" s="2074"/>
      <c r="L34" s="2075"/>
      <c r="M34" s="2076"/>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2"/>
      <c r="H35" s="2077"/>
      <c r="I35" s="2077"/>
      <c r="J35" s="2077"/>
      <c r="K35" s="2078"/>
      <c r="L35" s="2077"/>
      <c r="M35" s="2077"/>
    </row>
    <row r="36" spans="1:18" ht="18" customHeight="1">
      <c r="A36" s="813" t="s">
        <v>1879</v>
      </c>
      <c r="B36" s="341" t="s">
        <v>666</v>
      </c>
      <c r="C36" s="54">
        <f ca="1">ROUND(F36*F37/10000,1)</f>
        <v>0</v>
      </c>
      <c r="D36" s="814" t="s">
        <v>667</v>
      </c>
      <c r="E36" s="784" t="s">
        <v>668</v>
      </c>
      <c r="F36" s="640">
        <f>'数据-取费表'!B52</f>
        <v>25</v>
      </c>
      <c r="G36" s="2062"/>
      <c r="H36" s="2065"/>
      <c r="I36" s="3463"/>
      <c r="J36" s="2079"/>
      <c r="K36" s="2080"/>
      <c r="L36" s="2079"/>
      <c r="M36" s="2079"/>
    </row>
    <row r="37" spans="1:18" ht="18" customHeight="1">
      <c r="A37" s="815"/>
      <c r="B37" s="793"/>
      <c r="C37" s="69"/>
      <c r="D37" s="816"/>
      <c r="E37" s="784" t="s">
        <v>672</v>
      </c>
      <c r="F37" s="785">
        <f ca="1">INDIRECT("'数据-取费表'!r"&amp;$G$1)</f>
        <v>0</v>
      </c>
      <c r="G37" s="2062"/>
      <c r="H37" s="2065"/>
      <c r="I37" s="3463"/>
      <c r="J37" s="2077"/>
      <c r="K37" s="2078"/>
      <c r="L37" s="2077"/>
      <c r="M37" s="2077"/>
    </row>
    <row r="38" spans="1:18" ht="18" customHeight="1">
      <c r="A38" s="803" t="s">
        <v>1876</v>
      </c>
      <c r="B38" s="784" t="s">
        <v>674</v>
      </c>
      <c r="C38" s="53">
        <f ca="1">ROUND(C31*F38,1)</f>
        <v>0</v>
      </c>
      <c r="D38" s="1977" t="s">
        <v>689</v>
      </c>
      <c r="E38" s="784" t="s">
        <v>647</v>
      </c>
      <c r="F38" s="817">
        <f ca="1">INDIRECT("'数据-取费表'!Ak"&amp;$G$1)</f>
        <v>0</v>
      </c>
      <c r="G38" s="2062"/>
      <c r="H38" s="2077"/>
      <c r="I38" s="2081"/>
      <c r="J38" s="1988"/>
      <c r="K38" s="2082"/>
      <c r="L38" s="2077"/>
      <c r="M38" s="2077"/>
    </row>
    <row r="39" spans="1:18" ht="18" customHeight="1">
      <c r="A39" s="803" t="s">
        <v>1877</v>
      </c>
      <c r="B39" s="784" t="s">
        <v>677</v>
      </c>
      <c r="C39" s="53">
        <f ca="1">ROUND(C15*F39,1)</f>
        <v>0</v>
      </c>
      <c r="D39" s="1977" t="s">
        <v>678</v>
      </c>
      <c r="E39" s="784" t="s">
        <v>647</v>
      </c>
      <c r="F39" s="818">
        <f ca="1">INDIRECT("'数据-取费表'!Al"&amp;$G$1)</f>
        <v>0</v>
      </c>
      <c r="G39" s="2062"/>
      <c r="H39" s="2077"/>
      <c r="I39" s="2081"/>
      <c r="J39" s="1988"/>
      <c r="K39" s="2082"/>
      <c r="L39" s="2077"/>
      <c r="M39" s="2077"/>
    </row>
    <row r="40" spans="1:18" ht="18" customHeight="1" thickBot="1">
      <c r="A40" s="2560" t="s">
        <v>1878</v>
      </c>
      <c r="B40" s="2546" t="s">
        <v>664</v>
      </c>
      <c r="C40" s="2544">
        <f ca="1">ROUND(C7*F40,1)</f>
        <v>0</v>
      </c>
      <c r="D40" s="2545" t="s">
        <v>681</v>
      </c>
      <c r="E40" s="2546" t="s">
        <v>647</v>
      </c>
      <c r="F40" s="2542">
        <f ca="1">INDIRECT("'数据-取费表'!Am"&amp;$G$1)</f>
        <v>0</v>
      </c>
      <c r="G40" s="2062"/>
      <c r="H40" s="2077"/>
      <c r="I40" s="2081"/>
      <c r="J40" s="1988"/>
      <c r="K40" s="2083"/>
      <c r="L40" s="2077"/>
      <c r="M40" s="2077"/>
    </row>
    <row r="41" spans="1:18" ht="18" customHeight="1" thickTop="1">
      <c r="A41" s="1830">
        <v>4</v>
      </c>
      <c r="B41" s="1828" t="s">
        <v>690</v>
      </c>
      <c r="C41" s="1353"/>
      <c r="D41" s="1354"/>
      <c r="E41" s="1354"/>
      <c r="F41" s="1355"/>
      <c r="G41" s="2062"/>
      <c r="H41" s="2062"/>
      <c r="I41" s="2062"/>
      <c r="J41" s="2062"/>
      <c r="K41" s="2083"/>
      <c r="L41" s="2062"/>
      <c r="M41" s="2062"/>
    </row>
    <row r="42" spans="1:18" ht="18" customHeight="1">
      <c r="A42" s="803" t="s">
        <v>1875</v>
      </c>
      <c r="B42" s="835" t="s">
        <v>691</v>
      </c>
      <c r="C42" s="829">
        <f ca="1">C7-C32</f>
        <v>0</v>
      </c>
      <c r="D42" s="1979" t="s">
        <v>692</v>
      </c>
      <c r="E42" s="1981"/>
      <c r="F42" s="820"/>
      <c r="G42" s="2062"/>
      <c r="H42" s="2062"/>
      <c r="I42" s="2062"/>
      <c r="J42" s="2062"/>
      <c r="K42" s="2083"/>
      <c r="L42" s="2062"/>
      <c r="M42" s="2062"/>
    </row>
    <row r="43" spans="1:18" ht="18" customHeight="1">
      <c r="A43" s="803" t="s">
        <v>1876</v>
      </c>
      <c r="B43" s="835" t="s">
        <v>709</v>
      </c>
      <c r="C43" s="836">
        <f ca="1">ROUND(C15*F43,0)</f>
        <v>0</v>
      </c>
      <c r="D43" s="1356" t="s">
        <v>710</v>
      </c>
      <c r="E43" s="3119" t="s">
        <v>2951</v>
      </c>
      <c r="F43" s="3120">
        <f ca="1">INDIRECT("'数据-取费表'!j"&amp;$G$1)</f>
        <v>0</v>
      </c>
      <c r="G43" s="2062"/>
      <c r="H43" s="2062"/>
      <c r="I43" s="2062"/>
      <c r="J43" s="2062"/>
      <c r="K43" s="2083"/>
      <c r="L43" s="2062"/>
      <c r="M43" s="2062"/>
    </row>
    <row r="44" spans="1:18" ht="18" customHeight="1">
      <c r="A44" s="803" t="s">
        <v>1877</v>
      </c>
      <c r="B44" s="835" t="s">
        <v>711</v>
      </c>
      <c r="C44" s="1357">
        <f ca="1">C42-C43</f>
        <v>0</v>
      </c>
      <c r="D44" s="463" t="s">
        <v>712</v>
      </c>
      <c r="E44" s="464"/>
      <c r="F44" s="465"/>
      <c r="G44" s="2062"/>
      <c r="H44" s="2062"/>
      <c r="I44" s="2062"/>
      <c r="J44" s="2062"/>
      <c r="K44" s="2083"/>
      <c r="L44" s="2062"/>
      <c r="M44" s="2062"/>
    </row>
    <row r="45" spans="1:18" ht="18" customHeight="1">
      <c r="A45" s="803" t="s">
        <v>1878</v>
      </c>
      <c r="B45" s="1356" t="s">
        <v>713</v>
      </c>
      <c r="C45" s="3036">
        <f ca="1">ROUND(-PV(F45,F46,C44,0),0)</f>
        <v>0</v>
      </c>
      <c r="D45" s="1358" t="s">
        <v>714</v>
      </c>
      <c r="E45" s="806" t="s">
        <v>715</v>
      </c>
      <c r="F45" s="830">
        <f ca="1">INDIRECT("'数据-取费表'!h"&amp;$G$1)</f>
        <v>0</v>
      </c>
      <c r="G45" s="2062"/>
      <c r="H45" s="2062"/>
      <c r="I45" s="2062"/>
      <c r="J45" s="2062"/>
      <c r="K45" s="2083"/>
      <c r="L45" s="2062"/>
      <c r="M45" s="2062"/>
    </row>
    <row r="46" spans="1:18" ht="18" customHeight="1" thickBot="1">
      <c r="A46" s="831"/>
      <c r="B46" s="1359"/>
      <c r="C46" s="1360"/>
      <c r="D46" s="1361"/>
      <c r="E46" s="3121" t="s">
        <v>2954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2339</v>
      </c>
      <c r="J47" s="2379"/>
      <c r="K47" s="2380"/>
      <c r="L47" s="3157" t="str">
        <f ca="1">IF(M48="住宅",0,IF(L49&gt;J52,L61,J61))</f>
        <v>0</v>
      </c>
      <c r="O47" s="2394" t="s">
        <v>2406</v>
      </c>
      <c r="P47" s="1592"/>
      <c r="Q47" s="1604"/>
      <c r="R47" s="1592"/>
    </row>
    <row r="48" spans="1:18" s="2059" customFormat="1" ht="18" customHeight="1" thickBot="1">
      <c r="A48" s="2084"/>
      <c r="C48" s="2087"/>
      <c r="D48" s="2088"/>
      <c r="E48" s="2088"/>
      <c r="F48" s="2089"/>
      <c r="G48" s="2090"/>
      <c r="I48" s="3147" t="s">
        <v>2340</v>
      </c>
      <c r="J48" s="2381"/>
      <c r="K48" s="3154" t="s">
        <v>2345</v>
      </c>
      <c r="L48" s="3158">
        <f ca="1">INDIRECT("'数据-取费表'!d"&amp;$G$1)</f>
        <v>0</v>
      </c>
      <c r="M48" s="3118" t="str">
        <f>IF(ISNUMBER(FIND("住宅",C1)),"住宅","非住宅")</f>
        <v>非住宅</v>
      </c>
      <c r="O48" s="2395" t="s">
        <v>2371</v>
      </c>
      <c r="P48" s="2396" t="s">
        <v>2372</v>
      </c>
      <c r="Q48" s="2397" t="s">
        <v>2373</v>
      </c>
      <c r="R48" s="2396" t="s">
        <v>2374</v>
      </c>
    </row>
    <row r="49" spans="1:18" s="2059" customFormat="1" ht="18" customHeight="1" thickBot="1">
      <c r="A49" s="2084"/>
      <c r="D49" s="2091"/>
      <c r="E49" s="2092"/>
      <c r="F49" s="2089"/>
      <c r="G49" s="2090"/>
      <c r="H49" s="2093"/>
      <c r="I49" s="3123" t="s">
        <v>2341</v>
      </c>
      <c r="J49" s="2382"/>
      <c r="K49" s="3155" t="s">
        <v>2347</v>
      </c>
      <c r="L49" s="1908">
        <f ca="1">INDIRECT("'数据-取费表'!f"&amp;$G$1)</f>
        <v>0</v>
      </c>
      <c r="O49" s="2398" t="s">
        <v>2375</v>
      </c>
      <c r="P49" s="2399" t="s">
        <v>2401</v>
      </c>
      <c r="Q49" s="2400">
        <f ca="1">C41+J31</f>
        <v>0</v>
      </c>
      <c r="R49" s="2399" t="s">
        <v>2376</v>
      </c>
    </row>
    <row r="50" spans="1:18" s="2059" customFormat="1" ht="18" customHeight="1" thickBot="1">
      <c r="A50" s="2084"/>
      <c r="D50" s="2094"/>
      <c r="E50" s="2094"/>
      <c r="F50" s="2088"/>
      <c r="G50" s="2095"/>
      <c r="H50" s="2093"/>
      <c r="I50" s="3123" t="s">
        <v>2342</v>
      </c>
      <c r="J50" s="2383"/>
      <c r="K50" s="3156" t="s">
        <v>2348</v>
      </c>
      <c r="L50" s="2384"/>
      <c r="O50" s="2398" t="s">
        <v>2377</v>
      </c>
      <c r="P50" s="2399" t="s">
        <v>2402</v>
      </c>
      <c r="Q50" s="2400" t="str">
        <f ca="1">J61</f>
        <v>0</v>
      </c>
      <c r="R50" s="2399" t="s">
        <v>2378</v>
      </c>
    </row>
    <row r="51" spans="1:18" s="2059" customFormat="1" ht="18" customHeight="1" thickBot="1">
      <c r="A51" s="2096"/>
      <c r="D51" s="2094"/>
      <c r="E51" s="2094"/>
      <c r="F51" s="2085"/>
      <c r="H51" s="2093"/>
      <c r="I51" s="3123" t="s">
        <v>2343</v>
      </c>
      <c r="J51" s="3151">
        <f>SUMPRODUCT((I64:I66=J48)*(J63:L63=J49)*(J64:L66))</f>
        <v>0</v>
      </c>
      <c r="K51" s="3156" t="s">
        <v>2349</v>
      </c>
      <c r="L51" s="2384"/>
      <c r="O51" s="2401" t="s">
        <v>2379</v>
      </c>
      <c r="P51" s="2399" t="s">
        <v>2403</v>
      </c>
      <c r="Q51" s="2400">
        <f ca="1">C31</f>
        <v>0</v>
      </c>
      <c r="R51" s="2399" t="s">
        <v>2376</v>
      </c>
    </row>
    <row r="52" spans="1:18" s="2059" customFormat="1" ht="18" customHeight="1" thickBot="1">
      <c r="A52" s="2096"/>
      <c r="F52" s="2085"/>
      <c r="I52" s="3148" t="s">
        <v>2344</v>
      </c>
      <c r="J52" s="3152">
        <f>IF(J50="",J51,J50+J51-YEAR('数据-取费表'!B3))</f>
        <v>0</v>
      </c>
      <c r="K52" s="3123" t="s">
        <v>2350</v>
      </c>
      <c r="L52" s="3159">
        <f ca="1">ROUND(-PV(INDIRECT("'数据-取费表'!h"&amp;$G$1),L49,(C40-C14*J36),0),0)</f>
        <v>0</v>
      </c>
      <c r="O52" s="2401" t="s">
        <v>2380</v>
      </c>
      <c r="P52" s="2399" t="s">
        <v>2381</v>
      </c>
      <c r="Q52" s="2402" t="e">
        <f ca="1">J59</f>
        <v>#VALUE!</v>
      </c>
      <c r="R52" s="2403"/>
    </row>
    <row r="53" spans="1:18" s="2059" customFormat="1" ht="18" customHeight="1" thickBot="1">
      <c r="A53" s="2096"/>
      <c r="F53" s="2085"/>
      <c r="I53" s="3149" t="s">
        <v>2417</v>
      </c>
      <c r="J53" s="2385"/>
      <c r="K53" s="3149" t="s">
        <v>2416</v>
      </c>
      <c r="L53" s="2385"/>
      <c r="O53" s="2401" t="s">
        <v>2382</v>
      </c>
      <c r="P53" s="2399" t="s">
        <v>2383</v>
      </c>
      <c r="Q53" s="2402">
        <f>J53</f>
        <v>0</v>
      </c>
      <c r="R53" s="2403"/>
    </row>
    <row r="54" spans="1:18" s="2059" customFormat="1" ht="29.25" thickBot="1">
      <c r="A54" s="2096"/>
      <c r="I54" s="3150" t="s">
        <v>2968</v>
      </c>
      <c r="J54" s="3153">
        <f ca="1">IF(M48="住宅",MAX(J52,L49-'数据-取费表'!B20),MIN(J52,L49-'数据-取费表'!B20))</f>
        <v>-3</v>
      </c>
      <c r="K54" s="3468"/>
      <c r="L54" s="3469"/>
      <c r="O54" s="2401" t="s">
        <v>2384</v>
      </c>
      <c r="P54" s="2399" t="s">
        <v>2385</v>
      </c>
      <c r="Q54" s="2400">
        <f ca="1">J54</f>
        <v>-3</v>
      </c>
      <c r="R54" s="2399" t="s">
        <v>2386</v>
      </c>
    </row>
    <row r="55" spans="1:18" s="2059" customFormat="1" ht="18" customHeight="1" thickBot="1">
      <c r="A55" s="2096"/>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8" t="s">
        <v>2387</v>
      </c>
      <c r="P55" s="2399" t="s">
        <v>2404</v>
      </c>
      <c r="Q55" s="2400">
        <f ca="1">Q49+Q50</f>
        <v>0</v>
      </c>
      <c r="R55" s="2403" t="s">
        <v>2388</v>
      </c>
    </row>
    <row r="56" spans="1:18" s="2059" customFormat="1" ht="16.5" thickBot="1">
      <c r="A56" s="2096"/>
      <c r="B56" s="2097"/>
      <c r="C56" s="2097"/>
      <c r="I56" s="3162" t="s">
        <v>2351</v>
      </c>
      <c r="J56" s="3098" t="e">
        <f ca="1">ROUND(IF(J48="钢混",J58/J51,1-(1-2%)*(J51-J58)/J51),3)</f>
        <v>#VALUE!</v>
      </c>
      <c r="K56" s="3163" t="s">
        <v>2352</v>
      </c>
      <c r="L56" s="2386"/>
      <c r="O56" s="2404" t="s">
        <v>2407</v>
      </c>
      <c r="P56" s="1592"/>
      <c r="Q56" s="1604"/>
      <c r="R56" s="1592"/>
    </row>
    <row r="57" spans="1:18" s="2059" customFormat="1" ht="43.5" thickBot="1">
      <c r="A57" s="2096"/>
      <c r="B57" s="2097"/>
      <c r="C57" s="2097"/>
      <c r="I57" s="3164" t="s">
        <v>2353</v>
      </c>
      <c r="J57" s="3174" t="s">
        <v>1677</v>
      </c>
      <c r="K57" s="3123" t="s">
        <v>2358</v>
      </c>
      <c r="L57" s="1908">
        <f ca="1">IF(L49&lt;J52,"——",L49-J52)</f>
        <v>0</v>
      </c>
      <c r="O57" s="2395" t="s">
        <v>2371</v>
      </c>
      <c r="P57" s="2396" t="s">
        <v>2372</v>
      </c>
      <c r="Q57" s="2397" t="s">
        <v>2373</v>
      </c>
      <c r="R57" s="2396" t="s">
        <v>2374</v>
      </c>
    </row>
    <row r="58" spans="1:18" s="2059" customFormat="1" ht="29.25" thickBot="1">
      <c r="A58" s="2096"/>
      <c r="B58" s="2097"/>
      <c r="C58" s="2097"/>
      <c r="I58" s="3165" t="s">
        <v>2354</v>
      </c>
      <c r="J58" s="3166" t="str">
        <f ca="1">IF(OR(M48="住宅",J52&lt;L49,J57="是"),"——",J52-L49)</f>
        <v>——</v>
      </c>
      <c r="K58" s="3123" t="s">
        <v>2359</v>
      </c>
      <c r="L58" s="1908">
        <f ca="1">IF(L49&lt;J52,"——",IF(L56="比较法",L50,IF(L56="基准地价",L51,L52)))</f>
        <v>0</v>
      </c>
      <c r="O58" s="2398" t="s">
        <v>2375</v>
      </c>
      <c r="P58" s="2399" t="s">
        <v>2401</v>
      </c>
      <c r="Q58" s="2400">
        <f ca="1">C41+J31</f>
        <v>0</v>
      </c>
      <c r="R58" s="2399" t="s">
        <v>2376</v>
      </c>
    </row>
    <row r="59" spans="1:18" s="2059" customFormat="1" ht="29.25" thickBot="1">
      <c r="A59" s="2096"/>
      <c r="B59" s="2097"/>
      <c r="C59" s="2097"/>
      <c r="I59" s="3165" t="s">
        <v>2355</v>
      </c>
      <c r="J59" s="3099" t="e">
        <f ca="1">IF(J56&lt;0.4,0.4,J56)</f>
        <v>#VALUE!</v>
      </c>
      <c r="K59" s="3123" t="s">
        <v>2360</v>
      </c>
      <c r="L59" s="1908">
        <f ca="1">IF(ISERROR(POWER(1+L53,L48-L49)*(POWER(1+L53,L49)-1)/(POWER(1+L53,L48)-1)),0,POWER(1+L53,L48-L49)*(POWER(1+L53,L49)-1)/(POWER(1+L53,L48)-1))</f>
        <v>0</v>
      </c>
      <c r="O59" s="2398" t="s">
        <v>2377</v>
      </c>
      <c r="P59" s="2399" t="s">
        <v>2408</v>
      </c>
      <c r="Q59" s="2400" t="e">
        <f ca="1">L61</f>
        <v>#DIV/0!</v>
      </c>
      <c r="R59" s="2403" t="s">
        <v>2410</v>
      </c>
    </row>
    <row r="60" spans="1:18" s="2059" customFormat="1" ht="29.25" thickBot="1">
      <c r="A60" s="2096"/>
      <c r="B60" s="2097"/>
      <c r="C60" s="2097"/>
      <c r="I60" s="3165" t="s">
        <v>2356</v>
      </c>
      <c r="J60" s="3166" t="str">
        <f ca="1">IF(OR(M48="住宅",J52&lt;L49,J57="是"),"——",ROUND(C30*J59,0))</f>
        <v>——</v>
      </c>
      <c r="K60" s="3123" t="s">
        <v>2361</v>
      </c>
      <c r="L60" s="1908">
        <f ca="1">IF(ISERROR(POWER(1+L53,L48-J52)*(POWER(1+L53,J52)-1)/(POWER(1+L53,L48)-1)),0,POWER(1+L53,L48-J52)*(POWER(1+L53,J52)-1)/(POWER(1+L53,L48)-1))</f>
        <v>0</v>
      </c>
      <c r="O60" s="2401" t="s">
        <v>2379</v>
      </c>
      <c r="P60" s="2399" t="s">
        <v>2409</v>
      </c>
      <c r="Q60" s="2400">
        <f>IF(L56="比较法",L50,IF(L56="基准地价",L51,0))</f>
        <v>0</v>
      </c>
      <c r="R60" s="2399" t="s">
        <v>2376</v>
      </c>
    </row>
    <row r="61" spans="1:18" s="2059" customFormat="1" ht="15.75" thickBot="1">
      <c r="A61" s="2096"/>
      <c r="B61" s="2097"/>
      <c r="C61" s="2097"/>
      <c r="I61" s="3167" t="s">
        <v>2357</v>
      </c>
      <c r="J61" s="3168" t="str">
        <f ca="1">IF(OR(M48="住宅",J52&lt;L49,J57="是"),"0",ROUND(J60/(1+J53)^J54,0))</f>
        <v>0</v>
      </c>
      <c r="K61" s="3169" t="s">
        <v>2362</v>
      </c>
      <c r="L61" s="3168" t="e">
        <f ca="1">IF(OR(M48="住宅",L49&lt;J52),0,ROUND(L58*(L59/L60-1),0))</f>
        <v>#DIV/0!</v>
      </c>
      <c r="O61" s="2401" t="s">
        <v>2380</v>
      </c>
      <c r="P61" s="2399" t="s">
        <v>2389</v>
      </c>
      <c r="Q61" s="2402">
        <f>L53</f>
        <v>0</v>
      </c>
      <c r="R61" s="2403"/>
    </row>
    <row r="62" spans="1:18" s="2059" customFormat="1" ht="20.25" thickBot="1">
      <c r="A62" s="2096"/>
      <c r="B62" s="2097"/>
      <c r="C62" s="2097"/>
      <c r="K62" s="2086"/>
      <c r="O62" s="2401" t="s">
        <v>2382</v>
      </c>
      <c r="P62" s="2399" t="s">
        <v>2390</v>
      </c>
      <c r="Q62" s="2400">
        <f ca="1">L59</f>
        <v>0</v>
      </c>
      <c r="R62" s="2403" t="s">
        <v>2391</v>
      </c>
    </row>
    <row r="63" spans="1:18" s="2059" customFormat="1" ht="20.25" thickBot="1">
      <c r="A63" s="2096"/>
      <c r="B63" s="2097"/>
      <c r="C63" s="2097"/>
      <c r="I63" s="3170" t="s">
        <v>2363</v>
      </c>
      <c r="J63" s="3171" t="s">
        <v>2364</v>
      </c>
      <c r="K63" s="3171" t="s">
        <v>2365</v>
      </c>
      <c r="L63" s="3171" t="s">
        <v>2346</v>
      </c>
      <c r="M63" s="3172" t="s">
        <v>2931</v>
      </c>
      <c r="O63" s="2401" t="s">
        <v>2384</v>
      </c>
      <c r="P63" s="2399" t="s">
        <v>2392</v>
      </c>
      <c r="Q63" s="2400">
        <f ca="1">L60</f>
        <v>0</v>
      </c>
      <c r="R63" s="2403" t="s">
        <v>2393</v>
      </c>
    </row>
    <row r="64" spans="1:18" s="2059" customFormat="1" ht="15.75" thickBot="1">
      <c r="A64" s="2096"/>
      <c r="B64" s="2097"/>
      <c r="C64" s="2097"/>
      <c r="I64" s="3170" t="s">
        <v>2366</v>
      </c>
      <c r="J64" s="3171">
        <v>70</v>
      </c>
      <c r="K64" s="3171">
        <v>50</v>
      </c>
      <c r="L64" s="3171">
        <v>80</v>
      </c>
      <c r="M64" s="3173">
        <v>0.02</v>
      </c>
      <c r="O64" s="2398" t="s">
        <v>2387</v>
      </c>
      <c r="P64" s="2399" t="s">
        <v>2404</v>
      </c>
      <c r="Q64" s="2400" t="e">
        <f ca="1">Q58+Q59</f>
        <v>#DIV/0!</v>
      </c>
      <c r="R64" s="2403" t="s">
        <v>2388</v>
      </c>
    </row>
    <row r="65" spans="1:18" s="2059" customFormat="1" ht="16.5" thickBot="1">
      <c r="A65" s="2096"/>
      <c r="B65" s="2097"/>
      <c r="C65" s="2097"/>
      <c r="I65" s="3170" t="s">
        <v>2367</v>
      </c>
      <c r="J65" s="3171">
        <v>50</v>
      </c>
      <c r="K65" s="3171">
        <v>35</v>
      </c>
      <c r="L65" s="3171">
        <v>60</v>
      </c>
      <c r="M65" s="846">
        <v>0</v>
      </c>
      <c r="O65" s="2404" t="s">
        <v>2411</v>
      </c>
      <c r="P65" s="1592"/>
      <c r="Q65" s="1604"/>
      <c r="R65" s="1592"/>
    </row>
    <row r="66" spans="1:18" s="2059" customFormat="1" ht="15.75" thickBot="1">
      <c r="A66" s="2096"/>
      <c r="B66" s="2097"/>
      <c r="C66" s="2097"/>
      <c r="I66" s="3170" t="s">
        <v>2368</v>
      </c>
      <c r="J66" s="3171">
        <v>40</v>
      </c>
      <c r="K66" s="3171">
        <v>30</v>
      </c>
      <c r="L66" s="3171">
        <v>50</v>
      </c>
      <c r="M66" s="3173">
        <v>0.02</v>
      </c>
      <c r="O66" s="2395" t="s">
        <v>2371</v>
      </c>
      <c r="P66" s="2396" t="s">
        <v>2372</v>
      </c>
      <c r="Q66" s="2397" t="s">
        <v>2373</v>
      </c>
      <c r="R66" s="2396" t="s">
        <v>2374</v>
      </c>
    </row>
    <row r="67" spans="1:18" s="2059" customFormat="1" ht="15.75" thickBot="1">
      <c r="A67" s="2096"/>
      <c r="B67" s="2097"/>
      <c r="C67" s="2097"/>
      <c r="K67" s="2086"/>
      <c r="O67" s="2398" t="s">
        <v>2375</v>
      </c>
      <c r="P67" s="2399" t="s">
        <v>2401</v>
      </c>
      <c r="Q67" s="2400">
        <f ca="1">C41+J31</f>
        <v>0</v>
      </c>
      <c r="R67" s="2399" t="s">
        <v>2376</v>
      </c>
    </row>
    <row r="68" spans="1:18" s="2059" customFormat="1" ht="20.25" thickBot="1">
      <c r="A68" s="2096"/>
      <c r="B68" s="2097"/>
      <c r="C68" s="2097"/>
      <c r="K68" s="2086"/>
      <c r="O68" s="2398" t="s">
        <v>2377</v>
      </c>
      <c r="P68" s="2399" t="s">
        <v>2408</v>
      </c>
      <c r="Q68" s="2400" t="e">
        <f ca="1">L61</f>
        <v>#DIV/0!</v>
      </c>
      <c r="R68" s="2403" t="s">
        <v>2410</v>
      </c>
    </row>
    <row r="69" spans="1:18" s="2059" customFormat="1" ht="21.75" thickBot="1">
      <c r="A69" s="2096"/>
      <c r="B69" s="2097"/>
      <c r="C69" s="2097"/>
      <c r="K69" s="2086"/>
      <c r="O69" s="2401" t="s">
        <v>2379</v>
      </c>
      <c r="P69" s="2399" t="s">
        <v>2409</v>
      </c>
      <c r="Q69" s="2405">
        <f ca="1">L52</f>
        <v>0</v>
      </c>
      <c r="R69" s="2406" t="s">
        <v>2412</v>
      </c>
    </row>
    <row r="70" spans="1:18" s="2059" customFormat="1" ht="20.25" thickBot="1">
      <c r="A70" s="2096"/>
      <c r="B70" s="2097"/>
      <c r="C70" s="2097"/>
      <c r="K70" s="2086"/>
      <c r="O70" s="2401" t="s">
        <v>2380</v>
      </c>
      <c r="P70" s="2407" t="s">
        <v>2394</v>
      </c>
      <c r="Q70" s="2400">
        <f ca="1">ROUND(Q71-Q72*Q73,0)</f>
        <v>0</v>
      </c>
      <c r="R70" s="2403"/>
    </row>
    <row r="71" spans="1:18" s="2059" customFormat="1" ht="15.75" thickBot="1">
      <c r="A71" s="2096"/>
      <c r="B71" s="2097"/>
      <c r="C71" s="2097"/>
      <c r="K71" s="2086"/>
      <c r="O71" s="2401" t="s">
        <v>2395</v>
      </c>
      <c r="P71" s="2407" t="s">
        <v>2396</v>
      </c>
      <c r="Q71" s="2400">
        <f ca="1">C42</f>
        <v>0</v>
      </c>
      <c r="R71" s="2399" t="s">
        <v>2376</v>
      </c>
    </row>
    <row r="72" spans="1:18" s="2059" customFormat="1" ht="15.75" thickBot="1">
      <c r="A72" s="2096"/>
      <c r="B72" s="2097"/>
      <c r="C72" s="2097"/>
      <c r="K72" s="2086"/>
      <c r="O72" s="2401" t="s">
        <v>2397</v>
      </c>
      <c r="P72" s="2407" t="s">
        <v>2398</v>
      </c>
      <c r="Q72" s="2400">
        <f ca="1">C15</f>
        <v>0</v>
      </c>
      <c r="R72" s="2399" t="s">
        <v>2376</v>
      </c>
    </row>
    <row r="73" spans="1:18" s="2059" customFormat="1" ht="15.75" thickBot="1">
      <c r="A73" s="2096"/>
      <c r="B73" s="2097"/>
      <c r="C73" s="2097"/>
      <c r="K73" s="2086"/>
      <c r="O73" s="2401" t="s">
        <v>2399</v>
      </c>
      <c r="P73" s="2407" t="s">
        <v>2400</v>
      </c>
      <c r="Q73" s="2402">
        <f ca="1">F43</f>
        <v>0</v>
      </c>
      <c r="R73" s="2403"/>
    </row>
    <row r="74" spans="1:18" s="2059" customFormat="1" ht="15.75" thickBot="1">
      <c r="A74" s="2096"/>
      <c r="B74" s="2097"/>
      <c r="C74" s="2097"/>
      <c r="K74" s="2086"/>
      <c r="O74" s="2401" t="s">
        <v>2382</v>
      </c>
      <c r="P74" s="2399" t="s">
        <v>2389</v>
      </c>
      <c r="Q74" s="2402">
        <f>L53</f>
        <v>0</v>
      </c>
      <c r="R74" s="2403"/>
    </row>
    <row r="75" spans="1:18" s="2059" customFormat="1" ht="20.25" thickBot="1">
      <c r="A75" s="2096"/>
      <c r="B75" s="2097"/>
      <c r="C75" s="2097"/>
      <c r="K75" s="2086"/>
      <c r="O75" s="2401" t="s">
        <v>2384</v>
      </c>
      <c r="P75" s="2399" t="s">
        <v>2390</v>
      </c>
      <c r="Q75" s="2400">
        <f ca="1">L59</f>
        <v>0</v>
      </c>
      <c r="R75" s="2403" t="s">
        <v>2391</v>
      </c>
    </row>
    <row r="76" spans="1:18" s="2059" customFormat="1" ht="20.25" thickBot="1">
      <c r="A76" s="2096"/>
      <c r="B76" s="2097"/>
      <c r="C76" s="2097"/>
      <c r="K76" s="2086"/>
      <c r="O76" s="2401" t="s">
        <v>2413</v>
      </c>
      <c r="P76" s="2399" t="s">
        <v>2392</v>
      </c>
      <c r="Q76" s="2400">
        <f ca="1">L60</f>
        <v>0</v>
      </c>
      <c r="R76" s="2403" t="s">
        <v>2393</v>
      </c>
    </row>
    <row r="77" spans="1:18" s="2059" customFormat="1" ht="15.75" thickBot="1">
      <c r="A77" s="2096"/>
      <c r="B77" s="2097"/>
      <c r="C77" s="2097"/>
      <c r="K77" s="2086"/>
      <c r="O77" s="2398" t="s">
        <v>2387</v>
      </c>
      <c r="P77" s="2399" t="s">
        <v>2404</v>
      </c>
      <c r="Q77" s="2400" t="e">
        <f ca="1">Q67+Q68</f>
        <v>#DIV/0!</v>
      </c>
      <c r="R77" s="2403" t="s">
        <v>2388</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6" t="s">
        <v>2570</v>
      </c>
      <c r="C1" s="3476"/>
      <c r="D1" s="3476"/>
      <c r="E1" s="3476"/>
      <c r="F1" s="3476"/>
      <c r="G1" s="3475" t="s">
        <v>2571</v>
      </c>
      <c r="H1" s="3475"/>
      <c r="I1" s="3475"/>
      <c r="J1" s="3475"/>
      <c r="K1" s="3475"/>
      <c r="L1" s="3475"/>
      <c r="N1" s="3475" t="s">
        <v>2572</v>
      </c>
      <c r="O1" s="3475"/>
      <c r="P1" s="3475"/>
      <c r="Q1" s="3475"/>
      <c r="R1" s="2654"/>
      <c r="S1" s="3475" t="s">
        <v>2573</v>
      </c>
      <c r="T1" s="3475"/>
      <c r="U1" s="3475"/>
      <c r="V1" s="3475"/>
      <c r="X1" s="3474" t="s">
        <v>2633</v>
      </c>
      <c r="Y1" s="3475"/>
      <c r="Z1" s="3475"/>
      <c r="AA1" s="3475"/>
      <c r="AB1" s="3475"/>
      <c r="AD1" s="3474" t="s">
        <v>2637</v>
      </c>
      <c r="AE1" s="3475"/>
      <c r="AF1" s="3475"/>
      <c r="AG1" s="3475"/>
      <c r="AH1" s="3475"/>
    </row>
    <row r="2" spans="1:34" s="2756" customFormat="1" ht="14.25" thickBot="1">
      <c r="B2" s="2764" t="s">
        <v>2574</v>
      </c>
      <c r="C2" s="2764" t="s">
        <v>2635</v>
      </c>
      <c r="D2" s="2757" t="s">
        <v>1643</v>
      </c>
      <c r="E2" s="2757" t="s">
        <v>1950</v>
      </c>
      <c r="F2" s="2764" t="s">
        <v>2636</v>
      </c>
      <c r="G2" s="2760"/>
      <c r="H2" s="2759"/>
      <c r="I2" s="2764" t="s">
        <v>2945</v>
      </c>
      <c r="J2" s="2757" t="s">
        <v>2947</v>
      </c>
      <c r="K2" s="2757" t="s">
        <v>2948</v>
      </c>
      <c r="L2" s="2764" t="s">
        <v>2949</v>
      </c>
      <c r="N2" s="2764" t="s">
        <v>2574</v>
      </c>
      <c r="O2" s="2757" t="s">
        <v>2946</v>
      </c>
      <c r="P2" s="2757" t="s">
        <v>1950</v>
      </c>
      <c r="Q2" s="2764" t="s">
        <v>2636</v>
      </c>
      <c r="R2" s="2758"/>
      <c r="S2" s="2764" t="s">
        <v>2574</v>
      </c>
      <c r="T2" s="2757" t="s">
        <v>2946</v>
      </c>
      <c r="U2" s="2757" t="s">
        <v>1950</v>
      </c>
      <c r="V2" s="2764" t="s">
        <v>2636</v>
      </c>
      <c r="X2" s="2764" t="s">
        <v>2574</v>
      </c>
      <c r="Y2" s="2764" t="s">
        <v>2635</v>
      </c>
      <c r="Z2" s="2757" t="s">
        <v>1643</v>
      </c>
      <c r="AA2" s="2757" t="s">
        <v>1950</v>
      </c>
      <c r="AB2" s="2764" t="s">
        <v>2636</v>
      </c>
      <c r="AD2" s="2764" t="s">
        <v>2574</v>
      </c>
      <c r="AE2" s="2764" t="s">
        <v>2635</v>
      </c>
      <c r="AF2" s="2757" t="s">
        <v>1643</v>
      </c>
      <c r="AG2" s="2757" t="s">
        <v>1950</v>
      </c>
      <c r="AH2" s="2764" t="s">
        <v>2636</v>
      </c>
    </row>
    <row r="3" spans="1:34" s="3131" customFormat="1" ht="14.25">
      <c r="A3" s="3143" t="s">
        <v>2958</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2969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1">
        <v>3</v>
      </c>
      <c r="I5" s="3125">
        <v>1.49</v>
      </c>
      <c r="J5" s="3125">
        <v>0.96</v>
      </c>
      <c r="K5" s="3125">
        <v>1.58</v>
      </c>
      <c r="L5" s="3125">
        <v>2.44</v>
      </c>
      <c r="N5" s="2762">
        <f t="shared" ref="N5" si="6">I5/100</f>
        <v>1.49E-2</v>
      </c>
      <c r="O5" s="2762">
        <f t="shared" ref="O5" si="7">J5/100</f>
        <v>9.5999999999999992E-3</v>
      </c>
      <c r="P5" s="2762">
        <f t="shared" ref="P5" si="8">K5/100</f>
        <v>1.5800000000000002E-2</v>
      </c>
      <c r="Q5" s="2762">
        <f t="shared" ref="Q5" si="9">L5/100</f>
        <v>2.4399999999999998E-2</v>
      </c>
      <c r="R5" s="3113"/>
      <c r="S5" s="3114"/>
      <c r="T5" s="3113"/>
      <c r="U5" s="3113"/>
      <c r="V5" s="3113"/>
      <c r="W5" s="3141" t="s">
        <v>2959</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1" customFormat="1" ht="13.5" thickBot="1">
      <c r="A6" s="2655" t="s">
        <v>2970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0"/>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0"/>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2956</v>
      </c>
      <c r="B8" s="3145">
        <v>439</v>
      </c>
      <c r="C8" s="3145">
        <v>327</v>
      </c>
      <c r="D8" s="3145">
        <f t="shared" si="23"/>
        <v>327</v>
      </c>
      <c r="E8" s="3145">
        <v>627</v>
      </c>
      <c r="F8" s="3146">
        <v>283</v>
      </c>
      <c r="G8" s="3128">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0"/>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2575</v>
      </c>
      <c r="B10" s="2669">
        <f t="shared" si="35"/>
        <v>419.31181600000002</v>
      </c>
      <c r="C10" s="2669">
        <f t="shared" si="35"/>
        <v>313.95436800000004</v>
      </c>
      <c r="D10" s="2669">
        <f t="shared" si="23"/>
        <v>313.95436800000004</v>
      </c>
      <c r="E10" s="2669">
        <f t="shared" si="36"/>
        <v>596.63028431999999</v>
      </c>
      <c r="F10" s="2669">
        <f t="shared" si="36"/>
        <v>274.74220703999998</v>
      </c>
      <c r="G10" s="3129"/>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2576</v>
      </c>
      <c r="B11" s="2669">
        <f t="shared" si="35"/>
        <v>405.524</v>
      </c>
      <c r="C11" s="2669">
        <f t="shared" si="35"/>
        <v>307.79840000000002</v>
      </c>
      <c r="D11" s="2669">
        <f t="shared" si="23"/>
        <v>307.79840000000002</v>
      </c>
      <c r="E11" s="2669">
        <f t="shared" si="36"/>
        <v>574.67759999999998</v>
      </c>
      <c r="F11" s="2669">
        <f t="shared" si="36"/>
        <v>270.20280000000002</v>
      </c>
      <c r="G11" s="3130"/>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969</v>
      </c>
      <c r="B12" s="2661">
        <v>392</v>
      </c>
      <c r="C12" s="2661">
        <v>302</v>
      </c>
      <c r="D12" s="2661">
        <f t="shared" si="23"/>
        <v>302</v>
      </c>
      <c r="E12" s="2661">
        <v>553</v>
      </c>
      <c r="F12" s="2662">
        <v>266</v>
      </c>
      <c r="G12" s="347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968</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71"/>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958</v>
      </c>
      <c r="B14" s="2669">
        <f t="shared" si="44"/>
        <v>360.06949782209392</v>
      </c>
      <c r="C14" s="2669">
        <f t="shared" si="44"/>
        <v>289.84672674747821</v>
      </c>
      <c r="D14" s="2669">
        <f t="shared" si="45"/>
        <v>289.84672674747821</v>
      </c>
      <c r="E14" s="2669">
        <f t="shared" si="46"/>
        <v>501.06543001181495</v>
      </c>
      <c r="F14" s="2669">
        <f t="shared" si="46"/>
        <v>256.82882500744967</v>
      </c>
      <c r="G14" s="3471"/>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967</v>
      </c>
      <c r="B15" s="2669">
        <f t="shared" si="44"/>
        <v>346.720748986128</v>
      </c>
      <c r="C15" s="2669">
        <f t="shared" si="44"/>
        <v>284.30282172386285</v>
      </c>
      <c r="D15" s="2669">
        <f t="shared" si="45"/>
        <v>284.30282172386285</v>
      </c>
      <c r="E15" s="2669">
        <f t="shared" si="46"/>
        <v>479.58023546306947</v>
      </c>
      <c r="F15" s="2669">
        <f t="shared" si="46"/>
        <v>253.25788877571213</v>
      </c>
      <c r="G15" s="3472"/>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966</v>
      </c>
      <c r="B16" s="2661">
        <v>333</v>
      </c>
      <c r="C16" s="2661">
        <v>277</v>
      </c>
      <c r="D16" s="2661">
        <f t="shared" si="45"/>
        <v>277</v>
      </c>
      <c r="E16" s="2661">
        <v>459</v>
      </c>
      <c r="F16" s="2662">
        <v>249</v>
      </c>
      <c r="G16" s="3470">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965</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71"/>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964</v>
      </c>
      <c r="B18" s="2669">
        <f t="shared" si="48"/>
        <v>322.34053690220776</v>
      </c>
      <c r="C18" s="2669">
        <f t="shared" si="48"/>
        <v>271.46160770422546</v>
      </c>
      <c r="D18" s="2669">
        <f t="shared" si="45"/>
        <v>271.46160770422546</v>
      </c>
      <c r="E18" s="2669">
        <f t="shared" si="49"/>
        <v>442.69434542172456</v>
      </c>
      <c r="F18" s="2669">
        <f t="shared" si="49"/>
        <v>241.34030753190925</v>
      </c>
      <c r="G18" s="3471"/>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963</v>
      </c>
      <c r="B19" s="2669">
        <f t="shared" si="48"/>
        <v>319.87748030386797</v>
      </c>
      <c r="C19" s="2669">
        <f t="shared" si="48"/>
        <v>269.60135833173649</v>
      </c>
      <c r="D19" s="2669">
        <f t="shared" si="45"/>
        <v>269.60135833173649</v>
      </c>
      <c r="E19" s="2669">
        <f t="shared" si="49"/>
        <v>439.18089823583784</v>
      </c>
      <c r="F19" s="2669">
        <f t="shared" si="49"/>
        <v>239.23503918706311</v>
      </c>
      <c r="G19" s="3472"/>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962</v>
      </c>
      <c r="B20" s="2683">
        <v>318</v>
      </c>
      <c r="C20" s="2683">
        <v>268</v>
      </c>
      <c r="D20" s="2683">
        <f t="shared" si="45"/>
        <v>268</v>
      </c>
      <c r="E20" s="2683">
        <v>437</v>
      </c>
      <c r="F20" s="2684">
        <v>237</v>
      </c>
      <c r="G20" s="3470">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961</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71"/>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960</v>
      </c>
      <c r="B22" s="2669">
        <f t="shared" si="50"/>
        <v>314.72141172386546</v>
      </c>
      <c r="C22" s="2669">
        <f t="shared" si="50"/>
        <v>263.03901319069001</v>
      </c>
      <c r="D22" s="2669">
        <f t="shared" si="45"/>
        <v>263.03901319069001</v>
      </c>
      <c r="E22" s="2669">
        <f t="shared" si="51"/>
        <v>433.65745506782821</v>
      </c>
      <c r="F22" s="2669">
        <f t="shared" si="51"/>
        <v>233.23005080045735</v>
      </c>
      <c r="G22" s="3471"/>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959</v>
      </c>
      <c r="B23" s="2688">
        <f t="shared" si="50"/>
        <v>307.34512863658733</v>
      </c>
      <c r="C23" s="2688">
        <f t="shared" si="50"/>
        <v>257.80556031626975</v>
      </c>
      <c r="D23" s="2688">
        <f t="shared" si="45"/>
        <v>257.80556031626975</v>
      </c>
      <c r="E23" s="2688">
        <f t="shared" si="51"/>
        <v>422.70928459677179</v>
      </c>
      <c r="F23" s="2688">
        <f t="shared" si="51"/>
        <v>229.73803270336617</v>
      </c>
      <c r="G23" s="3472"/>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2634</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2577</v>
      </c>
      <c r="B24" s="2661">
        <v>299</v>
      </c>
      <c r="C24" s="2661">
        <v>252</v>
      </c>
      <c r="D24" s="2661">
        <f t="shared" si="45"/>
        <v>252</v>
      </c>
      <c r="E24" s="2661">
        <v>409</v>
      </c>
      <c r="F24" s="2662">
        <v>227</v>
      </c>
      <c r="G24" s="347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2578</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7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2579</v>
      </c>
      <c r="B26" s="2669">
        <f t="shared" si="54"/>
        <v>288.2649053828776</v>
      </c>
      <c r="C26" s="2669">
        <f t="shared" si="54"/>
        <v>243.64564425013293</v>
      </c>
      <c r="D26" s="2669">
        <f t="shared" si="45"/>
        <v>243.64564425013293</v>
      </c>
      <c r="E26" s="2669">
        <f t="shared" si="55"/>
        <v>393.31080825986544</v>
      </c>
      <c r="F26" s="2669">
        <f t="shared" si="55"/>
        <v>223.07903790551154</v>
      </c>
      <c r="G26" s="347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2580</v>
      </c>
      <c r="B27" s="2669">
        <f t="shared" si="54"/>
        <v>282.50186729015837</v>
      </c>
      <c r="C27" s="2669">
        <f t="shared" si="54"/>
        <v>238.09796174155468</v>
      </c>
      <c r="D27" s="2669">
        <f t="shared" si="45"/>
        <v>238.09796174155468</v>
      </c>
      <c r="E27" s="2669">
        <f t="shared" si="55"/>
        <v>385.33438646014054</v>
      </c>
      <c r="F27" s="2669">
        <f t="shared" si="55"/>
        <v>221.55034055567739</v>
      </c>
      <c r="G27" s="347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2581</v>
      </c>
      <c r="B28" s="2699">
        <v>278</v>
      </c>
      <c r="C28" s="2699">
        <v>234</v>
      </c>
      <c r="D28" s="2699">
        <f t="shared" si="45"/>
        <v>234</v>
      </c>
      <c r="E28" s="2699">
        <v>379</v>
      </c>
      <c r="F28" s="2700">
        <v>220</v>
      </c>
      <c r="G28" s="3470">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2582</v>
      </c>
      <c r="B29" s="2669">
        <f>B28/(1+N28)</f>
        <v>275.49301357645425</v>
      </c>
      <c r="C29" s="2669">
        <f>C28/(1+O28)</f>
        <v>232.41954707985698</v>
      </c>
      <c r="D29" s="2669">
        <f t="shared" si="45"/>
        <v>232.41954707985698</v>
      </c>
      <c r="E29" s="2669">
        <f t="shared" ref="E29:F31" si="56">E28/(1+P28)</f>
        <v>375.32184591008121</v>
      </c>
      <c r="F29" s="2669">
        <f t="shared" si="56"/>
        <v>218.03766105054513</v>
      </c>
      <c r="G29" s="3471"/>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2583</v>
      </c>
      <c r="B30" s="2669">
        <f>B29/(1+N29)</f>
        <v>275.24529281292263</v>
      </c>
      <c r="C30" s="2669">
        <f>C29/(1+O29)</f>
        <v>231.74747938962707</v>
      </c>
      <c r="D30" s="2669">
        <f t="shared" si="45"/>
        <v>231.74747938962707</v>
      </c>
      <c r="E30" s="2669">
        <f t="shared" si="56"/>
        <v>375.35938184826603</v>
      </c>
      <c r="F30" s="2669">
        <f t="shared" si="56"/>
        <v>216.78033510692495</v>
      </c>
      <c r="G30" s="3471"/>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2584</v>
      </c>
      <c r="B31" s="2669">
        <f>B30/(1+N30)</f>
        <v>275.19025476197027</v>
      </c>
      <c r="C31" s="2701">
        <v>232</v>
      </c>
      <c r="D31" s="2701">
        <f t="shared" si="45"/>
        <v>232</v>
      </c>
      <c r="E31" s="2669">
        <f t="shared" si="56"/>
        <v>375.65990977608692</v>
      </c>
      <c r="F31" s="2669">
        <f t="shared" si="56"/>
        <v>214.12518283971252</v>
      </c>
      <c r="G31" s="3472"/>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2585</v>
      </c>
      <c r="B32" s="2661">
        <v>275</v>
      </c>
      <c r="C32" s="2661">
        <v>232</v>
      </c>
      <c r="D32" s="2661">
        <f t="shared" si="45"/>
        <v>232</v>
      </c>
      <c r="E32" s="2661">
        <v>376</v>
      </c>
      <c r="F32" s="2662">
        <v>213</v>
      </c>
      <c r="G32" s="3470">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2586</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71">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2587</v>
      </c>
      <c r="B34" s="2669">
        <f t="shared" si="57"/>
        <v>275.19335084830601</v>
      </c>
      <c r="C34" s="2669">
        <f t="shared" si="57"/>
        <v>230.18088050139744</v>
      </c>
      <c r="D34" s="2669">
        <f t="shared" si="45"/>
        <v>230.18088050139744</v>
      </c>
      <c r="E34" s="2669">
        <f t="shared" si="58"/>
        <v>377.58482925212331</v>
      </c>
      <c r="F34" s="2669">
        <f t="shared" si="58"/>
        <v>210.90687997847917</v>
      </c>
      <c r="G34" s="3471">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2588</v>
      </c>
      <c r="B35" s="2669">
        <f t="shared" si="57"/>
        <v>276.29854502841971</v>
      </c>
      <c r="C35" s="2669">
        <f t="shared" si="57"/>
        <v>229.79023709833027</v>
      </c>
      <c r="D35" s="2669">
        <f t="shared" si="45"/>
        <v>229.79023709833027</v>
      </c>
      <c r="E35" s="2669">
        <f t="shared" si="58"/>
        <v>379.78759731655936</v>
      </c>
      <c r="F35" s="2669">
        <f t="shared" si="58"/>
        <v>211.32953905659235</v>
      </c>
      <c r="G35" s="3472">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2589</v>
      </c>
      <c r="B36" s="2661">
        <v>269</v>
      </c>
      <c r="C36" s="2661">
        <v>221</v>
      </c>
      <c r="D36" s="2661">
        <f t="shared" si="45"/>
        <v>221</v>
      </c>
      <c r="E36" s="2661">
        <v>373</v>
      </c>
      <c r="F36" s="2662">
        <v>196</v>
      </c>
      <c r="G36" s="3470">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2590</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71">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2591</v>
      </c>
      <c r="B38" s="2669">
        <f t="shared" si="59"/>
        <v>242.95398227588385</v>
      </c>
      <c r="C38" s="2669">
        <f t="shared" si="59"/>
        <v>199.59137053614126</v>
      </c>
      <c r="D38" s="2669">
        <f t="shared" si="45"/>
        <v>199.59137053614126</v>
      </c>
      <c r="E38" s="2669">
        <f t="shared" si="60"/>
        <v>335.92189522342125</v>
      </c>
      <c r="F38" s="2669">
        <f t="shared" si="60"/>
        <v>183.10139991109489</v>
      </c>
      <c r="G38" s="3471">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2592</v>
      </c>
      <c r="B39" s="2669">
        <f t="shared" si="59"/>
        <v>232.06990378821649</v>
      </c>
      <c r="C39" s="2669">
        <f t="shared" si="59"/>
        <v>192.74878854286936</v>
      </c>
      <c r="D39" s="2669">
        <f t="shared" si="45"/>
        <v>192.74878854286936</v>
      </c>
      <c r="E39" s="2669">
        <f t="shared" si="60"/>
        <v>319.71247284992984</v>
      </c>
      <c r="F39" s="2669">
        <f t="shared" si="60"/>
        <v>175.67053622862409</v>
      </c>
      <c r="G39" s="3472">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2593</v>
      </c>
      <c r="B40" s="2661">
        <v>220</v>
      </c>
      <c r="C40" s="2661">
        <v>187</v>
      </c>
      <c r="D40" s="2661">
        <f t="shared" si="45"/>
        <v>187</v>
      </c>
      <c r="E40" s="2661">
        <v>301</v>
      </c>
      <c r="F40" s="2662">
        <v>168</v>
      </c>
      <c r="G40" s="3470">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2594</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71">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2595</v>
      </c>
      <c r="B42" s="2669">
        <f t="shared" si="61"/>
        <v>210.630522469011</v>
      </c>
      <c r="C42" s="2669">
        <f t="shared" si="61"/>
        <v>181.69567812247232</v>
      </c>
      <c r="D42" s="2669">
        <f t="shared" si="45"/>
        <v>181.69567812247232</v>
      </c>
      <c r="E42" s="2669">
        <f t="shared" si="62"/>
        <v>286.13517466736738</v>
      </c>
      <c r="F42" s="2669">
        <f t="shared" si="62"/>
        <v>165.47535084591149</v>
      </c>
      <c r="G42" s="3471">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2596</v>
      </c>
      <c r="B43" s="2669">
        <f t="shared" si="61"/>
        <v>208.83454537875372</v>
      </c>
      <c r="C43" s="2669">
        <f t="shared" si="61"/>
        <v>183.77230517090351</v>
      </c>
      <c r="D43" s="2669">
        <f t="shared" si="45"/>
        <v>183.77230517090351</v>
      </c>
      <c r="E43" s="2669">
        <f t="shared" si="62"/>
        <v>281.10342338870947</v>
      </c>
      <c r="F43" s="2669">
        <f t="shared" si="62"/>
        <v>168.97309388942256</v>
      </c>
      <c r="G43" s="3472">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2597</v>
      </c>
      <c r="B44" s="2699">
        <v>214</v>
      </c>
      <c r="C44" s="2699">
        <v>188</v>
      </c>
      <c r="D44" s="2699">
        <f t="shared" si="45"/>
        <v>188</v>
      </c>
      <c r="E44" s="2699">
        <v>289</v>
      </c>
      <c r="F44" s="2700">
        <v>166</v>
      </c>
      <c r="G44" s="3470">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2598</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71">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2599</v>
      </c>
      <c r="B46" s="2669">
        <f t="shared" si="63"/>
        <v>206.31694671589116</v>
      </c>
      <c r="C46" s="2669">
        <f t="shared" si="63"/>
        <v>183.61041121036101</v>
      </c>
      <c r="D46" s="2669">
        <f t="shared" si="45"/>
        <v>183.61041121036101</v>
      </c>
      <c r="E46" s="2669">
        <f t="shared" si="64"/>
        <v>276.66850301795557</v>
      </c>
      <c r="F46" s="2669">
        <f t="shared" si="64"/>
        <v>165.1360938278614</v>
      </c>
      <c r="G46" s="3471">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2600</v>
      </c>
      <c r="B47" s="2702">
        <f t="shared" si="63"/>
        <v>196.62341248059772</v>
      </c>
      <c r="C47" s="2702">
        <f t="shared" si="63"/>
        <v>170.99125648199012</v>
      </c>
      <c r="D47" s="2702">
        <f t="shared" si="45"/>
        <v>170.99125648199012</v>
      </c>
      <c r="E47" s="2702">
        <f t="shared" si="64"/>
        <v>266.07857570490052</v>
      </c>
      <c r="F47" s="2702">
        <f t="shared" si="64"/>
        <v>154.53499328828505</v>
      </c>
      <c r="G47" s="3472">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2601</v>
      </c>
      <c r="B48" s="2661">
        <v>188</v>
      </c>
      <c r="C48" s="2661">
        <v>165</v>
      </c>
      <c r="D48" s="2661">
        <f t="shared" si="45"/>
        <v>165</v>
      </c>
      <c r="E48" s="2661">
        <v>254</v>
      </c>
      <c r="F48" s="2662">
        <v>148</v>
      </c>
      <c r="G48" s="3470">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2602</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71">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2603</v>
      </c>
      <c r="B50" s="2669">
        <f t="shared" si="67"/>
        <v>168.82017748715555</v>
      </c>
      <c r="C50" s="2669">
        <f t="shared" si="67"/>
        <v>148.06267029972753</v>
      </c>
      <c r="D50" s="2669">
        <f t="shared" si="45"/>
        <v>148.06267029972753</v>
      </c>
      <c r="E50" s="2669">
        <f t="shared" si="68"/>
        <v>216.46288379323747</v>
      </c>
      <c r="F50" s="2669">
        <f t="shared" si="68"/>
        <v>134.23529411764704</v>
      </c>
      <c r="G50" s="3471">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2604</v>
      </c>
      <c r="B51" s="2669">
        <f t="shared" si="67"/>
        <v>163.84913591779542</v>
      </c>
      <c r="C51" s="2669">
        <f t="shared" si="67"/>
        <v>145.0283378746594</v>
      </c>
      <c r="D51" s="2669">
        <f t="shared" si="45"/>
        <v>145.0283378746594</v>
      </c>
      <c r="E51" s="2669">
        <f t="shared" si="68"/>
        <v>204.95180722891567</v>
      </c>
      <c r="F51" s="2669">
        <f t="shared" si="68"/>
        <v>125.95920303605313</v>
      </c>
      <c r="G51" s="3472">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2605</v>
      </c>
      <c r="B52" s="2683">
        <v>159</v>
      </c>
      <c r="C52" s="2683">
        <v>141</v>
      </c>
      <c r="D52" s="2683">
        <f t="shared" si="45"/>
        <v>141</v>
      </c>
      <c r="E52" s="2683">
        <v>195</v>
      </c>
      <c r="F52" s="2684">
        <v>122</v>
      </c>
      <c r="G52" s="3470">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2606</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71">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2607</v>
      </c>
      <c r="B54" s="2669">
        <f t="shared" si="71"/>
        <v>146.57412060301507</v>
      </c>
      <c r="C54" s="2669">
        <f t="shared" si="71"/>
        <v>136.46831955922866</v>
      </c>
      <c r="D54" s="2669">
        <f t="shared" si="45"/>
        <v>136.46831955922866</v>
      </c>
      <c r="E54" s="2669">
        <f t="shared" si="72"/>
        <v>166.73864894795128</v>
      </c>
      <c r="F54" s="2669">
        <f t="shared" si="72"/>
        <v>115.05882352941177</v>
      </c>
      <c r="G54" s="3471">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2608</v>
      </c>
      <c r="B55" s="2669">
        <f t="shared" si="71"/>
        <v>144.04145728643215</v>
      </c>
      <c r="C55" s="2669">
        <f t="shared" si="71"/>
        <v>136.12396694214877</v>
      </c>
      <c r="D55" s="2669">
        <f t="shared" si="45"/>
        <v>136.12396694214877</v>
      </c>
      <c r="E55" s="2669">
        <f t="shared" si="72"/>
        <v>158.32225913621264</v>
      </c>
      <c r="F55" s="2669">
        <f t="shared" si="72"/>
        <v>114.04278074866311</v>
      </c>
      <c r="G55" s="3472">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2609</v>
      </c>
      <c r="B56" s="2683">
        <v>138</v>
      </c>
      <c r="C56" s="2683">
        <v>131</v>
      </c>
      <c r="D56" s="2683">
        <f t="shared" si="45"/>
        <v>131</v>
      </c>
      <c r="E56" s="2683">
        <v>155</v>
      </c>
      <c r="F56" s="2684">
        <v>114</v>
      </c>
      <c r="G56" s="3470">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2610</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71">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2611</v>
      </c>
      <c r="B58" s="2669">
        <f t="shared" si="75"/>
        <v>124.29032258064517</v>
      </c>
      <c r="C58" s="2669">
        <f t="shared" si="75"/>
        <v>123.8968609865471</v>
      </c>
      <c r="D58" s="2669">
        <f t="shared" si="45"/>
        <v>123.8968609865471</v>
      </c>
      <c r="E58" s="2669">
        <f t="shared" si="76"/>
        <v>138.00507614213197</v>
      </c>
      <c r="F58" s="2669">
        <f t="shared" si="76"/>
        <v>107.96106557377048</v>
      </c>
      <c r="G58" s="3471">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2612</v>
      </c>
      <c r="B59" s="2669">
        <f t="shared" si="75"/>
        <v>122.57204301075269</v>
      </c>
      <c r="C59" s="2669">
        <f t="shared" si="75"/>
        <v>123.4932735426009</v>
      </c>
      <c r="D59" s="2669">
        <f t="shared" si="45"/>
        <v>123.4932735426009</v>
      </c>
      <c r="E59" s="2669">
        <f t="shared" si="76"/>
        <v>129.82233502538071</v>
      </c>
      <c r="F59" s="2669">
        <f t="shared" si="76"/>
        <v>107.39446721311475</v>
      </c>
      <c r="G59" s="3472">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2613</v>
      </c>
      <c r="B60" s="2699">
        <v>121</v>
      </c>
      <c r="C60" s="2699">
        <v>122</v>
      </c>
      <c r="D60" s="2699">
        <f t="shared" si="45"/>
        <v>122</v>
      </c>
      <c r="E60" s="2699">
        <v>124</v>
      </c>
      <c r="F60" s="2700">
        <v>107</v>
      </c>
      <c r="G60" s="3470">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2614</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71">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2615</v>
      </c>
      <c r="B62" s="2669">
        <f t="shared" si="79"/>
        <v>116.99099099099099</v>
      </c>
      <c r="C62" s="2669">
        <f t="shared" si="79"/>
        <v>118.84848484848486</v>
      </c>
      <c r="D62" s="2669">
        <f t="shared" si="45"/>
        <v>118.84848484848486</v>
      </c>
      <c r="E62" s="2669">
        <f t="shared" si="80"/>
        <v>117.60960960960961</v>
      </c>
      <c r="F62" s="2669">
        <f t="shared" si="80"/>
        <v>104</v>
      </c>
      <c r="G62" s="3471">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2616</v>
      </c>
      <c r="B63" s="2702">
        <f t="shared" si="79"/>
        <v>112.48648648648648</v>
      </c>
      <c r="C63" s="2702">
        <f t="shared" si="79"/>
        <v>115.21212121212122</v>
      </c>
      <c r="D63" s="2702">
        <f t="shared" si="45"/>
        <v>115.21212121212122</v>
      </c>
      <c r="E63" s="2702">
        <f t="shared" si="80"/>
        <v>110.4024024024024</v>
      </c>
      <c r="F63" s="2702">
        <f t="shared" si="80"/>
        <v>104</v>
      </c>
      <c r="G63" s="3472">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2617</v>
      </c>
      <c r="B64" s="2720">
        <v>111</v>
      </c>
      <c r="C64" s="2720">
        <v>114</v>
      </c>
      <c r="D64" s="2720">
        <f t="shared" si="45"/>
        <v>114</v>
      </c>
      <c r="E64" s="2720">
        <v>108</v>
      </c>
      <c r="F64" s="2721">
        <v>104</v>
      </c>
      <c r="G64" s="3470">
        <v>2003</v>
      </c>
      <c r="H64" s="2710">
        <v>4</v>
      </c>
      <c r="I64" s="2722"/>
      <c r="J64" s="2722"/>
      <c r="K64" s="2722"/>
      <c r="L64" s="2722"/>
      <c r="N64" s="2723"/>
      <c r="O64" s="2722"/>
      <c r="P64" s="2722"/>
      <c r="Q64" s="2722"/>
      <c r="S64" s="2723"/>
      <c r="T64" s="2722"/>
      <c r="U64" s="2722"/>
      <c r="V64" s="2722"/>
      <c r="X64" s="2714"/>
      <c r="Y64" s="2714"/>
      <c r="Z64" s="2714"/>
    </row>
    <row r="65" spans="1:26">
      <c r="A65" s="2655" t="s">
        <v>2618</v>
      </c>
      <c r="B65" s="2724">
        <f t="shared" ref="B65:C67" si="81">B66+(B$64-B$68)/4</f>
        <v>109.75</v>
      </c>
      <c r="C65" s="2724">
        <f t="shared" si="81"/>
        <v>112.25</v>
      </c>
      <c r="D65" s="2724">
        <f t="shared" si="45"/>
        <v>112.25</v>
      </c>
      <c r="E65" s="2724">
        <f t="shared" ref="E65:F67" si="82">E66+(E$64-E$68)/4</f>
        <v>107.25</v>
      </c>
      <c r="F65" s="2724">
        <f t="shared" si="82"/>
        <v>103.5</v>
      </c>
      <c r="G65" s="3471">
        <v>2003</v>
      </c>
      <c r="H65" s="2680">
        <v>3</v>
      </c>
      <c r="I65" s="2722"/>
      <c r="J65" s="2722"/>
      <c r="K65" s="2722"/>
      <c r="L65" s="2722"/>
      <c r="X65" s="2714"/>
      <c r="Y65" s="2714"/>
      <c r="Z65" s="2714"/>
    </row>
    <row r="66" spans="1:26">
      <c r="A66" s="2655" t="s">
        <v>2619</v>
      </c>
      <c r="B66" s="2724">
        <f t="shared" si="81"/>
        <v>108.5</v>
      </c>
      <c r="C66" s="2724">
        <f t="shared" si="81"/>
        <v>110.5</v>
      </c>
      <c r="D66" s="2724">
        <f t="shared" si="45"/>
        <v>110.5</v>
      </c>
      <c r="E66" s="2724">
        <f t="shared" si="82"/>
        <v>106.5</v>
      </c>
      <c r="F66" s="2724">
        <f t="shared" si="82"/>
        <v>103</v>
      </c>
      <c r="G66" s="3471">
        <v>2003</v>
      </c>
      <c r="H66" s="2660">
        <v>2</v>
      </c>
      <c r="I66" s="2722"/>
      <c r="J66" s="2722"/>
      <c r="K66" s="2722"/>
      <c r="L66" s="2722"/>
      <c r="X66" s="2714"/>
      <c r="Y66" s="2714"/>
      <c r="Z66" s="2714"/>
    </row>
    <row r="67" spans="1:26" ht="13.5" thickBot="1">
      <c r="A67" s="2655" t="s">
        <v>2620</v>
      </c>
      <c r="B67" s="2724">
        <f t="shared" si="81"/>
        <v>107.25</v>
      </c>
      <c r="C67" s="2724">
        <f t="shared" si="81"/>
        <v>108.75</v>
      </c>
      <c r="D67" s="2724">
        <f t="shared" si="45"/>
        <v>108.75</v>
      </c>
      <c r="E67" s="2724">
        <f t="shared" si="82"/>
        <v>105.75</v>
      </c>
      <c r="F67" s="2724">
        <f t="shared" si="82"/>
        <v>102.5</v>
      </c>
      <c r="G67" s="3472">
        <v>2003</v>
      </c>
      <c r="H67" s="2725">
        <v>1</v>
      </c>
      <c r="I67" s="2722"/>
      <c r="J67" s="2722"/>
      <c r="K67" s="2722"/>
      <c r="L67" s="2722"/>
      <c r="S67" s="2664"/>
      <c r="T67" s="2665"/>
      <c r="U67" s="2665"/>
      <c r="X67" s="2714"/>
      <c r="Y67" s="2714"/>
      <c r="Z67" s="2714"/>
    </row>
    <row r="68" spans="1:26" ht="13.5" thickBot="1">
      <c r="A68" s="2655" t="s">
        <v>2621</v>
      </c>
      <c r="B68" s="2726">
        <v>106</v>
      </c>
      <c r="C68" s="2726">
        <v>107</v>
      </c>
      <c r="D68" s="2726">
        <f t="shared" si="45"/>
        <v>107</v>
      </c>
      <c r="E68" s="2726">
        <v>105</v>
      </c>
      <c r="F68" s="2727">
        <v>102</v>
      </c>
      <c r="G68" s="3470">
        <v>2002</v>
      </c>
      <c r="H68" s="2675">
        <v>4</v>
      </c>
      <c r="I68" s="2722"/>
      <c r="J68" s="2722"/>
      <c r="K68" s="2722"/>
      <c r="L68" s="2722"/>
      <c r="N68" s="2723"/>
      <c r="O68" s="2722"/>
      <c r="P68" s="2722"/>
      <c r="Q68" s="2722"/>
      <c r="S68" s="2723"/>
      <c r="T68" s="2722"/>
      <c r="U68" s="2722"/>
      <c r="V68" s="2722"/>
      <c r="X68" s="2714"/>
      <c r="Y68" s="2714"/>
      <c r="Z68" s="2714"/>
    </row>
    <row r="69" spans="1:26">
      <c r="A69" s="2655" t="s">
        <v>2622</v>
      </c>
      <c r="B69" s="2724">
        <f t="shared" ref="B69:C71" si="83">B70+(B$68-B$72)/4</f>
        <v>105</v>
      </c>
      <c r="C69" s="2724">
        <f t="shared" si="83"/>
        <v>106</v>
      </c>
      <c r="D69" s="2724">
        <f t="shared" si="45"/>
        <v>106</v>
      </c>
      <c r="E69" s="2724">
        <f t="shared" ref="E69:F71" si="84">E70+(E$68-E$72)/4</f>
        <v>104.5</v>
      </c>
      <c r="F69" s="2724">
        <f t="shared" si="84"/>
        <v>101.5</v>
      </c>
      <c r="G69" s="3471">
        <v>2002</v>
      </c>
      <c r="H69" s="2680">
        <v>3</v>
      </c>
      <c r="I69" s="2722"/>
      <c r="J69" s="2722"/>
      <c r="K69" s="2722"/>
      <c r="L69" s="2722"/>
      <c r="X69" s="2714"/>
      <c r="Y69" s="2714"/>
      <c r="Z69" s="2714"/>
    </row>
    <row r="70" spans="1:26">
      <c r="A70" s="2655" t="s">
        <v>2623</v>
      </c>
      <c r="B70" s="2724">
        <f t="shared" si="83"/>
        <v>104</v>
      </c>
      <c r="C70" s="2724">
        <f t="shared" si="83"/>
        <v>105</v>
      </c>
      <c r="D70" s="2724">
        <f t="shared" si="45"/>
        <v>105</v>
      </c>
      <c r="E70" s="2724">
        <f t="shared" si="84"/>
        <v>104</v>
      </c>
      <c r="F70" s="2724">
        <f t="shared" si="84"/>
        <v>101</v>
      </c>
      <c r="G70" s="3471">
        <v>2002</v>
      </c>
      <c r="H70" s="2660">
        <v>2</v>
      </c>
      <c r="I70" s="2722"/>
      <c r="J70" s="2722"/>
      <c r="K70" s="2722"/>
      <c r="L70" s="2722"/>
      <c r="X70" s="2714"/>
      <c r="Y70" s="2714"/>
      <c r="Z70" s="2714"/>
    </row>
    <row r="71" spans="1:26" s="2691" customFormat="1" ht="13.5" thickBot="1">
      <c r="A71" s="2687" t="s">
        <v>2624</v>
      </c>
      <c r="B71" s="2728">
        <f t="shared" si="83"/>
        <v>103</v>
      </c>
      <c r="C71" s="2728">
        <f t="shared" si="83"/>
        <v>104</v>
      </c>
      <c r="D71" s="2728">
        <f t="shared" si="45"/>
        <v>104</v>
      </c>
      <c r="E71" s="2728">
        <f t="shared" si="84"/>
        <v>103.5</v>
      </c>
      <c r="F71" s="2728">
        <f t="shared" si="84"/>
        <v>100.5</v>
      </c>
      <c r="G71" s="3472">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2625</v>
      </c>
      <c r="G74" s="2738"/>
      <c r="N74" s="2738"/>
      <c r="S74" s="2738"/>
    </row>
    <row r="75" spans="1:26" s="2737" customFormat="1">
      <c r="A75" s="2737" t="s">
        <v>2626</v>
      </c>
      <c r="G75" s="2738"/>
      <c r="N75" s="2738"/>
      <c r="S75" s="2738"/>
    </row>
    <row r="76" spans="1:26" s="2737" customFormat="1">
      <c r="A76" s="2737" t="s">
        <v>2627</v>
      </c>
      <c r="G76" s="2738"/>
      <c r="I76" s="2739"/>
      <c r="J76" s="2739"/>
      <c r="K76" s="2739"/>
      <c r="L76" s="2739"/>
      <c r="N76" s="2740"/>
      <c r="O76" s="2739"/>
      <c r="P76" s="2739"/>
      <c r="Q76" s="2739"/>
      <c r="S76" s="2740"/>
      <c r="T76" s="2739"/>
      <c r="U76" s="2739"/>
      <c r="V76" s="2739"/>
    </row>
    <row r="77" spans="1:26" s="2737" customFormat="1">
      <c r="A77" s="2737" t="s">
        <v>2628</v>
      </c>
      <c r="G77" s="2738"/>
      <c r="N77" s="2738"/>
      <c r="S77" s="2738"/>
    </row>
    <row r="84" spans="7:22" ht="13.5" thickBot="1"/>
    <row r="85" spans="7:22">
      <c r="G85" s="2663"/>
      <c r="S85" s="2741" t="s">
        <v>2629</v>
      </c>
      <c r="T85" s="2742" t="s">
        <v>2630</v>
      </c>
      <c r="U85" s="2742" t="s">
        <v>2631</v>
      </c>
      <c r="V85" s="2742" t="s">
        <v>2632</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天津城投滨海房地产经营有限公司：</v>
      </c>
    </row>
    <row r="4" spans="1:4" ht="56.25">
      <c r="A4" s="1792" t="str">
        <f>"受贵公司委托，我公司对"&amp;项目基本情况!K2&amp;项目基本情况!B9&amp;"进行了预评估。"</f>
        <v>受贵公司委托，我公司对天津市滨海新区开发区海滨大道以西、新港四号路以北远洋琨庭项目110地块住宅、商业用房出让国有建设用地使用权抵押价格进行了预评估。</v>
      </c>
    </row>
    <row r="5" spans="1:4" ht="18.75">
      <c r="A5" s="1795" t="s">
        <v>1904</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城投滨海房地产经营有限公司使用的、位于天津市滨海新区开发区海滨大道以西、新港四号路以北远洋琨庭项目110地块住宅、商业用房出让国有建设用地使用权。根据《国有土地使用证》[津2017开发区不动产权第1011751号]，估价对象（分摊）出让国有建设用地使用权面积为51383.96平方米。根据《建设工程规划许可证》[]、《经济技术指标》，估价对象规划建筑面积为160029.14平方米。</v>
      </c>
    </row>
    <row r="7" spans="1:4" ht="56.25">
      <c r="A7" s="1796" t="s">
        <v>2741</v>
      </c>
    </row>
    <row r="8" spans="1:4" ht="18.75">
      <c r="A8" s="1795" t="s">
        <v>1905</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2018年8月13日（评估专业人员勘察现场之日）</v>
      </c>
    </row>
    <row r="12" spans="1:4" ht="18.75">
      <c r="A12" s="1798" t="s">
        <v>2024</v>
      </c>
    </row>
    <row r="13" spans="1:4" ht="18.75">
      <c r="A13" s="1792" t="s">
        <v>2930</v>
      </c>
    </row>
    <row r="14" spans="1:4" ht="37.5">
      <c r="A14" s="1792" t="str">
        <f>"根据"&amp;项目基本情况!F12&amp;"，本次评估估价对象证载（地类）用途为"&amp;项目基本情况!B12&amp;"。"</f>
        <v>根据《国有土地使用证》[津2017开发区不动产权第1011751号]，本次评估估价对象证载（地类）用途为城镇住宅用地。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津2017开发区不动产权第1011751号]，估价对象（分摊）出让国有建设用地使用权面积为51383.96平方米。根据《建设工程规划许可证》[]、《经济技术指标》，估价对象规划建筑面积为160029.14平方米。</v>
      </c>
    </row>
    <row r="21" spans="1:1" ht="18.75">
      <c r="A21" s="1792" t="s">
        <v>2073</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津2017开发区不动产权第1011751号]证载土地终止日期为住宅2074年4月26日、商业2044年4月26日车库2054年4月26日。截至估价期日，出让国有建设用地使用权剩余土地使用年限为住宅55.7年、地下车库35.7年。</v>
      </c>
    </row>
    <row r="23" spans="1:1" ht="18.75">
      <c r="A23" s="1792" t="str">
        <f>IF(项目基本情况!B16="出让","本次评估设定估价对象剩余土地使用年限为"&amp;项目基本情况!D20&amp;"。","")</f>
        <v>本次评估设定估价对象剩余土地使用年限为住宅55.7年、地下车库35.7年。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8月13日，在规划利用条件下、设定土地开发程度为红线外“七通”、宗地内场地平整，设定用途为住宅、地下车库，剩余土地使用年限为住宅55.7年、地下车库35.7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3" sqref="H1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35</v>
      </c>
      <c r="D1" s="3122" t="s">
        <v>3101</v>
      </c>
      <c r="E1" s="2387" t="s">
        <v>2370</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90"/>
      <c r="H2" s="2057"/>
      <c r="I2" s="2057"/>
      <c r="J2" s="2057"/>
      <c r="K2" s="2058"/>
      <c r="L2" s="2057"/>
      <c r="M2" s="2057"/>
    </row>
    <row r="3" spans="1:33" ht="18" customHeight="1" thickBot="1">
      <c r="A3" s="833" t="s">
        <v>1726</v>
      </c>
      <c r="B3" s="834">
        <f ca="1">IF(ISERROR(B2*10000/F43),0,ROUND(B2*10000/F43,0))</f>
        <v>0</v>
      </c>
      <c r="C3" s="2057"/>
      <c r="D3" s="2055"/>
      <c r="E3" s="2056"/>
      <c r="F3" s="2056"/>
      <c r="G3" s="1590"/>
      <c r="H3" s="776" t="s">
        <v>693</v>
      </c>
      <c r="I3" s="1363"/>
      <c r="J3" s="1363"/>
      <c r="K3" s="1591"/>
      <c r="L3" s="1363"/>
      <c r="M3" s="1363"/>
    </row>
    <row r="4" spans="1:33" ht="18" customHeight="1">
      <c r="A4" s="777" t="s">
        <v>1727</v>
      </c>
      <c r="B4" s="778" t="s">
        <v>1728</v>
      </c>
      <c r="C4" s="778" t="s">
        <v>1729</v>
      </c>
      <c r="D4" s="778" t="s">
        <v>631</v>
      </c>
      <c r="E4" s="779" t="s">
        <v>1730</v>
      </c>
      <c r="F4" s="780"/>
      <c r="G4" s="1592"/>
      <c r="H4" s="777" t="s">
        <v>1731</v>
      </c>
      <c r="I4" s="778" t="s">
        <v>1732</v>
      </c>
      <c r="J4" s="778" t="s">
        <v>1733</v>
      </c>
      <c r="K4" s="778" t="s">
        <v>1734</v>
      </c>
      <c r="L4" s="779" t="s">
        <v>1735</v>
      </c>
      <c r="M4" s="780"/>
    </row>
    <row r="5" spans="1:33" ht="18" customHeight="1">
      <c r="A5" s="781">
        <v>1</v>
      </c>
      <c r="B5" s="782" t="s">
        <v>2452</v>
      </c>
      <c r="C5" s="55" t="e">
        <f ca="1">C6+C10+C12</f>
        <v>#N/A</v>
      </c>
      <c r="D5" s="2496" t="s">
        <v>2455</v>
      </c>
      <c r="E5" s="2490"/>
      <c r="F5" s="2491"/>
      <c r="G5" s="1592"/>
      <c r="H5" s="781">
        <v>1</v>
      </c>
      <c r="I5" s="782" t="s">
        <v>2452</v>
      </c>
      <c r="J5" s="55" t="e">
        <f ca="1">J6+J10+J12</f>
        <v>#N/A</v>
      </c>
      <c r="K5" s="2496" t="s">
        <v>2455</v>
      </c>
      <c r="L5" s="2490"/>
      <c r="M5" s="2491"/>
    </row>
    <row r="6" spans="1:33" ht="18" customHeight="1">
      <c r="A6" s="1831" t="s">
        <v>1823</v>
      </c>
      <c r="B6" s="3464" t="s">
        <v>2457</v>
      </c>
      <c r="C6" s="783" t="e">
        <f ca="1">ROUND(F6*F8*F7*(1-F9)/10000,0)</f>
        <v>#N/A</v>
      </c>
      <c r="D6" s="2497" t="s">
        <v>2456</v>
      </c>
      <c r="E6" s="784" t="s">
        <v>1737</v>
      </c>
      <c r="F6" s="785" t="e">
        <f ca="1">INDIRECT("'数据-取费表'!u"&amp;$G$1)</f>
        <v>#N/A</v>
      </c>
      <c r="G6" s="1592"/>
      <c r="H6" s="2504" t="s">
        <v>2462</v>
      </c>
      <c r="I6" s="3464" t="s">
        <v>2457</v>
      </c>
      <c r="J6" s="783" t="e">
        <f ca="1">ROUND(M6*M8*M7*(1-M9)/10000,0)</f>
        <v>#N/A</v>
      </c>
      <c r="K6" s="341" t="s">
        <v>1736</v>
      </c>
      <c r="L6" s="784" t="s">
        <v>1737</v>
      </c>
      <c r="M6" s="785" t="e">
        <f ca="1">INDIRECT("'数据-取费表'!z"&amp;$G$1)</f>
        <v>#N/A</v>
      </c>
    </row>
    <row r="7" spans="1:33" ht="18" customHeight="1">
      <c r="A7" s="2500"/>
      <c r="B7" s="3465"/>
      <c r="C7" s="788"/>
      <c r="D7" s="789"/>
      <c r="E7" s="784" t="s">
        <v>1738</v>
      </c>
      <c r="F7" s="785" t="e">
        <f ca="1">IF(INDIRECT("'数据-取费表'!ah"&amp;$G$1)="",INDIRECT("'数据-取费表'!k"&amp;$G$1),INDIRECT("'数据-取费表'!ah"&amp;$G$1))</f>
        <v>#N/A</v>
      </c>
      <c r="G7" s="1592"/>
      <c r="H7" s="2489"/>
      <c r="I7" s="3465"/>
      <c r="J7" s="788"/>
      <c r="K7" s="789"/>
      <c r="L7" s="784" t="s">
        <v>1738</v>
      </c>
      <c r="M7" s="785" t="e">
        <f ca="1">F7</f>
        <v>#N/A</v>
      </c>
    </row>
    <row r="8" spans="1:33" ht="18" customHeight="1">
      <c r="A8" s="2493"/>
      <c r="B8" s="3466"/>
      <c r="C8" s="788"/>
      <c r="D8" s="789"/>
      <c r="E8" s="784" t="s">
        <v>1739</v>
      </c>
      <c r="F8" s="785" t="e">
        <f ca="1">INDIRECT("'数据-取费表'!ai"&amp;$G$1)</f>
        <v>#N/A</v>
      </c>
      <c r="G8" s="1592"/>
      <c r="H8" s="2489"/>
      <c r="I8" s="3466"/>
      <c r="J8" s="788"/>
      <c r="K8" s="789"/>
      <c r="L8" s="784" t="s">
        <v>1739</v>
      </c>
      <c r="M8" s="785" t="e">
        <f ca="1">INDIRECT("'数据-取费表'!ai"&amp;$G$1)</f>
        <v>#N/A</v>
      </c>
    </row>
    <row r="9" spans="1:33" ht="18" customHeight="1">
      <c r="A9" s="786"/>
      <c r="B9" s="3467"/>
      <c r="C9" s="788"/>
      <c r="D9" s="789"/>
      <c r="E9" s="784" t="s">
        <v>1740</v>
      </c>
      <c r="F9" s="794" t="e">
        <f ca="1">INDIRECT("'数据-取费表'!w"&amp;$G$1)</f>
        <v>#N/A</v>
      </c>
      <c r="G9" s="1592"/>
      <c r="H9" s="2505"/>
      <c r="I9" s="3466"/>
      <c r="J9" s="788"/>
      <c r="K9" s="789"/>
      <c r="L9" s="795" t="s">
        <v>1740</v>
      </c>
      <c r="M9" s="796" t="e">
        <f ca="1">INDIRECT("'数据-取费表'!ab"&amp;$G$1)</f>
        <v>#N/A</v>
      </c>
    </row>
    <row r="10" spans="1:33" ht="18" customHeight="1">
      <c r="A10" s="1831" t="s">
        <v>2460</v>
      </c>
      <c r="B10" s="2494" t="s">
        <v>2453</v>
      </c>
      <c r="C10" s="799" t="e">
        <f ca="1">ROUND(IF(F10="押一",C6/12*F11,IF(F10="押二",C6/12*2*F11,IF(F10="押三",C6/12*3*F11,C11*F11))),0)</f>
        <v>#N/A</v>
      </c>
      <c r="D10" s="2501" t="s">
        <v>2963</v>
      </c>
      <c r="E10" s="2498" t="s">
        <v>2458</v>
      </c>
      <c r="F10" s="2621" t="s">
        <v>3102</v>
      </c>
      <c r="G10" s="1592"/>
      <c r="H10" s="2561" t="s">
        <v>2463</v>
      </c>
      <c r="I10" s="2566" t="s">
        <v>2453</v>
      </c>
      <c r="J10" s="783">
        <f ca="1">ROUND(IF(M10="押一",J6/12*M11,IF(M10="押二",J6/12*2*M11,IF(M10="押三",J6/12*3*M11,J11*M11))),0)</f>
        <v>0</v>
      </c>
      <c r="K10" s="2501" t="s">
        <v>2963</v>
      </c>
      <c r="L10" s="2498" t="s">
        <v>2458</v>
      </c>
      <c r="M10" s="2621"/>
    </row>
    <row r="11" spans="1:33" ht="18" customHeight="1">
      <c r="A11" s="790"/>
      <c r="B11" s="2495" t="s">
        <v>2567</v>
      </c>
      <c r="C11" s="2499"/>
      <c r="D11" s="789"/>
      <c r="E11" s="2498" t="s">
        <v>2459</v>
      </c>
      <c r="F11" s="796">
        <f ca="1">'数据-取费表'!B39</f>
        <v>1.4999999999999999E-2</v>
      </c>
      <c r="G11" s="1592"/>
      <c r="H11" s="2562"/>
      <c r="I11" s="2495" t="s">
        <v>2567</v>
      </c>
      <c r="J11" s="2499"/>
      <c r="K11" s="2563"/>
      <c r="L11" s="2498" t="s">
        <v>2459</v>
      </c>
      <c r="M11" s="2492">
        <f ca="1">'数据-取费表'!B39</f>
        <v>1.4999999999999999E-2</v>
      </c>
    </row>
    <row r="12" spans="1:33" ht="18" customHeight="1" thickBot="1">
      <c r="A12" s="2537" t="s">
        <v>2461</v>
      </c>
      <c r="B12" s="2538" t="s">
        <v>2454</v>
      </c>
      <c r="C12" s="2539"/>
      <c r="D12" s="2540"/>
      <c r="E12" s="2541"/>
      <c r="F12" s="2542"/>
      <c r="G12" s="1592"/>
      <c r="H12" s="2551" t="s">
        <v>2464</v>
      </c>
      <c r="I12" s="2564" t="s">
        <v>2454</v>
      </c>
      <c r="J12" s="2565"/>
      <c r="K12" s="2540"/>
      <c r="L12" s="2541"/>
      <c r="M12" s="2554"/>
    </row>
    <row r="13" spans="1:33" ht="18" customHeight="1" thickTop="1">
      <c r="A13" s="1830">
        <v>2</v>
      </c>
      <c r="B13" s="1828" t="s">
        <v>1741</v>
      </c>
      <c r="C13" s="792" t="e">
        <f ca="1">ROUND(C29*F13,0)</f>
        <v>#N/A</v>
      </c>
      <c r="D13" s="1835" t="s">
        <v>2295</v>
      </c>
      <c r="E13" s="1835" t="s">
        <v>1743</v>
      </c>
      <c r="F13" s="2536" t="e">
        <f ca="1">INDIRECT("'数据-取费表'!y"&amp;$G$1)</f>
        <v>#N/A</v>
      </c>
      <c r="G13" s="1592"/>
      <c r="H13" s="1830">
        <v>2</v>
      </c>
      <c r="I13" s="1828" t="s">
        <v>1741</v>
      </c>
      <c r="J13" s="1820" t="e">
        <f ca="1">ROUND(J14*J15,0)</f>
        <v>#N/A</v>
      </c>
      <c r="K13" s="1822" t="s">
        <v>1742</v>
      </c>
      <c r="L13" s="2552"/>
      <c r="M13" s="2553"/>
    </row>
    <row r="14" spans="1:33" ht="18" customHeight="1">
      <c r="A14" s="1648" t="s">
        <v>1883</v>
      </c>
      <c r="B14" s="784" t="s">
        <v>643</v>
      </c>
      <c r="C14" s="804" t="e">
        <f ca="1">INDIRECT("'数据-取费表'!m"&amp;$G$1)+INDIRECT("'数据-取费表'!t"&amp;$G$1)</f>
        <v>#N/A</v>
      </c>
      <c r="D14" s="1979" t="s">
        <v>1744</v>
      </c>
      <c r="E14" s="1980"/>
      <c r="F14" s="805"/>
      <c r="G14" s="1592"/>
      <c r="H14" s="1649" t="s">
        <v>1829</v>
      </c>
      <c r="I14" s="2231" t="s">
        <v>2820</v>
      </c>
      <c r="J14" s="53" t="e">
        <f ca="1">C29</f>
        <v>#N/A</v>
      </c>
      <c r="K14" s="26"/>
      <c r="L14" s="801"/>
      <c r="M14" s="802"/>
    </row>
    <row r="15" spans="1:33" s="2064" customFormat="1" ht="18" customHeight="1" thickBot="1">
      <c r="A15" s="1648" t="s">
        <v>1884</v>
      </c>
      <c r="B15" s="784" t="s">
        <v>645</v>
      </c>
      <c r="C15" s="53" t="e">
        <f ca="1">ROUND(C14*F15,0)</f>
        <v>#N/A</v>
      </c>
      <c r="D15" s="806" t="s">
        <v>1745</v>
      </c>
      <c r="E15" s="806" t="s">
        <v>1746</v>
      </c>
      <c r="F15" s="807">
        <f>'数据-取费表'!B33</f>
        <v>0.03</v>
      </c>
      <c r="G15" s="1593"/>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1885</v>
      </c>
      <c r="B16" s="784" t="s">
        <v>648</v>
      </c>
      <c r="C16" s="53" t="e">
        <f ca="1">ROUND(INDIRECT("'数据-取费表'!m"&amp;$G$1)*F16,0)</f>
        <v>#N/A</v>
      </c>
      <c r="D16" s="784" t="s">
        <v>1745</v>
      </c>
      <c r="E16" s="784" t="s">
        <v>1746</v>
      </c>
      <c r="F16" s="809" t="e">
        <f ca="1">IF(INDIRECT("'数据-取费表'!c"&amp;$G$1)="住宅",'数据-取费表'!B34,0)</f>
        <v>#N/A</v>
      </c>
      <c r="G16" s="1592"/>
      <c r="H16" s="1830" t="s">
        <v>1747</v>
      </c>
      <c r="I16" s="1828" t="s">
        <v>1748</v>
      </c>
      <c r="J16" s="792" t="e">
        <f ca="1">ROUND(J17+J22+J23+J24,0)</f>
        <v>#N/A</v>
      </c>
      <c r="K16" s="1822" t="s">
        <v>1749</v>
      </c>
      <c r="L16" s="2486"/>
      <c r="M16" s="2491"/>
    </row>
    <row r="17" spans="1:33" s="2064" customFormat="1" ht="18" customHeight="1">
      <c r="A17" s="1648" t="s">
        <v>1886</v>
      </c>
      <c r="B17" s="784" t="s">
        <v>651</v>
      </c>
      <c r="C17" s="53" t="e">
        <f ca="1">ROUND(F17*(F43+INDIRECT("'数据-取费表'!S"&amp;$G$1))/10000,0)</f>
        <v>#N/A</v>
      </c>
      <c r="D17" s="784" t="s">
        <v>1750</v>
      </c>
      <c r="E17" s="784" t="s">
        <v>1751</v>
      </c>
      <c r="F17" s="56">
        <f>'数据-取费表'!B35</f>
        <v>200</v>
      </c>
      <c r="G17" s="1593"/>
      <c r="H17" s="1649" t="s">
        <v>1829</v>
      </c>
      <c r="I17" s="784" t="s">
        <v>654</v>
      </c>
      <c r="J17" s="53" t="e">
        <f ca="1">ROUND(IF(项目基本情况!B11="自然人",J5*M17,J18+J19+J20),0)</f>
        <v>#N/A</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1887</v>
      </c>
      <c r="B18" s="784" t="s">
        <v>657</v>
      </c>
      <c r="C18" s="53" t="e">
        <f ca="1">ROUND(C14*F18,0)</f>
        <v>#N/A</v>
      </c>
      <c r="D18" s="784" t="s">
        <v>1745</v>
      </c>
      <c r="E18" s="784" t="s">
        <v>1746</v>
      </c>
      <c r="F18" s="809">
        <f>'数据-取费表'!B36</f>
        <v>1.4999999999999999E-2</v>
      </c>
      <c r="G18" s="1593"/>
      <c r="H18" s="1648" t="s">
        <v>1883</v>
      </c>
      <c r="I18" s="784" t="s">
        <v>1754</v>
      </c>
      <c r="J18" s="53" t="e">
        <f ca="1">ROUND(J5*M18/1.05,1)</f>
        <v>#N/A</v>
      </c>
      <c r="K18" s="2484" t="s">
        <v>1755</v>
      </c>
      <c r="L18" s="784" t="s">
        <v>1746</v>
      </c>
      <c r="M18" s="809">
        <f>'数据-取费表'!B41</f>
        <v>6.6000000000000003E-2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1829</v>
      </c>
      <c r="B19" s="784" t="s">
        <v>660</v>
      </c>
      <c r="C19" s="53" t="e">
        <f ca="1">SUM(C14:C18)</f>
        <v>#N/A</v>
      </c>
      <c r="D19" s="261" t="s">
        <v>1756</v>
      </c>
      <c r="E19" s="1982"/>
      <c r="F19" s="56"/>
      <c r="G19" s="1592"/>
      <c r="H19" s="1648" t="s">
        <v>1884</v>
      </c>
      <c r="I19" s="784" t="s">
        <v>1757</v>
      </c>
      <c r="J19" s="53" t="e">
        <f ca="1">IF(K19="按租金收入计税",ROUND(J5*M19,1),ROUND(C29*F33*0.7,1))</f>
        <v>#N/A</v>
      </c>
      <c r="K19" s="811" t="s">
        <v>663</v>
      </c>
      <c r="L19" s="784" t="s">
        <v>1746</v>
      </c>
      <c r="M19" s="809">
        <f>IF(K19="按租金收入计税",'数据-取费表'!B51,'数据-取费表'!B50)</f>
        <v>1.2E-2</v>
      </c>
    </row>
    <row r="20" spans="1:33" s="2064" customFormat="1" ht="18" customHeight="1">
      <c r="A20" s="1649" t="s">
        <v>1888</v>
      </c>
      <c r="B20" s="784" t="s">
        <v>664</v>
      </c>
      <c r="C20" s="53" t="e">
        <f ca="1">ROUND(C19*F20,0)</f>
        <v>#N/A</v>
      </c>
      <c r="D20" s="812" t="s">
        <v>1758</v>
      </c>
      <c r="E20" s="784" t="s">
        <v>1746</v>
      </c>
      <c r="F20" s="809">
        <f>'数据-取费表'!B37</f>
        <v>0.02</v>
      </c>
      <c r="G20" s="1593"/>
      <c r="H20" s="1651" t="s">
        <v>1879</v>
      </c>
      <c r="I20" s="341" t="s">
        <v>1759</v>
      </c>
      <c r="J20" s="54" t="e">
        <f ca="1">ROUND(M20*M21/10000,0)</f>
        <v>#N/A</v>
      </c>
      <c r="K20" s="814" t="s">
        <v>1760</v>
      </c>
      <c r="L20" s="784" t="s">
        <v>1761</v>
      </c>
      <c r="M20" s="640">
        <f>'数据-取费表'!B52</f>
        <v>25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1889</v>
      </c>
      <c r="B21" s="784" t="s">
        <v>1762</v>
      </c>
      <c r="C21" s="53" t="s">
        <v>1763</v>
      </c>
      <c r="D21" s="812" t="s">
        <v>2296</v>
      </c>
      <c r="E21" s="784" t="s">
        <v>1764</v>
      </c>
      <c r="F21" s="809">
        <f>'数据-取费表'!B38</f>
        <v>0.02</v>
      </c>
      <c r="G21" s="1593"/>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1890</v>
      </c>
      <c r="B22" s="784" t="s">
        <v>1766</v>
      </c>
      <c r="C22" s="53"/>
      <c r="D22" s="2572" t="str">
        <f>IF(F23&lt;=1,"单利计息。","复利计息。")&amp;"建造成本、管理费用、销售费用产生的利息。"</f>
        <v>复利计息。建造成本、管理费用、销售费用产生的利息。</v>
      </c>
      <c r="E22" s="1982"/>
      <c r="F22" s="56"/>
      <c r="G22" s="1592"/>
      <c r="H22" s="1649" t="s">
        <v>1888</v>
      </c>
      <c r="I22" s="784" t="s">
        <v>1767</v>
      </c>
      <c r="J22" s="53" t="e">
        <f ca="1">ROUND(J14*M22,0)</f>
        <v>#N/A</v>
      </c>
      <c r="K22" s="2484" t="s">
        <v>1768</v>
      </c>
      <c r="L22" s="784" t="s">
        <v>1746</v>
      </c>
      <c r="M22" s="817" t="e">
        <f ca="1">INDIRECT("'数据-取费表'!Ak"&amp;$G$1)</f>
        <v>#N/A</v>
      </c>
    </row>
    <row r="23" spans="1:33" s="2064" customFormat="1" ht="18" customHeight="1">
      <c r="A23" s="1648" t="s">
        <v>1830</v>
      </c>
      <c r="B23" s="784" t="s">
        <v>2529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3"/>
      <c r="H23" s="1649" t="s">
        <v>1889</v>
      </c>
      <c r="I23" s="784" t="s">
        <v>677</v>
      </c>
      <c r="J23" s="53" t="e">
        <f ca="1">ROUND(J13*M23,0)</f>
        <v>#N/A</v>
      </c>
      <c r="K23" s="2484"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3"/>
      <c r="H24" s="2551" t="s">
        <v>1890</v>
      </c>
      <c r="I24" s="2546" t="s">
        <v>664</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1839</v>
      </c>
      <c r="B25" s="784" t="s">
        <v>682</v>
      </c>
      <c r="C25" s="53"/>
      <c r="D25" s="261" t="s">
        <v>1774</v>
      </c>
      <c r="E25" s="1982"/>
      <c r="F25" s="56"/>
      <c r="G25" s="1592"/>
      <c r="H25" s="1830" t="s">
        <v>1775</v>
      </c>
      <c r="I25" s="3009" t="s">
        <v>2816</v>
      </c>
      <c r="J25" s="792" t="e">
        <f ca="1">J5-J16</f>
        <v>#N/A</v>
      </c>
      <c r="K25" s="2548" t="s">
        <v>1776</v>
      </c>
      <c r="L25" s="2549"/>
      <c r="M25" s="2550"/>
    </row>
    <row r="26" spans="1:33" ht="18" customHeight="1">
      <c r="A26" s="1648" t="s">
        <v>1830</v>
      </c>
      <c r="B26" s="784" t="s">
        <v>2434</v>
      </c>
      <c r="C26" s="53" t="e">
        <f ca="1">ROUND((C19+C20)*F26,0)</f>
        <v>#N/A</v>
      </c>
      <c r="D26" s="812" t="s">
        <v>1777</v>
      </c>
      <c r="E26" s="795" t="s">
        <v>1778</v>
      </c>
      <c r="F26" s="794" t="e">
        <f ca="1">INDIRECT("'数据-取费表'!q"&amp;$G$1)</f>
        <v>#N/A</v>
      </c>
      <c r="G26" s="1592"/>
      <c r="H26" s="2502" t="s">
        <v>1779</v>
      </c>
      <c r="I26" s="2232" t="s">
        <v>2821</v>
      </c>
      <c r="J26" s="783" t="e">
        <f ca="1">IF(J5&lt;&gt;0,ROUND(J25*(1-((1+M28)/(1+M26))^M27)/(M26-M28),0),0)</f>
        <v>#N/A</v>
      </c>
      <c r="K26" s="814" t="s">
        <v>1780</v>
      </c>
      <c r="L26" s="784" t="s">
        <v>2415</v>
      </c>
      <c r="M26" s="794" t="e">
        <f ca="1">INDIRECT("'数据-取费表'!I"&amp;$G$1)</f>
        <v>#N/A</v>
      </c>
    </row>
    <row r="27" spans="1:33" ht="18" customHeight="1">
      <c r="A27" s="1648" t="s">
        <v>1831</v>
      </c>
      <c r="B27" s="784" t="s">
        <v>684</v>
      </c>
      <c r="C27" s="53" t="e">
        <f ca="1">ROUND(F21*F26,4)</f>
        <v>#N/A</v>
      </c>
      <c r="D27" s="812" t="s">
        <v>1781</v>
      </c>
      <c r="E27" s="806"/>
      <c r="F27" s="807"/>
      <c r="G27" s="1592"/>
      <c r="H27" s="2503"/>
      <c r="I27" s="787"/>
      <c r="J27" s="788"/>
      <c r="K27" s="821" t="s">
        <v>1782</v>
      </c>
      <c r="L27" s="784" t="s">
        <v>1783</v>
      </c>
      <c r="M27" s="822" t="e">
        <f ca="1">INDIRECT("'数据-取费表'!ag"&amp;$G$1)</f>
        <v>#N/A</v>
      </c>
    </row>
    <row r="28" spans="1:33" s="2064" customFormat="1" ht="18" customHeight="1">
      <c r="A28" s="1650" t="s">
        <v>1840</v>
      </c>
      <c r="B28" s="784" t="s">
        <v>685</v>
      </c>
      <c r="C28" s="53">
        <f>ROUND(F28/(1+'数据-取费表'!C42),4)</f>
        <v>6.2899999999999998E-2</v>
      </c>
      <c r="D28" s="812" t="s">
        <v>2297</v>
      </c>
      <c r="E28" s="784" t="s">
        <v>1784</v>
      </c>
      <c r="F28" s="809">
        <f>'数据-取费表'!B41</f>
        <v>6.6000000000000003E-2</v>
      </c>
      <c r="G28" s="1593"/>
      <c r="H28" s="1830"/>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2298</v>
      </c>
      <c r="C29" s="2544" t="e">
        <f ca="1">ROUND((C19+C20+C23+C26)/(1-F21-C24-C27-C28),0)</f>
        <v>#N/A</v>
      </c>
      <c r="D29" s="2545"/>
      <c r="E29" s="2546"/>
      <c r="F29" s="2547"/>
      <c r="G29" s="1593"/>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1892</v>
      </c>
      <c r="B30" s="1828" t="s">
        <v>1789</v>
      </c>
      <c r="C30" s="792" t="e">
        <f ca="1">ROUND(C31+C36+C37+C38,0)</f>
        <v>#N/A</v>
      </c>
      <c r="D30" s="1822" t="s">
        <v>1790</v>
      </c>
      <c r="E30" s="2486"/>
      <c r="F30" s="2491"/>
      <c r="G30" s="2062"/>
      <c r="H30" s="2065"/>
      <c r="I30" s="2066"/>
      <c r="J30" s="2067"/>
      <c r="K30" s="2068"/>
      <c r="L30" s="2069"/>
      <c r="M30" s="2070"/>
    </row>
    <row r="31" spans="1:33" ht="18" customHeight="1">
      <c r="A31" s="1649" t="s">
        <v>1829</v>
      </c>
      <c r="B31" s="784" t="s">
        <v>654</v>
      </c>
      <c r="C31" s="53" t="e">
        <f ca="1">ROUND(IF(项目基本情况!B11="自然人",C5*F31,C32+C33+C34),1)</f>
        <v>#N/A</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1830</v>
      </c>
      <c r="B32" s="784" t="s">
        <v>1793</v>
      </c>
      <c r="C32" s="53" t="e">
        <f ca="1">ROUND(C5*F32/1.05,1)</f>
        <v>#N/A</v>
      </c>
      <c r="D32" s="1977" t="s">
        <v>1794</v>
      </c>
      <c r="E32" s="784" t="s">
        <v>1795</v>
      </c>
      <c r="F32" s="809">
        <f>'数据-取费表'!B41</f>
        <v>6.6000000000000003E-2</v>
      </c>
      <c r="G32" s="2062"/>
      <c r="H32" s="2071"/>
      <c r="I32" s="2072"/>
      <c r="J32" s="2073"/>
      <c r="K32" s="2074"/>
      <c r="L32" s="2075"/>
      <c r="M32" s="2076"/>
    </row>
    <row r="33" spans="1:18" ht="18" customHeight="1">
      <c r="A33" s="1648" t="s">
        <v>1831</v>
      </c>
      <c r="B33" s="784" t="s">
        <v>1796</v>
      </c>
      <c r="C33" s="53" t="e">
        <f ca="1">IF(D33="按租金收入计税",ROUND(C5*F33,1),IF(D33="按房产原值计税",ROUND(C29*F33*0.7,1),INDIRECT("'数据-取费表'!Aj"&amp;$G$1)))</f>
        <v>#N/A</v>
      </c>
      <c r="D33" s="811" t="s">
        <v>3103</v>
      </c>
      <c r="E33" s="784" t="s">
        <v>1795</v>
      </c>
      <c r="F33" s="809">
        <f>IF(D33="按租金收入计税",'数据-取费表'!B51,'数据-取费表'!B50)</f>
        <v>0.12</v>
      </c>
      <c r="G33" s="2062"/>
      <c r="H33" s="2077"/>
      <c r="I33" s="2077"/>
      <c r="J33" s="2077"/>
      <c r="K33" s="2078"/>
      <c r="L33" s="2077"/>
      <c r="M33" s="2077"/>
    </row>
    <row r="34" spans="1:18" ht="18" customHeight="1">
      <c r="A34" s="1651" t="s">
        <v>1832</v>
      </c>
      <c r="B34" s="341" t="s">
        <v>1797</v>
      </c>
      <c r="C34" s="54" t="e">
        <f ca="1">ROUND(F34*F35/10000,1)</f>
        <v>#N/A</v>
      </c>
      <c r="D34" s="814" t="s">
        <v>1798</v>
      </c>
      <c r="E34" s="784" t="s">
        <v>1799</v>
      </c>
      <c r="F34" s="640">
        <f>'数据-取费表'!B52</f>
        <v>25</v>
      </c>
      <c r="G34" s="2062"/>
      <c r="H34" s="2065"/>
      <c r="I34" s="835" t="s">
        <v>1812</v>
      </c>
      <c r="J34" s="836"/>
      <c r="K34" s="2080"/>
      <c r="L34" s="2079"/>
      <c r="M34" s="2079"/>
    </row>
    <row r="35" spans="1:18" ht="18" customHeight="1">
      <c r="A35" s="815"/>
      <c r="B35" s="793"/>
      <c r="C35" s="69"/>
      <c r="D35" s="816"/>
      <c r="E35" s="784" t="s">
        <v>1800</v>
      </c>
      <c r="F35" s="785" t="e">
        <f ca="1">INDIRECT("'数据-取费表'!r"&amp;$G$1)</f>
        <v>#N/A</v>
      </c>
      <c r="G35" s="2062"/>
      <c r="H35" s="2065"/>
      <c r="I35" s="837" t="s">
        <v>1813</v>
      </c>
      <c r="J35" s="838" t="e">
        <f ca="1">ROUND(C13*J36,0)</f>
        <v>#N/A</v>
      </c>
      <c r="K35" s="2078"/>
      <c r="L35" s="2077"/>
      <c r="M35" s="2077"/>
    </row>
    <row r="36" spans="1:18" ht="18" customHeight="1">
      <c r="A36" s="1649" t="s">
        <v>1888</v>
      </c>
      <c r="B36" s="784" t="s">
        <v>1801</v>
      </c>
      <c r="C36" s="53" t="e">
        <f ca="1">ROUND(C29*F36,1)</f>
        <v>#N/A</v>
      </c>
      <c r="D36" s="1977" t="s">
        <v>1802</v>
      </c>
      <c r="E36" s="784" t="s">
        <v>1795</v>
      </c>
      <c r="F36" s="817" t="e">
        <f ca="1">INDIRECT("'数据-取费表'!Ak"&amp;$G$1)</f>
        <v>#N/A</v>
      </c>
      <c r="G36" s="2062"/>
      <c r="H36" s="2077"/>
      <c r="I36" s="839" t="s">
        <v>1814</v>
      </c>
      <c r="J36" s="840" t="e">
        <f ca="1">INDIRECT("'数据-取费表'!j"&amp;$G$1)</f>
        <v>#N/A</v>
      </c>
      <c r="K36" s="2082"/>
      <c r="L36" s="2077"/>
      <c r="M36" s="2077"/>
    </row>
    <row r="37" spans="1:18" ht="18" customHeight="1">
      <c r="A37" s="1649" t="s">
        <v>1889</v>
      </c>
      <c r="B37" s="784" t="s">
        <v>677</v>
      </c>
      <c r="C37" s="53" t="e">
        <f ca="1">ROUND(C13*F37,1)</f>
        <v>#N/A</v>
      </c>
      <c r="D37" s="1977" t="s">
        <v>1803</v>
      </c>
      <c r="E37" s="784" t="s">
        <v>1795</v>
      </c>
      <c r="F37" s="818" t="e">
        <f ca="1">INDIRECT("'数据-取费表'!Al"&amp;$G$1)</f>
        <v>#N/A</v>
      </c>
      <c r="G37" s="2062"/>
      <c r="H37" s="2077"/>
      <c r="I37" s="841" t="s">
        <v>1815</v>
      </c>
      <c r="J37" s="842"/>
      <c r="K37" s="2082"/>
      <c r="L37" s="2077"/>
      <c r="M37" s="2077"/>
    </row>
    <row r="38" spans="1:18" ht="18" customHeight="1" thickBot="1">
      <c r="A38" s="2551" t="s">
        <v>1890</v>
      </c>
      <c r="B38" s="2546" t="s">
        <v>664</v>
      </c>
      <c r="C38" s="2544" t="e">
        <f ca="1">ROUND(C5*F38,1)</f>
        <v>#N/A</v>
      </c>
      <c r="D38" s="2545" t="s">
        <v>1804</v>
      </c>
      <c r="E38" s="2546" t="s">
        <v>1795</v>
      </c>
      <c r="F38" s="2542" t="e">
        <f ca="1">INDIRECT("'数据-取费表'!Am"&amp;$G$1)</f>
        <v>#N/A</v>
      </c>
      <c r="G38" s="2062"/>
      <c r="H38" s="2077"/>
      <c r="I38" s="843" t="s">
        <v>1816</v>
      </c>
      <c r="J38" s="844"/>
      <c r="K38" s="2083"/>
      <c r="L38" s="2077"/>
      <c r="M38" s="2077"/>
    </row>
    <row r="39" spans="1:18" ht="24.6" customHeight="1" thickTop="1">
      <c r="A39" s="1830" t="s">
        <v>1893</v>
      </c>
      <c r="B39" s="3009" t="s">
        <v>2816</v>
      </c>
      <c r="C39" s="792" t="e">
        <f ca="1">C5-C30</f>
        <v>#N/A</v>
      </c>
      <c r="D39" s="2548" t="s">
        <v>1805</v>
      </c>
      <c r="E39" s="2549"/>
      <c r="F39" s="2550"/>
      <c r="G39" s="2062"/>
      <c r="H39" s="2077"/>
      <c r="I39" s="837" t="s">
        <v>1817</v>
      </c>
      <c r="J39" s="845" t="e">
        <f ca="1">ROUND(J35/C39,3)</f>
        <v>#N/A</v>
      </c>
      <c r="K39" s="2083"/>
      <c r="L39" s="2077"/>
      <c r="M39" s="2077"/>
    </row>
    <row r="40" spans="1:18" ht="18" customHeight="1">
      <c r="A40" s="781" t="s">
        <v>1894</v>
      </c>
      <c r="B40" s="2232" t="s">
        <v>2299</v>
      </c>
      <c r="C40" s="783" t="e">
        <f ca="1">ROUND(C39*(1-((1+F42)/(1+F40))^F41)/(F40-F42),0)</f>
        <v>#N/A</v>
      </c>
      <c r="D40" s="814" t="s">
        <v>1806</v>
      </c>
      <c r="E40" s="784" t="s">
        <v>2415</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2953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1808</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t="e">
        <f ca="1">C67-C40</f>
        <v>#N/A</v>
      </c>
      <c r="D46" s="2085"/>
      <c r="E46" s="2085"/>
      <c r="F46" s="2085"/>
      <c r="I46" s="2378" t="s">
        <v>2339</v>
      </c>
      <c r="J46" s="2379"/>
      <c r="K46" s="2380"/>
      <c r="L46" s="3157">
        <f>IF(OR(M47="住宅",D1="土地（套用方法）"),0,IF(L48&gt;J51,L60,J60))</f>
        <v>0</v>
      </c>
      <c r="O46" s="2394" t="s">
        <v>2406</v>
      </c>
      <c r="P46" s="1592"/>
      <c r="Q46" s="1604"/>
      <c r="R46" s="1592"/>
    </row>
    <row r="47" spans="1:18" s="2059" customFormat="1" ht="18" customHeight="1" thickBot="1">
      <c r="A47" s="2372">
        <v>1</v>
      </c>
      <c r="B47" s="2373" t="s">
        <v>633</v>
      </c>
      <c r="C47" s="2574" t="e">
        <f ca="1">C48+C52+C54</f>
        <v>#N/A</v>
      </c>
      <c r="D47" s="2085"/>
      <c r="E47" s="2085"/>
      <c r="F47" s="2085"/>
      <c r="I47" s="3147" t="s">
        <v>2340</v>
      </c>
      <c r="J47" s="2381" t="s">
        <v>3104</v>
      </c>
      <c r="K47" s="3154" t="s">
        <v>2345</v>
      </c>
      <c r="L47" s="3158" t="e">
        <f ca="1">INDIRECT("'数据-取费表'!d"&amp;$G$1)</f>
        <v>#N/A</v>
      </c>
      <c r="M47" s="1604" t="str">
        <f>IF(ISNUMBER(FIND("住宅",C1)),"住宅","非住宅")</f>
        <v>非住宅</v>
      </c>
      <c r="O47" s="2395" t="s">
        <v>2371</v>
      </c>
      <c r="P47" s="2396" t="s">
        <v>2372</v>
      </c>
      <c r="Q47" s="2397" t="s">
        <v>2373</v>
      </c>
      <c r="R47" s="2396" t="s">
        <v>2374</v>
      </c>
    </row>
    <row r="48" spans="1:18" s="2059" customFormat="1" ht="18" customHeight="1" thickBot="1">
      <c r="A48" s="2642" t="s">
        <v>2531</v>
      </c>
      <c r="B48" s="2643" t="s">
        <v>2532</v>
      </c>
      <c r="C48" s="2374" t="e">
        <f ca="1">ROUND(F48*F50*F49*(1-F51)/10000,0)</f>
        <v>#N/A</v>
      </c>
      <c r="D48" s="2375" t="s">
        <v>634</v>
      </c>
      <c r="E48" s="2376" t="s">
        <v>2294</v>
      </c>
      <c r="F48" s="2377"/>
      <c r="G48" s="2090"/>
      <c r="I48" s="3123" t="s">
        <v>2341</v>
      </c>
      <c r="J48" s="2382" t="s">
        <v>2346</v>
      </c>
      <c r="K48" s="3155" t="s">
        <v>2347</v>
      </c>
      <c r="L48" s="1908" t="e">
        <f ca="1">INDIRECT("'数据-取费表'!f"&amp;$G$1)</f>
        <v>#N/A</v>
      </c>
      <c r="O48" s="2398" t="s">
        <v>2375</v>
      </c>
      <c r="P48" s="2399" t="s">
        <v>2401</v>
      </c>
      <c r="Q48" s="2400" t="e">
        <f ca="1">C40+J29</f>
        <v>#N/A</v>
      </c>
      <c r="R48" s="2399" t="s">
        <v>2376</v>
      </c>
    </row>
    <row r="49" spans="1:18" s="2059" customFormat="1" ht="18" customHeight="1" thickBot="1">
      <c r="A49" s="786"/>
      <c r="B49" s="787"/>
      <c r="C49" s="788"/>
      <c r="D49" s="789"/>
      <c r="E49" s="784" t="s">
        <v>1738</v>
      </c>
      <c r="F49" s="785" t="e">
        <f ca="1">F7</f>
        <v>#N/A</v>
      </c>
      <c r="G49" s="2090"/>
      <c r="H49" s="2093"/>
      <c r="I49" s="3123" t="s">
        <v>2342</v>
      </c>
      <c r="J49" s="2383">
        <v>2021</v>
      </c>
      <c r="K49" s="3156" t="s">
        <v>2348</v>
      </c>
      <c r="L49" s="2384"/>
      <c r="O49" s="2398" t="s">
        <v>2377</v>
      </c>
      <c r="P49" s="2399" t="s">
        <v>2402</v>
      </c>
      <c r="Q49" s="2400" t="e">
        <f ca="1">J60</f>
        <v>#N/A</v>
      </c>
      <c r="R49" s="2399" t="s">
        <v>2378</v>
      </c>
    </row>
    <row r="50" spans="1:18" s="2059" customFormat="1" ht="18" customHeight="1" thickBot="1">
      <c r="A50" s="786"/>
      <c r="B50" s="787"/>
      <c r="C50" s="788"/>
      <c r="D50" s="789"/>
      <c r="E50" s="784" t="s">
        <v>1739</v>
      </c>
      <c r="F50" s="785" t="e">
        <f ca="1">F8</f>
        <v>#N/A</v>
      </c>
      <c r="G50" s="2095"/>
      <c r="H50" s="2093"/>
      <c r="I50" s="3123" t="s">
        <v>2343</v>
      </c>
      <c r="J50" s="3151">
        <f>SUMPRODUCT((I63:I65=J47)*(J62:L62=J48)*(J63:L65))</f>
        <v>60</v>
      </c>
      <c r="K50" s="3156" t="s">
        <v>2349</v>
      </c>
      <c r="L50" s="2384"/>
      <c r="O50" s="2401" t="s">
        <v>2379</v>
      </c>
      <c r="P50" s="2399" t="s">
        <v>2403</v>
      </c>
      <c r="Q50" s="2400" t="e">
        <f ca="1">C29</f>
        <v>#N/A</v>
      </c>
      <c r="R50" s="2399" t="s">
        <v>2376</v>
      </c>
    </row>
    <row r="51" spans="1:18" s="2059" customFormat="1" ht="18" customHeight="1" thickBot="1">
      <c r="A51" s="786"/>
      <c r="B51" s="787"/>
      <c r="C51" s="788"/>
      <c r="D51" s="789"/>
      <c r="E51" s="784" t="s">
        <v>638</v>
      </c>
      <c r="F51" s="2371"/>
      <c r="H51" s="2093"/>
      <c r="I51" s="3148" t="s">
        <v>2344</v>
      </c>
      <c r="J51" s="3152">
        <f>IF(J49="",J50,J49+J50-YEAR('数据-取费表'!B2))</f>
        <v>63</v>
      </c>
      <c r="K51" s="3123" t="s">
        <v>2350</v>
      </c>
      <c r="L51" s="3159" t="e">
        <f ca="1">ROUND(-PV(INDIRECT("'数据-取费表'!h"&amp;$G$1),L48,(C39-C13*J36),0),0)</f>
        <v>#N/A</v>
      </c>
      <c r="O51" s="2401" t="s">
        <v>2380</v>
      </c>
      <c r="P51" s="2399" t="s">
        <v>2381</v>
      </c>
      <c r="Q51" s="2402" t="e">
        <f ca="1">J58</f>
        <v>#N/A</v>
      </c>
      <c r="R51" s="2403"/>
    </row>
    <row r="52" spans="1:18" s="2059" customFormat="1" ht="18" customHeight="1" thickBot="1">
      <c r="A52" s="781" t="s">
        <v>2530</v>
      </c>
      <c r="B52" s="2494" t="s">
        <v>2453</v>
      </c>
      <c r="C52" s="799">
        <f ca="1">ROUND(IF(F52="押一",C48/12*F11,IF(F52="押二",C48/12*2*F11,IF(F52="押三",C48/12*3*F11,C53*F11))),0)</f>
        <v>0</v>
      </c>
      <c r="D52" s="2501" t="s">
        <v>2964</v>
      </c>
      <c r="E52" s="2498" t="s">
        <v>2458</v>
      </c>
      <c r="F52" s="2621"/>
      <c r="I52" s="3149" t="s">
        <v>2417</v>
      </c>
      <c r="J52" s="2385"/>
      <c r="K52" s="3149" t="s">
        <v>2416</v>
      </c>
      <c r="L52" s="2385"/>
      <c r="O52" s="2401" t="s">
        <v>2382</v>
      </c>
      <c r="P52" s="2399" t="s">
        <v>2383</v>
      </c>
      <c r="Q52" s="2402">
        <f>J52</f>
        <v>0</v>
      </c>
      <c r="R52" s="2403"/>
    </row>
    <row r="53" spans="1:18" s="2059" customFormat="1" ht="39.75" customHeight="1" thickBot="1">
      <c r="A53" s="786"/>
      <c r="B53" s="2495" t="s">
        <v>2567</v>
      </c>
      <c r="C53" s="2499"/>
      <c r="D53" s="2501"/>
      <c r="E53" s="2498"/>
      <c r="F53" s="800"/>
      <c r="I53" s="3150" t="s">
        <v>2968</v>
      </c>
      <c r="J53" s="3153" t="e">
        <f ca="1">IF(M47="住宅",IF(D1="——",MAX(J51,L48),MAX(J51,L48-'数据-取费表'!B20)),IF(D1="——",MIN(J51,L48),MIN(J51,L48-'数据-取费表'!B20)))</f>
        <v>#N/A</v>
      </c>
      <c r="K53" s="3480" t="s">
        <v>2955</v>
      </c>
      <c r="L53" s="3481"/>
      <c r="O53" s="2401" t="s">
        <v>2384</v>
      </c>
      <c r="P53" s="2399" t="s">
        <v>2385</v>
      </c>
      <c r="Q53" s="2400" t="e">
        <f ca="1">J53</f>
        <v>#N/A</v>
      </c>
      <c r="R53" s="2399" t="s">
        <v>2386</v>
      </c>
    </row>
    <row r="54" spans="1:18" s="2059" customFormat="1" ht="18" customHeight="1" thickBot="1">
      <c r="A54" s="2537" t="s">
        <v>2461</v>
      </c>
      <c r="B54" s="2538" t="s">
        <v>2454</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2387</v>
      </c>
      <c r="P54" s="2399" t="s">
        <v>2404</v>
      </c>
      <c r="Q54" s="2400" t="e">
        <f ca="1">Q48+Q49</f>
        <v>#N/A</v>
      </c>
      <c r="R54" s="2403" t="s">
        <v>2388</v>
      </c>
    </row>
    <row r="55" spans="1:18" s="2059" customFormat="1" ht="18" customHeight="1" thickTop="1" thickBot="1">
      <c r="A55" s="797">
        <v>2</v>
      </c>
      <c r="B55" s="798" t="s">
        <v>642</v>
      </c>
      <c r="C55" s="799" t="e">
        <f ca="1">C13</f>
        <v>#N/A</v>
      </c>
      <c r="D55" s="795"/>
      <c r="E55" s="795"/>
      <c r="F55" s="800"/>
      <c r="I55" s="3162" t="s">
        <v>2351</v>
      </c>
      <c r="J55" s="3098" t="e">
        <f ca="1">ROUND(IF(J47="钢混",J57/J50,1-(1-2%)*(J50-J57)/J50),3)</f>
        <v>#N/A</v>
      </c>
      <c r="K55" s="3163" t="s">
        <v>2352</v>
      </c>
      <c r="L55" s="2386"/>
      <c r="O55" s="2404" t="s">
        <v>2407</v>
      </c>
      <c r="P55" s="1592"/>
      <c r="Q55" s="1604"/>
      <c r="R55" s="1592"/>
    </row>
    <row r="56" spans="1:18" s="2059" customFormat="1" ht="42.75" customHeight="1" thickBot="1">
      <c r="A56" s="1650"/>
      <c r="B56" s="2231" t="s">
        <v>2300</v>
      </c>
      <c r="C56" s="53" t="e">
        <f ca="1">C29</f>
        <v>#N/A</v>
      </c>
      <c r="D56" s="2639"/>
      <c r="E56" s="784"/>
      <c r="F56" s="809"/>
      <c r="I56" s="3164" t="s">
        <v>2353</v>
      </c>
      <c r="J56" s="3174"/>
      <c r="K56" s="3123" t="s">
        <v>2358</v>
      </c>
      <c r="L56" s="1908" t="e">
        <f ca="1">IF(L48&lt;J51,"——",L48-J51)</f>
        <v>#N/A</v>
      </c>
      <c r="O56" s="2395" t="s">
        <v>2371</v>
      </c>
      <c r="P56" s="2396" t="s">
        <v>2372</v>
      </c>
      <c r="Q56" s="2397" t="s">
        <v>2373</v>
      </c>
      <c r="R56" s="2396" t="s">
        <v>2374</v>
      </c>
    </row>
    <row r="57" spans="1:18" s="2059" customFormat="1" ht="28.5" customHeight="1" thickBot="1">
      <c r="A57" s="797" t="s">
        <v>1747</v>
      </c>
      <c r="B57" s="798" t="s">
        <v>649</v>
      </c>
      <c r="C57" s="799" t="e">
        <f ca="1">ROUND(C58+C63+C64+C65,0)</f>
        <v>#N/A</v>
      </c>
      <c r="D57" s="26" t="s">
        <v>1749</v>
      </c>
      <c r="E57" s="2640"/>
      <c r="F57" s="56"/>
      <c r="I57" s="3165" t="s">
        <v>2354</v>
      </c>
      <c r="J57" s="3166" t="e">
        <f ca="1">IF(OR(M47="住宅",J51&lt;L48,J56="是"),"——",J51-L48)</f>
        <v>#N/A</v>
      </c>
      <c r="K57" s="3123" t="s">
        <v>2359</v>
      </c>
      <c r="L57" s="1908" t="e">
        <f ca="1">IF(L48&lt;J51,"——",IF(L55="比较法",L49,IF(L55="基准地价",L50,L51)))</f>
        <v>#N/A</v>
      </c>
      <c r="O57" s="2398" t="s">
        <v>2375</v>
      </c>
      <c r="P57" s="2399" t="s">
        <v>2405</v>
      </c>
      <c r="Q57" s="2400" t="e">
        <f ca="1">C40+J29</f>
        <v>#N/A</v>
      </c>
      <c r="R57" s="2399" t="s">
        <v>2376</v>
      </c>
    </row>
    <row r="58" spans="1:18" s="2059" customFormat="1" ht="28.5" customHeight="1" thickBot="1">
      <c r="A58" s="1649" t="s">
        <v>1823</v>
      </c>
      <c r="B58" s="784" t="s">
        <v>654</v>
      </c>
      <c r="C58" s="53" t="e">
        <f ca="1">ROUND(IF(项目基本情况!B11="自然人",C47*F58,C59+C60+C61),1)</f>
        <v>#N/A</v>
      </c>
      <c r="D58" s="2638" t="s">
        <v>655</v>
      </c>
      <c r="E58" s="2639" t="s">
        <v>688</v>
      </c>
      <c r="F58" s="810" t="str">
        <f ca="1">IF(项目基本情况!B11="企业","",IF(INDIRECT("'数据-取费表'!c"&amp;$G$1)="住宅",5%,IF(F48*F49*F50/12/(1+'数据-取费表'!C42)&gt;20000,12%,7%)))</f>
        <v/>
      </c>
      <c r="I58" s="3165" t="s">
        <v>2355</v>
      </c>
      <c r="J58" s="3099" t="e">
        <f ca="1">IF(J55&lt;0.4,0.4,J55)</f>
        <v>#N/A</v>
      </c>
      <c r="K58" s="3123" t="s">
        <v>2360</v>
      </c>
      <c r="L58" s="1908" t="e">
        <f ca="1">ROUND(POWER(1+L52,L47-L48)*(POWER(1+L52,L48)-1)/(POWER(1+L52,L47)-1),4)</f>
        <v>#N/A</v>
      </c>
      <c r="O58" s="2398" t="s">
        <v>2377</v>
      </c>
      <c r="P58" s="2399" t="s">
        <v>2408</v>
      </c>
      <c r="Q58" s="2400" t="e">
        <f ca="1">L60</f>
        <v>#N/A</v>
      </c>
      <c r="R58" s="2403" t="s">
        <v>2410</v>
      </c>
    </row>
    <row r="59" spans="1:18" s="2059" customFormat="1" ht="28.5" customHeight="1" thickBot="1">
      <c r="A59" s="1648" t="s">
        <v>1830</v>
      </c>
      <c r="B59" s="784" t="s">
        <v>658</v>
      </c>
      <c r="C59" s="53" t="e">
        <f ca="1">ROUND(C47*F59/1.05,1)</f>
        <v>#N/A</v>
      </c>
      <c r="D59" s="2639" t="s">
        <v>1755</v>
      </c>
      <c r="E59" s="784" t="s">
        <v>1746</v>
      </c>
      <c r="F59" s="809">
        <f t="shared" ref="F59:F65" si="0">F32</f>
        <v>6.6000000000000003E-2</v>
      </c>
      <c r="I59" s="3165" t="s">
        <v>2356</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2379</v>
      </c>
      <c r="P59" s="2399" t="s">
        <v>2409</v>
      </c>
      <c r="Q59" s="2400">
        <f>IF(L55="比较法",L49,IF(L55="基准地价",L50,0))</f>
        <v>0</v>
      </c>
      <c r="R59" s="2399" t="s">
        <v>2376</v>
      </c>
    </row>
    <row r="60" spans="1:18" s="2059" customFormat="1" ht="18" customHeight="1" thickBot="1">
      <c r="A60" s="1648" t="s">
        <v>1831</v>
      </c>
      <c r="B60" s="784" t="s">
        <v>1757</v>
      </c>
      <c r="C60" s="53" t="e">
        <f ca="1">IF(D60="按租金收入计税",ROUND(C47*F60,1),IF(D60="按房产原值计税",ROUND(C56*F60*0.7,1),INDIRECT("'数据-取费表'!Aj"&amp;$G$1)))</f>
        <v>#N/A</v>
      </c>
      <c r="D60" s="2639" t="str">
        <f>D33</f>
        <v>按租金收入计税</v>
      </c>
      <c r="E60" s="784" t="s">
        <v>1746</v>
      </c>
      <c r="F60" s="809">
        <f t="shared" si="0"/>
        <v>0.12</v>
      </c>
      <c r="I60" s="3167" t="s">
        <v>2357</v>
      </c>
      <c r="J60" s="3168" t="e">
        <f ca="1">IF(OR(M47="住宅",J51&lt;L48,J56="是"),"0",ROUND(J59/(1+J52)^J53,0))</f>
        <v>#N/A</v>
      </c>
      <c r="K60" s="3169" t="s">
        <v>2362</v>
      </c>
      <c r="L60" s="3168" t="e">
        <f ca="1">IF(OR(M47="住宅",L48&lt;J51),0,ROUND(L57*(L58/L59-1),0))</f>
        <v>#N/A</v>
      </c>
      <c r="O60" s="2401" t="s">
        <v>2380</v>
      </c>
      <c r="P60" s="2399" t="s">
        <v>2389</v>
      </c>
      <c r="Q60" s="2402">
        <f>L52</f>
        <v>0</v>
      </c>
      <c r="R60" s="2403"/>
    </row>
    <row r="61" spans="1:18" s="2059" customFormat="1" ht="18" customHeight="1" thickBot="1">
      <c r="A61" s="1651" t="s">
        <v>1832</v>
      </c>
      <c r="B61" s="341" t="s">
        <v>666</v>
      </c>
      <c r="C61" s="54" t="e">
        <f ca="1">ROUND(F61*F62/10000,1)</f>
        <v>#N/A</v>
      </c>
      <c r="D61" s="814" t="s">
        <v>667</v>
      </c>
      <c r="E61" s="784" t="s">
        <v>668</v>
      </c>
      <c r="F61" s="640">
        <f t="shared" si="0"/>
        <v>25</v>
      </c>
      <c r="K61" s="2086"/>
      <c r="O61" s="2401" t="s">
        <v>2382</v>
      </c>
      <c r="P61" s="2399" t="s">
        <v>2390</v>
      </c>
      <c r="Q61" s="2400" t="e">
        <f ca="1">L58</f>
        <v>#N/A</v>
      </c>
      <c r="R61" s="2403" t="s">
        <v>2391</v>
      </c>
    </row>
    <row r="62" spans="1:18" s="2059" customFormat="1" ht="15.75" thickBot="1">
      <c r="A62" s="815"/>
      <c r="B62" s="793"/>
      <c r="C62" s="69"/>
      <c r="D62" s="816"/>
      <c r="E62" s="784" t="s">
        <v>672</v>
      </c>
      <c r="F62" s="785" t="e">
        <f t="shared" ca="1" si="0"/>
        <v>#N/A</v>
      </c>
      <c r="I62" s="3170" t="s">
        <v>2363</v>
      </c>
      <c r="J62" s="3171" t="s">
        <v>2364</v>
      </c>
      <c r="K62" s="3171" t="s">
        <v>2365</v>
      </c>
      <c r="L62" s="3171" t="s">
        <v>2346</v>
      </c>
      <c r="M62" s="3172" t="s">
        <v>2931</v>
      </c>
      <c r="O62" s="2401" t="s">
        <v>2384</v>
      </c>
      <c r="P62" s="2399" t="str">
        <f>K59</f>
        <v>建设期及建筑物耐用年限下的土地年期修正系数Kn</v>
      </c>
      <c r="Q62" s="2400" t="e">
        <f ca="1">L59</f>
        <v>#N/A</v>
      </c>
      <c r="R62" s="2403" t="s">
        <v>2393</v>
      </c>
    </row>
    <row r="63" spans="1:18" s="2059" customFormat="1" ht="15.75" thickBot="1">
      <c r="A63" s="1649" t="s">
        <v>1888</v>
      </c>
      <c r="B63" s="784" t="s">
        <v>674</v>
      </c>
      <c r="C63" s="53" t="e">
        <f ca="1">ROUND(C56*F63,1)</f>
        <v>#N/A</v>
      </c>
      <c r="D63" s="2639" t="s">
        <v>1802</v>
      </c>
      <c r="E63" s="784" t="s">
        <v>1746</v>
      </c>
      <c r="F63" s="817" t="e">
        <f t="shared" ca="1" si="0"/>
        <v>#N/A</v>
      </c>
      <c r="I63" s="3170" t="s">
        <v>2366</v>
      </c>
      <c r="J63" s="3171">
        <v>70</v>
      </c>
      <c r="K63" s="3171">
        <v>50</v>
      </c>
      <c r="L63" s="3171">
        <v>80</v>
      </c>
      <c r="M63" s="3173">
        <v>0.02</v>
      </c>
      <c r="O63" s="2398" t="s">
        <v>2387</v>
      </c>
      <c r="P63" s="2399" t="s">
        <v>2404</v>
      </c>
      <c r="Q63" s="2400" t="e">
        <f ca="1">Q57+Q58</f>
        <v>#N/A</v>
      </c>
      <c r="R63" s="2403" t="s">
        <v>2388</v>
      </c>
    </row>
    <row r="64" spans="1:18" s="2059" customFormat="1" ht="16.5" thickBot="1">
      <c r="A64" s="1649" t="s">
        <v>1889</v>
      </c>
      <c r="B64" s="784" t="s">
        <v>677</v>
      </c>
      <c r="C64" s="53" t="e">
        <f ca="1">ROUND(C55*F64,1)</f>
        <v>#N/A</v>
      </c>
      <c r="D64" s="2639" t="s">
        <v>678</v>
      </c>
      <c r="E64" s="784" t="s">
        <v>1746</v>
      </c>
      <c r="F64" s="818" t="e">
        <f t="shared" ca="1" si="0"/>
        <v>#N/A</v>
      </c>
      <c r="I64" s="3170" t="s">
        <v>2367</v>
      </c>
      <c r="J64" s="3171">
        <v>50</v>
      </c>
      <c r="K64" s="3171">
        <v>35</v>
      </c>
      <c r="L64" s="3171">
        <v>60</v>
      </c>
      <c r="M64" s="846">
        <v>0</v>
      </c>
      <c r="O64" s="2404" t="s">
        <v>2411</v>
      </c>
      <c r="P64" s="1592"/>
      <c r="Q64" s="1604"/>
      <c r="R64" s="1592"/>
    </row>
    <row r="65" spans="1:18" s="2059" customFormat="1" ht="15.75" thickBot="1">
      <c r="A65" s="1649" t="s">
        <v>1890</v>
      </c>
      <c r="B65" s="784" t="s">
        <v>664</v>
      </c>
      <c r="C65" s="53" t="e">
        <f ca="1">ROUND(C47*F65,1)</f>
        <v>#N/A</v>
      </c>
      <c r="D65" s="2639" t="s">
        <v>681</v>
      </c>
      <c r="E65" s="784" t="s">
        <v>1746</v>
      </c>
      <c r="F65" s="794" t="e">
        <f t="shared" ca="1" si="0"/>
        <v>#N/A</v>
      </c>
      <c r="I65" s="3170" t="s">
        <v>2368</v>
      </c>
      <c r="J65" s="3171">
        <v>40</v>
      </c>
      <c r="K65" s="3171">
        <v>30</v>
      </c>
      <c r="L65" s="3171">
        <v>50</v>
      </c>
      <c r="M65" s="3173">
        <v>0.02</v>
      </c>
      <c r="O65" s="2395" t="s">
        <v>2371</v>
      </c>
      <c r="P65" s="2396" t="s">
        <v>2372</v>
      </c>
      <c r="Q65" s="2397" t="s">
        <v>2373</v>
      </c>
      <c r="R65" s="2396" t="s">
        <v>2374</v>
      </c>
    </row>
    <row r="66" spans="1:18" s="2059" customFormat="1" ht="24.75" thickBot="1">
      <c r="A66" s="797" t="s">
        <v>1775</v>
      </c>
      <c r="B66" s="3010" t="s">
        <v>2816</v>
      </c>
      <c r="C66" s="799" t="e">
        <f ca="1">C47-C57</f>
        <v>#N/A</v>
      </c>
      <c r="D66" s="2638" t="s">
        <v>698</v>
      </c>
      <c r="E66" s="2637"/>
      <c r="F66" s="820"/>
      <c r="K66" s="2086"/>
      <c r="O66" s="2398" t="s">
        <v>2375</v>
      </c>
      <c r="P66" s="2399" t="s">
        <v>2405</v>
      </c>
      <c r="Q66" s="2400" t="e">
        <f ca="1">C40+J29</f>
        <v>#N/A</v>
      </c>
      <c r="R66" s="2399" t="s">
        <v>2376</v>
      </c>
    </row>
    <row r="67" spans="1:18" s="2059" customFormat="1" ht="20.25" thickBot="1">
      <c r="A67" s="781" t="s">
        <v>1779</v>
      </c>
      <c r="B67" s="2232" t="s">
        <v>2299</v>
      </c>
      <c r="C67" s="783" t="e">
        <f ca="1">ROUND(C66*(1-((1+F69)/(1+F67))^F68)/(F67-F69),0)</f>
        <v>#N/A</v>
      </c>
      <c r="D67" s="814" t="s">
        <v>702</v>
      </c>
      <c r="E67" s="784" t="s">
        <v>703</v>
      </c>
      <c r="F67" s="794" t="e">
        <f ca="1">F40</f>
        <v>#N/A</v>
      </c>
      <c r="K67" s="2086"/>
      <c r="O67" s="2398" t="s">
        <v>2377</v>
      </c>
      <c r="P67" s="2399" t="s">
        <v>2408</v>
      </c>
      <c r="Q67" s="2400" t="e">
        <f ca="1">L60</f>
        <v>#N/A</v>
      </c>
      <c r="R67" s="2403" t="s">
        <v>2410</v>
      </c>
    </row>
    <row r="68" spans="1:18" ht="21.75" thickBot="1">
      <c r="A68" s="786"/>
      <c r="B68" s="787"/>
      <c r="C68" s="788"/>
      <c r="D68" s="821" t="s">
        <v>1807</v>
      </c>
      <c r="E68" s="784" t="s">
        <v>1783</v>
      </c>
      <c r="F68" s="822" t="e">
        <f ca="1">F41</f>
        <v>#N/A</v>
      </c>
      <c r="O68" s="2401" t="s">
        <v>2379</v>
      </c>
      <c r="P68" s="2399" t="s">
        <v>2409</v>
      </c>
      <c r="Q68" s="2405" t="e">
        <f ca="1">L51</f>
        <v>#N/A</v>
      </c>
      <c r="R68" s="2406" t="s">
        <v>2412</v>
      </c>
    </row>
    <row r="69" spans="1:18" ht="20.25" thickBot="1">
      <c r="A69" s="790"/>
      <c r="B69" s="791"/>
      <c r="C69" s="792"/>
      <c r="D69" s="816"/>
      <c r="E69" s="784" t="s">
        <v>708</v>
      </c>
      <c r="F69" s="2371"/>
      <c r="O69" s="2401" t="s">
        <v>2380</v>
      </c>
      <c r="P69" s="2407" t="s">
        <v>2394</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2395</v>
      </c>
      <c r="P70" s="2407" t="s">
        <v>2396</v>
      </c>
      <c r="Q70" s="2400" t="e">
        <f ca="1">C39</f>
        <v>#N/A</v>
      </c>
      <c r="R70" s="2399" t="s">
        <v>2376</v>
      </c>
    </row>
    <row r="71" spans="1:18" ht="15.75" thickBot="1">
      <c r="O71" s="2401" t="s">
        <v>2397</v>
      </c>
      <c r="P71" s="2407" t="s">
        <v>2398</v>
      </c>
      <c r="Q71" s="2400" t="e">
        <f ca="1">C13</f>
        <v>#N/A</v>
      </c>
      <c r="R71" s="2399" t="s">
        <v>2376</v>
      </c>
    </row>
    <row r="72" spans="1:18" ht="15.75" thickBot="1">
      <c r="O72" s="2401" t="s">
        <v>2399</v>
      </c>
      <c r="P72" s="2407" t="s">
        <v>2400</v>
      </c>
      <c r="Q72" s="2402" t="e">
        <f ca="1">J36</f>
        <v>#N/A</v>
      </c>
      <c r="R72" s="2403"/>
    </row>
    <row r="73" spans="1:18" ht="15.75" thickBot="1">
      <c r="O73" s="2401" t="s">
        <v>2382</v>
      </c>
      <c r="P73" s="2399" t="s">
        <v>2389</v>
      </c>
      <c r="Q73" s="2402">
        <f>L52</f>
        <v>0</v>
      </c>
      <c r="R73" s="2403"/>
    </row>
    <row r="74" spans="1:18" ht="20.25" thickBot="1">
      <c r="O74" s="2401" t="s">
        <v>2384</v>
      </c>
      <c r="P74" s="2399" t="s">
        <v>2390</v>
      </c>
      <c r="Q74" s="2400" t="e">
        <f ca="1">L58</f>
        <v>#N/A</v>
      </c>
      <c r="R74" s="2403" t="s">
        <v>2391</v>
      </c>
    </row>
    <row r="75" spans="1:18" ht="15.75" thickBot="1">
      <c r="O75" s="2401" t="s">
        <v>2413</v>
      </c>
      <c r="P75" s="2399" t="str">
        <f>K59</f>
        <v>建设期及建筑物耐用年限下的土地年期修正系数Kn</v>
      </c>
      <c r="Q75" s="2400" t="e">
        <f ca="1">L59</f>
        <v>#N/A</v>
      </c>
      <c r="R75" s="2403" t="s">
        <v>2393</v>
      </c>
    </row>
    <row r="76" spans="1:18" ht="15.75" thickBot="1">
      <c r="O76" s="2398" t="s">
        <v>2387</v>
      </c>
      <c r="P76" s="2399" t="s">
        <v>2404</v>
      </c>
      <c r="Q76" s="2400" t="e">
        <f ca="1">Q66+Q67</f>
        <v>#N/A</v>
      </c>
      <c r="R76" s="2403"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2465</v>
      </c>
      <c r="B1" s="3483"/>
      <c r="C1" s="3484"/>
      <c r="D1" s="3485">
        <f>SUM(I10,I15,I20,I21,I23)</f>
        <v>0</v>
      </c>
      <c r="E1" s="3485"/>
      <c r="F1" s="3485"/>
      <c r="G1" s="3485"/>
      <c r="H1" s="3485"/>
      <c r="I1" s="3486"/>
    </row>
    <row r="2" spans="1:9">
      <c r="A2" s="3487" t="s">
        <v>2466</v>
      </c>
      <c r="B2" s="3488" t="s">
        <v>2467</v>
      </c>
      <c r="C2" s="3488"/>
      <c r="D2" s="2507" t="s">
        <v>2468</v>
      </c>
      <c r="E2" s="2507" t="s">
        <v>2469</v>
      </c>
      <c r="F2" s="2507" t="s">
        <v>2470</v>
      </c>
      <c r="G2" s="2507" t="s">
        <v>2471</v>
      </c>
      <c r="H2" s="2507" t="s">
        <v>2472</v>
      </c>
      <c r="I2" s="2508" t="s">
        <v>2473</v>
      </c>
    </row>
    <row r="3" spans="1:9">
      <c r="A3" s="3487"/>
      <c r="B3" s="3488" t="s">
        <v>2474</v>
      </c>
      <c r="C3" s="3488"/>
      <c r="D3" s="2509"/>
      <c r="E3" s="2507"/>
      <c r="F3" s="2510"/>
      <c r="G3" s="2510"/>
      <c r="H3" s="2511"/>
      <c r="I3" s="2512">
        <f>ROUND(D3*E3*F3*G3*H3/10000,0)</f>
        <v>0</v>
      </c>
    </row>
    <row r="4" spans="1:9">
      <c r="A4" s="3487"/>
      <c r="B4" s="3488" t="s">
        <v>2475</v>
      </c>
      <c r="C4" s="3488"/>
      <c r="D4" s="2509"/>
      <c r="E4" s="2507"/>
      <c r="F4" s="2510"/>
      <c r="G4" s="2510"/>
      <c r="H4" s="2511"/>
      <c r="I4" s="2512">
        <f t="shared" ref="I4:I9" si="0">ROUND(D4*E4*F4*G4*H4/10000,0)</f>
        <v>0</v>
      </c>
    </row>
    <row r="5" spans="1:9">
      <c r="A5" s="3487"/>
      <c r="B5" s="3488" t="s">
        <v>2476</v>
      </c>
      <c r="C5" s="3488"/>
      <c r="D5" s="2509"/>
      <c r="E5" s="2507"/>
      <c r="F5" s="2510"/>
      <c r="G5" s="2510"/>
      <c r="H5" s="2511"/>
      <c r="I5" s="2512">
        <f t="shared" si="0"/>
        <v>0</v>
      </c>
    </row>
    <row r="6" spans="1:9">
      <c r="A6" s="3487"/>
      <c r="B6" s="3488" t="s">
        <v>2477</v>
      </c>
      <c r="C6" s="3488"/>
      <c r="D6" s="2509"/>
      <c r="E6" s="2507"/>
      <c r="F6" s="2510"/>
      <c r="G6" s="2510"/>
      <c r="H6" s="2511"/>
      <c r="I6" s="2512">
        <f t="shared" si="0"/>
        <v>0</v>
      </c>
    </row>
    <row r="7" spans="1:9">
      <c r="A7" s="3487"/>
      <c r="B7" s="3488" t="s">
        <v>2478</v>
      </c>
      <c r="C7" s="3488"/>
      <c r="D7" s="2509"/>
      <c r="E7" s="2507"/>
      <c r="F7" s="2510"/>
      <c r="G7" s="2510"/>
      <c r="H7" s="2511"/>
      <c r="I7" s="2512">
        <f t="shared" si="0"/>
        <v>0</v>
      </c>
    </row>
    <row r="8" spans="1:9">
      <c r="A8" s="3487"/>
      <c r="B8" s="3488" t="s">
        <v>2479</v>
      </c>
      <c r="C8" s="3488"/>
      <c r="D8" s="2509"/>
      <c r="E8" s="2507"/>
      <c r="F8" s="2510"/>
      <c r="G8" s="2510"/>
      <c r="H8" s="2511"/>
      <c r="I8" s="2512">
        <f t="shared" si="0"/>
        <v>0</v>
      </c>
    </row>
    <row r="9" spans="1:9">
      <c r="A9" s="3487"/>
      <c r="B9" s="3488" t="s">
        <v>2480</v>
      </c>
      <c r="C9" s="3488"/>
      <c r="D9" s="2509"/>
      <c r="E9" s="2507"/>
      <c r="F9" s="2510"/>
      <c r="G9" s="2510"/>
      <c r="H9" s="2511"/>
      <c r="I9" s="2512">
        <f t="shared" si="0"/>
        <v>0</v>
      </c>
    </row>
    <row r="10" spans="1:9">
      <c r="A10" s="3487"/>
      <c r="B10" s="3489" t="s">
        <v>2481</v>
      </c>
      <c r="C10" s="3489"/>
      <c r="D10" s="2513">
        <v>527</v>
      </c>
      <c r="E10" s="2513" t="e">
        <f>ROUND(D1*10000/D10/H9,0)</f>
        <v>#DIV/0!</v>
      </c>
      <c r="F10" s="2514"/>
      <c r="G10" s="2514"/>
      <c r="H10" s="2515"/>
      <c r="I10" s="2516">
        <f>SUM(I3:I9)</f>
        <v>0</v>
      </c>
    </row>
    <row r="11" spans="1:9" ht="14.25">
      <c r="A11" s="3487" t="s">
        <v>2482</v>
      </c>
      <c r="B11" s="3488" t="s">
        <v>2483</v>
      </c>
      <c r="C11" s="3488"/>
      <c r="D11" s="2509" t="s">
        <v>2484</v>
      </c>
      <c r="E11" s="2509" t="s">
        <v>2485</v>
      </c>
      <c r="F11" s="2510" t="s">
        <v>2486</v>
      </c>
      <c r="G11" s="2510" t="s">
        <v>2487</v>
      </c>
      <c r="H11" s="2517" t="s">
        <v>2488</v>
      </c>
      <c r="I11" s="2508" t="s">
        <v>2489</v>
      </c>
    </row>
    <row r="12" spans="1:9">
      <c r="A12" s="3487"/>
      <c r="B12" s="3488" t="s">
        <v>2490</v>
      </c>
      <c r="C12" s="3488"/>
      <c r="D12" s="2509"/>
      <c r="E12" s="2509"/>
      <c r="F12" s="2510"/>
      <c r="G12" s="2511"/>
      <c r="H12" s="2518"/>
      <c r="I12" s="2508">
        <f>ROUND(D12*E12*F12*G12/10000,0)</f>
        <v>0</v>
      </c>
    </row>
    <row r="13" spans="1:9">
      <c r="A13" s="3487"/>
      <c r="B13" s="3488" t="s">
        <v>2491</v>
      </c>
      <c r="C13" s="3488"/>
      <c r="D13" s="2509"/>
      <c r="E13" s="2509"/>
      <c r="F13" s="2510"/>
      <c r="G13" s="2511"/>
      <c r="H13" s="2518"/>
      <c r="I13" s="2508">
        <f>ROUND(D13*E13*F13*G13/10000,0)</f>
        <v>0</v>
      </c>
    </row>
    <row r="14" spans="1:9">
      <c r="A14" s="3487"/>
      <c r="B14" s="3488" t="s">
        <v>2492</v>
      </c>
      <c r="C14" s="3488"/>
      <c r="D14" s="2509"/>
      <c r="E14" s="2509"/>
      <c r="F14" s="2510"/>
      <c r="G14" s="2511"/>
      <c r="H14" s="2518"/>
      <c r="I14" s="2508">
        <f>ROUND(D14*E14*F14*G14/10000,0)</f>
        <v>0</v>
      </c>
    </row>
    <row r="15" spans="1:9">
      <c r="A15" s="3487"/>
      <c r="B15" s="3489" t="s">
        <v>2481</v>
      </c>
      <c r="C15" s="3489"/>
      <c r="D15" s="2513"/>
      <c r="E15" s="2513">
        <f>SUM(E12:E14)</f>
        <v>0</v>
      </c>
      <c r="F15" s="2514"/>
      <c r="G15" s="2511"/>
      <c r="H15" s="2518"/>
      <c r="I15" s="2519">
        <f>SUM(I12:I14)</f>
        <v>0</v>
      </c>
    </row>
    <row r="16" spans="1:9" ht="24">
      <c r="A16" s="3487" t="s">
        <v>2493</v>
      </c>
      <c r="B16" s="3488" t="s">
        <v>2494</v>
      </c>
      <c r="C16" s="3488"/>
      <c r="D16" s="2509" t="s">
        <v>2495</v>
      </c>
      <c r="E16" s="2520" t="s">
        <v>2496</v>
      </c>
      <c r="F16" s="2510" t="s">
        <v>2497</v>
      </c>
      <c r="G16" s="2511" t="s">
        <v>2487</v>
      </c>
      <c r="H16" s="2517" t="s">
        <v>2488</v>
      </c>
      <c r="I16" s="2508" t="s">
        <v>2489</v>
      </c>
    </row>
    <row r="17" spans="1:9" ht="14.25">
      <c r="A17" s="3487"/>
      <c r="B17" s="3488" t="s">
        <v>2498</v>
      </c>
      <c r="C17" s="3488"/>
      <c r="D17" s="2509"/>
      <c r="E17" s="2509"/>
      <c r="F17" s="2510"/>
      <c r="G17" s="2511"/>
      <c r="H17" s="2521"/>
      <c r="I17" s="2522">
        <f>ROUND(D17*E17*F17*G17/10000,0)</f>
        <v>0</v>
      </c>
    </row>
    <row r="18" spans="1:9" ht="14.25">
      <c r="A18" s="3487"/>
      <c r="B18" s="3488" t="s">
        <v>2499</v>
      </c>
      <c r="C18" s="3488"/>
      <c r="D18" s="2509"/>
      <c r="E18" s="2509"/>
      <c r="F18" s="2510"/>
      <c r="G18" s="2511"/>
      <c r="H18" s="2521"/>
      <c r="I18" s="2522">
        <f>ROUND(D18*E18*F18*G18/10000,0)</f>
        <v>0</v>
      </c>
    </row>
    <row r="19" spans="1:9" ht="14.25">
      <c r="A19" s="3487"/>
      <c r="B19" s="3488" t="s">
        <v>2500</v>
      </c>
      <c r="C19" s="3488"/>
      <c r="D19" s="2509"/>
      <c r="E19" s="2509"/>
      <c r="F19" s="2510"/>
      <c r="G19" s="2511"/>
      <c r="H19" s="2521"/>
      <c r="I19" s="2522">
        <f>ROUND(D19*E19*F19*G19/10000,0)</f>
        <v>0</v>
      </c>
    </row>
    <row r="20" spans="1:9">
      <c r="A20" s="3487"/>
      <c r="B20" s="3489" t="s">
        <v>2481</v>
      </c>
      <c r="C20" s="3489"/>
      <c r="D20" s="2513">
        <f>SUM(D17:D19)</f>
        <v>0</v>
      </c>
      <c r="E20" s="2513"/>
      <c r="F20" s="2514"/>
      <c r="G20" s="2511"/>
      <c r="H20" s="2518"/>
      <c r="I20" s="2519">
        <f>SUM(I17:I19)</f>
        <v>0</v>
      </c>
    </row>
    <row r="21" spans="1:9">
      <c r="A21" s="3487" t="s">
        <v>2501</v>
      </c>
      <c r="B21" s="3491"/>
      <c r="C21" s="3491"/>
      <c r="D21" s="3491"/>
      <c r="E21" s="3491"/>
      <c r="F21" s="3491"/>
      <c r="G21" s="3491"/>
      <c r="H21" s="2523">
        <v>0.1</v>
      </c>
      <c r="I21" s="2516">
        <f>ROUND(I10*H21,0)</f>
        <v>0</v>
      </c>
    </row>
    <row r="22" spans="1:9" ht="14.25">
      <c r="A22" s="3492" t="s">
        <v>2502</v>
      </c>
      <c r="B22" s="3493"/>
      <c r="C22" s="3494"/>
      <c r="D22" s="2524" t="s">
        <v>2503</v>
      </c>
      <c r="E22" s="2524" t="s">
        <v>2504</v>
      </c>
      <c r="F22" s="2525" t="s">
        <v>2505</v>
      </c>
      <c r="G22" s="2525" t="s">
        <v>2506</v>
      </c>
      <c r="H22" s="2517" t="s">
        <v>2507</v>
      </c>
      <c r="I22" s="2508" t="s">
        <v>2508</v>
      </c>
    </row>
    <row r="23" spans="1:9" ht="14.25" thickBot="1">
      <c r="A23" s="3495"/>
      <c r="B23" s="3496"/>
      <c r="C23" s="3497"/>
      <c r="D23" s="2526"/>
      <c r="E23" s="2526"/>
      <c r="F23" s="2526"/>
      <c r="G23" s="2527"/>
      <c r="H23" s="2528"/>
      <c r="I23" s="2529">
        <f>ROUND(E23*D23*F23*(1-G23)/10000,0)</f>
        <v>0</v>
      </c>
    </row>
    <row r="26" spans="1:9">
      <c r="A26" s="2530" t="s">
        <v>2509</v>
      </c>
      <c r="B26" s="2530"/>
      <c r="C26" s="2530"/>
      <c r="D26" s="2530"/>
      <c r="E26" s="3498">
        <f>C27-C30-C31-C32</f>
        <v>0</v>
      </c>
      <c r="F26" s="3498"/>
      <c r="G26" s="3498"/>
      <c r="H26" s="3042" t="s">
        <v>2837</v>
      </c>
    </row>
    <row r="27" spans="1:9">
      <c r="A27" s="2531">
        <v>1</v>
      </c>
      <c r="B27" s="2532" t="s">
        <v>2510</v>
      </c>
      <c r="C27" s="2532"/>
      <c r="D27" s="2532"/>
      <c r="E27" s="3499"/>
      <c r="F27" s="3499"/>
      <c r="G27" s="3499"/>
    </row>
    <row r="28" spans="1:9">
      <c r="A28" s="2533" t="s">
        <v>2511</v>
      </c>
      <c r="B28" s="2532" t="s">
        <v>2512</v>
      </c>
      <c r="C28" s="2532"/>
      <c r="D28" s="2532"/>
      <c r="E28" s="3499"/>
      <c r="F28" s="3499"/>
      <c r="G28" s="3499"/>
    </row>
    <row r="29" spans="1:9">
      <c r="A29" s="2533" t="s">
        <v>2513</v>
      </c>
      <c r="B29" s="2532" t="s">
        <v>2454</v>
      </c>
      <c r="C29" s="2532"/>
      <c r="D29" s="2532"/>
      <c r="E29" s="2532" t="s">
        <v>2514</v>
      </c>
      <c r="F29" s="2532"/>
      <c r="G29" s="2532"/>
    </row>
    <row r="30" spans="1:9">
      <c r="A30" s="2531">
        <v>2</v>
      </c>
      <c r="B30" s="2532" t="s">
        <v>2515</v>
      </c>
      <c r="C30" s="2532">
        <f>C27*D30</f>
        <v>0</v>
      </c>
      <c r="D30" s="2534">
        <v>0.2</v>
      </c>
      <c r="E30" s="2532" t="s">
        <v>2516</v>
      </c>
      <c r="F30" s="2532"/>
      <c r="G30" s="2532"/>
    </row>
    <row r="31" spans="1:9">
      <c r="A31" s="2531">
        <v>3</v>
      </c>
      <c r="B31" s="2532" t="s">
        <v>2517</v>
      </c>
      <c r="C31" s="2532">
        <f>C25*D31</f>
        <v>0</v>
      </c>
      <c r="D31" s="2534">
        <v>0.15</v>
      </c>
      <c r="E31" s="2532" t="s">
        <v>2518</v>
      </c>
      <c r="F31" s="2532"/>
      <c r="G31" s="2532"/>
    </row>
    <row r="32" spans="1:9">
      <c r="A32" s="2531">
        <v>4</v>
      </c>
      <c r="B32" s="2532" t="s">
        <v>2519</v>
      </c>
      <c r="C32" s="2532">
        <f>C27*D32</f>
        <v>0</v>
      </c>
      <c r="D32" s="2534">
        <v>0.05</v>
      </c>
      <c r="E32" s="3490"/>
      <c r="F32" s="3490"/>
      <c r="G32" s="3490"/>
    </row>
    <row r="33" spans="1:7" hidden="1">
      <c r="A33" s="3500" t="s">
        <v>2520</v>
      </c>
      <c r="B33" s="3501"/>
      <c r="C33" s="3501"/>
      <c r="D33" s="3502"/>
      <c r="E33" s="3498"/>
      <c r="F33" s="3498"/>
      <c r="G33" s="3498"/>
    </row>
    <row r="34" spans="1:7" hidden="1">
      <c r="A34" s="2535">
        <v>1</v>
      </c>
      <c r="B34" s="2532" t="s">
        <v>2521</v>
      </c>
      <c r="C34" s="2532"/>
      <c r="D34" s="2532"/>
      <c r="E34" s="3499"/>
      <c r="F34" s="3499"/>
      <c r="G34" s="3499"/>
    </row>
    <row r="35" spans="1:7" hidden="1">
      <c r="A35" s="2535">
        <v>2</v>
      </c>
      <c r="B35" s="2532" t="s">
        <v>2522</v>
      </c>
      <c r="C35" s="2532"/>
      <c r="D35" s="2532"/>
      <c r="E35" s="3499"/>
      <c r="F35" s="3499"/>
      <c r="G35" s="3499"/>
    </row>
    <row r="36" spans="1:7" hidden="1">
      <c r="A36" s="2535">
        <v>3</v>
      </c>
      <c r="B36" s="2532" t="s">
        <v>2523</v>
      </c>
      <c r="C36" s="2532"/>
      <c r="D36" s="2532"/>
      <c r="E36" s="3499"/>
      <c r="F36" s="3499"/>
      <c r="G36" s="3499"/>
    </row>
    <row r="37" spans="1:7" hidden="1">
      <c r="A37" s="2535">
        <v>4</v>
      </c>
      <c r="B37" s="2532" t="s">
        <v>2524</v>
      </c>
      <c r="C37" s="2532"/>
      <c r="D37" s="2532"/>
      <c r="E37" s="3499"/>
      <c r="F37" s="3499"/>
      <c r="G37" s="3499"/>
    </row>
    <row r="38" spans="1:7" hidden="1">
      <c r="A38" s="3500" t="s">
        <v>2525</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601</v>
      </c>
      <c r="B1" s="742"/>
      <c r="C1" s="2182"/>
      <c r="D1" s="2182"/>
      <c r="E1" s="2182"/>
      <c r="F1" s="2182"/>
      <c r="G1" s="2108"/>
    </row>
    <row r="2" spans="1:25" s="2059" customFormat="1" ht="18" customHeight="1">
      <c r="A2" s="423" t="s">
        <v>465</v>
      </c>
      <c r="B2" s="425">
        <f ca="1">C23</f>
        <v>4671</v>
      </c>
      <c r="C2" s="2108"/>
      <c r="D2" s="2108"/>
      <c r="E2" s="2108"/>
      <c r="F2" s="2108"/>
      <c r="G2" s="2108"/>
    </row>
    <row r="3" spans="1:25" s="2059" customFormat="1" ht="18" customHeight="1">
      <c r="A3" s="1379" t="s">
        <v>1684</v>
      </c>
      <c r="B3" s="425">
        <f ca="1">ROUND(B2*10000/'数据-汇总表'!E3,0)</f>
        <v>292</v>
      </c>
      <c r="C3" s="2108"/>
      <c r="D3" s="2108"/>
      <c r="E3" s="2108"/>
      <c r="F3" s="2108"/>
      <c r="G3" s="2108"/>
    </row>
    <row r="4" spans="1:25" s="2059" customFormat="1" ht="18" customHeight="1">
      <c r="A4" s="426" t="s">
        <v>466</v>
      </c>
      <c r="B4" s="427">
        <f ca="1">ROUND(B2*10000/'数据-汇总表'!D3,0)</f>
        <v>909</v>
      </c>
      <c r="C4" s="2061"/>
      <c r="D4" s="2108"/>
      <c r="E4" s="2108"/>
      <c r="F4" s="2108"/>
      <c r="G4" s="2108"/>
    </row>
    <row r="5" spans="1:25" s="2059" customFormat="1" ht="18" customHeight="1" thickBot="1">
      <c r="A5" s="429"/>
      <c r="B5" s="430">
        <f ca="1">ROUND(B2/('数据-汇总表'!D3/666.67),0)</f>
        <v>61</v>
      </c>
      <c r="C5" s="431" t="s">
        <v>467</v>
      </c>
      <c r="D5" s="2108"/>
      <c r="E5" s="2108"/>
      <c r="F5" s="2108"/>
      <c r="G5" s="2108"/>
    </row>
    <row r="6" spans="1:25" s="2183" customFormat="1" ht="13.5" customHeight="1">
      <c r="A6" s="743"/>
      <c r="B6" s="744" t="s">
        <v>602</v>
      </c>
      <c r="C6" s="745" t="s">
        <v>603</v>
      </c>
      <c r="D6" s="745" t="s">
        <v>604</v>
      </c>
      <c r="E6" s="746" t="s">
        <v>605</v>
      </c>
      <c r="F6" s="746" t="s">
        <v>606</v>
      </c>
      <c r="G6" s="747"/>
    </row>
    <row r="7" spans="1:25" s="2183" customFormat="1" ht="13.5" customHeight="1">
      <c r="A7" s="2469">
        <v>1</v>
      </c>
      <c r="B7" s="748" t="s">
        <v>607</v>
      </c>
      <c r="C7" s="749">
        <f>C8+C9</f>
        <v>0</v>
      </c>
      <c r="D7" s="749"/>
      <c r="E7" s="750"/>
      <c r="F7" s="750"/>
      <c r="G7" s="2479"/>
    </row>
    <row r="8" spans="1:25" s="2183" customFormat="1" ht="13.5" customHeight="1">
      <c r="A8" s="2469" t="s">
        <v>2435</v>
      </c>
      <c r="B8" s="2472" t="s">
        <v>2437</v>
      </c>
      <c r="C8" s="2473"/>
      <c r="D8" s="749"/>
      <c r="E8" s="750"/>
      <c r="F8" s="750"/>
      <c r="G8" s="751"/>
    </row>
    <row r="9" spans="1:25" s="2183" customFormat="1" ht="13.5" customHeight="1">
      <c r="A9" s="2469" t="s">
        <v>2436</v>
      </c>
      <c r="B9" s="2472" t="s">
        <v>2438</v>
      </c>
      <c r="C9" s="2473"/>
      <c r="D9" s="749"/>
      <c r="E9" s="750"/>
      <c r="F9" s="750"/>
      <c r="G9" s="751"/>
    </row>
    <row r="10" spans="1:25" s="2183" customFormat="1" ht="36">
      <c r="A10" s="2469">
        <v>2</v>
      </c>
      <c r="B10" s="748" t="s">
        <v>611</v>
      </c>
      <c r="C10" s="749">
        <f ca="1">C11+C14+C15</f>
        <v>4782</v>
      </c>
      <c r="D10" s="760">
        <f>'数据-汇总表'!E3</f>
        <v>160029.13999999998</v>
      </c>
      <c r="E10" s="749">
        <f>'数据-取费表'!B31</f>
        <v>200</v>
      </c>
      <c r="F10" s="761"/>
      <c r="G10" s="759" t="s">
        <v>612</v>
      </c>
    </row>
    <row r="11" spans="1:25" s="2183" customFormat="1" ht="13.5" customHeight="1">
      <c r="A11" s="2469" t="s">
        <v>2435</v>
      </c>
      <c r="B11" s="752" t="s">
        <v>608</v>
      </c>
      <c r="C11" s="753">
        <f ca="1">'数据-取费表'!B29</f>
        <v>4782</v>
      </c>
      <c r="D11" s="754"/>
      <c r="E11" s="753"/>
      <c r="F11" s="755"/>
      <c r="G11" s="2478" t="s">
        <v>2446</v>
      </c>
    </row>
    <row r="12" spans="1:25" s="2183" customFormat="1" ht="13.5" customHeight="1">
      <c r="A12" s="2476" t="s">
        <v>2443</v>
      </c>
      <c r="B12" s="756" t="s">
        <v>609</v>
      </c>
      <c r="C12" s="757">
        <f>ROUND(D12*E12/10000,0)</f>
        <v>3277</v>
      </c>
      <c r="D12" s="758">
        <f>'数据-汇总表'!E5</f>
        <v>113002.29999999999</v>
      </c>
      <c r="E12" s="757">
        <f>'数据-取费表'!B27</f>
        <v>290</v>
      </c>
      <c r="F12" s="755"/>
      <c r="G12" s="759"/>
    </row>
    <row r="13" spans="1:25" s="2183" customFormat="1" ht="13.5" customHeight="1">
      <c r="A13" s="2476" t="s">
        <v>2442</v>
      </c>
      <c r="B13" s="756" t="s">
        <v>610</v>
      </c>
      <c r="C13" s="757">
        <f>ROUND(D13*E13/10000,0)</f>
        <v>1505</v>
      </c>
      <c r="D13" s="758">
        <f>'数据-汇总表'!E6</f>
        <v>47026.84</v>
      </c>
      <c r="E13" s="757">
        <f>'数据-取费表'!B28</f>
        <v>320</v>
      </c>
      <c r="F13" s="755"/>
      <c r="G13" s="759"/>
    </row>
    <row r="14" spans="1:25" s="2183" customFormat="1" ht="13.5" customHeight="1">
      <c r="A14" s="2469" t="s">
        <v>2436</v>
      </c>
      <c r="B14" s="2475" t="s">
        <v>2439</v>
      </c>
      <c r="C14" s="2473"/>
      <c r="D14" s="758"/>
      <c r="E14" s="757"/>
      <c r="F14" s="2474"/>
      <c r="G14" s="2477" t="s">
        <v>2444</v>
      </c>
    </row>
    <row r="15" spans="1:25" s="2183" customFormat="1" ht="13.5" customHeight="1">
      <c r="A15" s="2469" t="s">
        <v>2441</v>
      </c>
      <c r="B15" s="2475" t="s">
        <v>2440</v>
      </c>
      <c r="C15" s="2473"/>
      <c r="D15" s="758"/>
      <c r="E15" s="757"/>
      <c r="F15" s="2474"/>
      <c r="G15" s="2477" t="s">
        <v>2445</v>
      </c>
    </row>
    <row r="16" spans="1:25" s="2184" customFormat="1" ht="48">
      <c r="A16" s="2469">
        <v>3</v>
      </c>
      <c r="B16" s="748" t="s">
        <v>613</v>
      </c>
      <c r="C16" s="2473"/>
      <c r="D16" s="760"/>
      <c r="E16" s="749"/>
      <c r="F16" s="761"/>
      <c r="G16" s="759" t="s">
        <v>2447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614</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615</v>
      </c>
      <c r="C18" s="749">
        <f ca="1">ROUND((C7+C10+C16)*F18,0)</f>
        <v>478</v>
      </c>
      <c r="D18" s="762"/>
      <c r="E18" s="763"/>
      <c r="F18" s="761">
        <f>'数据-取费表'!Q16</f>
        <v>0.1</v>
      </c>
      <c r="G18" s="765"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617</v>
      </c>
      <c r="C19" s="749">
        <f ca="1">C7+C10+C16+C17+C18</f>
        <v>5260</v>
      </c>
      <c r="D19" s="760"/>
      <c r="E19" s="749"/>
      <c r="F19" s="761"/>
      <c r="G19" s="765"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619</v>
      </c>
      <c r="C20" s="749">
        <f ca="1">ROUND(C19*F20,0)</f>
        <v>0</v>
      </c>
      <c r="D20" s="760"/>
      <c r="E20" s="749"/>
      <c r="F20" s="1349"/>
      <c r="G20" s="765"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621</v>
      </c>
      <c r="C21" s="749">
        <f ca="1">C19+C20</f>
        <v>5260</v>
      </c>
      <c r="D21" s="760"/>
      <c r="E21" s="749"/>
      <c r="F21" s="761"/>
      <c r="G21" s="765"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623</v>
      </c>
      <c r="C22" s="749">
        <f ca="1">ROUND(C21*F22,0)</f>
        <v>4671</v>
      </c>
      <c r="D22" s="760"/>
      <c r="E22" s="749"/>
      <c r="F22" s="766">
        <f>'数据-取费表'!AP16</f>
        <v>0.88800000000000001</v>
      </c>
      <c r="G22" s="765"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625</v>
      </c>
      <c r="C23" s="768">
        <f ca="1">C22</f>
        <v>4671</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J52" sqref="J5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6.375" style="1337" customWidth="1"/>
    <col min="6" max="6" width="12.25" style="1337" customWidth="1"/>
    <col min="7" max="7" width="16.125" style="1337" customWidth="1"/>
    <col min="8" max="8" width="12.25" style="1337" customWidth="1"/>
    <col min="9" max="9" width="16.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23" t="s">
        <v>717</v>
      </c>
      <c r="C1" s="2624" t="s">
        <v>718</v>
      </c>
      <c r="D1" s="2625" t="s">
        <v>3131</v>
      </c>
      <c r="E1" s="2626"/>
      <c r="F1" s="2807" t="s">
        <v>3407</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465</v>
      </c>
      <c r="B2" s="2622">
        <f>ROUND(B3*D3/10000,0)</f>
        <v>181093</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517</v>
      </c>
      <c r="B3" s="851">
        <f>C49</f>
        <v>30560</v>
      </c>
      <c r="C3" s="852" t="s">
        <v>720</v>
      </c>
      <c r="D3" s="851">
        <f>SUMIF('数据-汇总表'!$C19:$C33,D1,'数据-汇总表'!$E19:$E33)</f>
        <v>59258.109999999993</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519</v>
      </c>
      <c r="B4" s="513"/>
      <c r="C4" s="3396" t="s">
        <v>520</v>
      </c>
      <c r="D4" s="3397"/>
      <c r="E4" s="3431" t="s">
        <v>521</v>
      </c>
      <c r="F4" s="3432"/>
      <c r="G4" s="3396" t="s">
        <v>522</v>
      </c>
      <c r="H4" s="3397"/>
      <c r="I4" s="3396" t="s">
        <v>523</v>
      </c>
      <c r="J4" s="3397"/>
      <c r="K4" s="853" t="s">
        <v>524</v>
      </c>
      <c r="L4" s="2133"/>
      <c r="M4" s="2134"/>
      <c r="N4" s="2134"/>
      <c r="O4" s="2134"/>
      <c r="P4" s="3398" t="s">
        <v>525</v>
      </c>
      <c r="Q4" s="3399"/>
      <c r="R4" s="3404" t="s">
        <v>521</v>
      </c>
      <c r="S4" s="3405"/>
      <c r="T4" s="3404" t="s">
        <v>522</v>
      </c>
      <c r="U4" s="3405"/>
      <c r="V4" s="3391" t="s">
        <v>523</v>
      </c>
      <c r="W4" s="3391"/>
      <c r="X4" s="1567"/>
      <c r="Y4" s="3404" t="s">
        <v>525</v>
      </c>
      <c r="Z4" s="3405"/>
      <c r="AA4" s="3393" t="s">
        <v>521</v>
      </c>
      <c r="AB4" s="3393" t="s">
        <v>522</v>
      </c>
      <c r="AC4" s="3393" t="s">
        <v>523</v>
      </c>
    </row>
    <row r="5" spans="1:29" ht="15">
      <c r="A5" s="515"/>
      <c r="B5" s="516"/>
      <c r="C5" s="3414" t="s">
        <v>3079</v>
      </c>
      <c r="D5" s="3413"/>
      <c r="E5" s="3414" t="s">
        <v>3079</v>
      </c>
      <c r="F5" s="3413"/>
      <c r="G5" s="3414" t="s">
        <v>3427</v>
      </c>
      <c r="H5" s="3413"/>
      <c r="I5" s="3414" t="s">
        <v>3473</v>
      </c>
      <c r="J5" s="3413"/>
      <c r="K5" s="854"/>
      <c r="L5" s="2133"/>
      <c r="M5" s="2134"/>
      <c r="N5" s="2134"/>
      <c r="O5" s="2134"/>
      <c r="P5" s="3400"/>
      <c r="Q5" s="3401"/>
      <c r="R5" s="3406"/>
      <c r="S5" s="3407"/>
      <c r="T5" s="3406"/>
      <c r="U5" s="3407"/>
      <c r="V5" s="3391"/>
      <c r="W5" s="3391"/>
      <c r="X5" s="1567"/>
      <c r="Y5" s="3406"/>
      <c r="Z5" s="3407"/>
      <c r="AA5" s="3394"/>
      <c r="AB5" s="3394"/>
      <c r="AC5" s="3394"/>
    </row>
    <row r="6" spans="1:29" ht="15.75" thickBot="1">
      <c r="A6" s="517"/>
      <c r="B6" s="518"/>
      <c r="C6" s="3410" t="s">
        <v>2920</v>
      </c>
      <c r="D6" s="3411"/>
      <c r="E6" s="3429" t="s">
        <v>2920</v>
      </c>
      <c r="F6" s="3430"/>
      <c r="G6" s="3410" t="s">
        <v>2920</v>
      </c>
      <c r="H6" s="3411"/>
      <c r="I6" s="3410" t="s">
        <v>2920</v>
      </c>
      <c r="J6" s="3411"/>
      <c r="K6" s="854" t="s">
        <v>526</v>
      </c>
      <c r="L6" s="2133"/>
      <c r="M6" s="2134"/>
      <c r="N6" s="2134"/>
      <c r="O6" s="2134"/>
      <c r="P6" s="3402"/>
      <c r="Q6" s="3403"/>
      <c r="R6" s="3406"/>
      <c r="S6" s="3407"/>
      <c r="T6" s="3408"/>
      <c r="U6" s="3409"/>
      <c r="V6" s="3391"/>
      <c r="W6" s="3391"/>
      <c r="X6" s="1567"/>
      <c r="Y6" s="3408"/>
      <c r="Z6" s="3409"/>
      <c r="AA6" s="3395"/>
      <c r="AB6" s="3395"/>
      <c r="AC6" s="3395"/>
    </row>
    <row r="7" spans="1:29" s="1220" customFormat="1" ht="15.75" thickBot="1">
      <c r="A7" s="2911"/>
      <c r="B7" s="2918" t="s">
        <v>527</v>
      </c>
      <c r="C7" s="519">
        <f>'数据-取费表'!B2</f>
        <v>43325</v>
      </c>
      <c r="D7" s="520">
        <v>100</v>
      </c>
      <c r="E7" s="521">
        <v>43325</v>
      </c>
      <c r="F7" s="522">
        <f>SUMIF(58:58,YEAR(E7)&amp;"-"&amp;MONTH(E7),59:59)</f>
        <v>100</v>
      </c>
      <c r="G7" s="523">
        <v>43325</v>
      </c>
      <c r="H7" s="520">
        <f>SUMIF(58:58,YEAR(G7)&amp;"-"&amp;MONTH(G7),59:59)</f>
        <v>100</v>
      </c>
      <c r="I7" s="523">
        <v>43325</v>
      </c>
      <c r="J7" s="520">
        <f>SUMIF(58:58,YEAR(I7)&amp;"-"&amp;MONTH(I7),59:59)</f>
        <v>100</v>
      </c>
      <c r="K7" s="855"/>
      <c r="L7" s="2135"/>
      <c r="M7" s="2136"/>
      <c r="N7" s="2136"/>
      <c r="O7" s="2136"/>
      <c r="P7" s="3422" t="s">
        <v>528</v>
      </c>
      <c r="Q7" s="3424"/>
      <c r="R7" s="1568" t="s">
        <v>13</v>
      </c>
      <c r="S7" s="1569">
        <f t="shared" ref="S7:S15" si="0">F7</f>
        <v>100</v>
      </c>
      <c r="T7" s="1568" t="s">
        <v>13</v>
      </c>
      <c r="U7" s="1569">
        <f t="shared" ref="U7:U15" si="1">H7</f>
        <v>100</v>
      </c>
      <c r="V7" s="1568" t="s">
        <v>13</v>
      </c>
      <c r="W7" s="1569">
        <f t="shared" ref="W7:W15" si="2">J7</f>
        <v>100</v>
      </c>
      <c r="X7" s="1570"/>
      <c r="Y7" s="3422" t="s">
        <v>528</v>
      </c>
      <c r="Z7" s="3423"/>
      <c r="AA7" s="1571">
        <f>D7/F7</f>
        <v>1</v>
      </c>
      <c r="AB7" s="1571">
        <f>D7/H7</f>
        <v>1</v>
      </c>
      <c r="AC7" s="1571">
        <f>D7/J7</f>
        <v>1</v>
      </c>
    </row>
    <row r="8" spans="1:29" s="1220" customFormat="1" ht="15.75" thickBot="1">
      <c r="A8" s="2912"/>
      <c r="B8" s="2919" t="s">
        <v>529</v>
      </c>
      <c r="C8" s="525" t="s">
        <v>574</v>
      </c>
      <c r="D8" s="520">
        <v>100</v>
      </c>
      <c r="E8" s="856" t="s">
        <v>3404</v>
      </c>
      <c r="F8" s="522">
        <f>SUMIF(61:61,E8,62:62)-SUMIF(61:61,C8,62:62)+100</f>
        <v>100</v>
      </c>
      <c r="G8" s="856" t="s">
        <v>3404</v>
      </c>
      <c r="H8" s="520">
        <f>SUMIF(61:61,G8,62:62)-SUMIF(61:61,C8,62:62)+100</f>
        <v>100</v>
      </c>
      <c r="I8" s="856" t="s">
        <v>3404</v>
      </c>
      <c r="J8" s="520">
        <f>SUMIF(61:61,I8,62:62)-SUMIF(61:61,C8,62:62)+100</f>
        <v>100</v>
      </c>
      <c r="K8" s="855"/>
      <c r="L8" s="2135"/>
      <c r="M8" s="2136"/>
      <c r="N8" s="2136"/>
      <c r="O8" s="2136"/>
      <c r="P8" s="3422" t="s">
        <v>531</v>
      </c>
      <c r="Q8" s="3423"/>
      <c r="R8" s="1568" t="s">
        <v>13</v>
      </c>
      <c r="S8" s="1569">
        <f t="shared" si="0"/>
        <v>100</v>
      </c>
      <c r="T8" s="1568" t="s">
        <v>13</v>
      </c>
      <c r="U8" s="1569">
        <f t="shared" si="1"/>
        <v>100</v>
      </c>
      <c r="V8" s="1568" t="s">
        <v>13</v>
      </c>
      <c r="W8" s="1569">
        <f t="shared" si="2"/>
        <v>100</v>
      </c>
      <c r="X8" s="1570"/>
      <c r="Y8" s="3422" t="s">
        <v>531</v>
      </c>
      <c r="Z8" s="3423"/>
      <c r="AA8" s="1571">
        <f t="shared" ref="AA8:AA46" si="3">D8/F8</f>
        <v>1</v>
      </c>
      <c r="AB8" s="1571">
        <f t="shared" ref="AB8:AB46" si="4">D8/H8</f>
        <v>1</v>
      </c>
      <c r="AC8" s="1571">
        <f t="shared" ref="AC8:AC46" si="5">D8/J8</f>
        <v>1</v>
      </c>
    </row>
    <row r="9" spans="1:29" s="1220" customFormat="1" ht="15">
      <c r="A9" s="2913"/>
      <c r="B9" s="2920" t="s">
        <v>2750</v>
      </c>
      <c r="C9" s="3203" t="s">
        <v>3408</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390" t="s">
        <v>533</v>
      </c>
      <c r="Q9" s="1151" t="str">
        <f t="shared" ref="Q9:Q15" si="6">B9</f>
        <v>用途</v>
      </c>
      <c r="R9" s="1568" t="s">
        <v>8</v>
      </c>
      <c r="S9" s="1569">
        <f t="shared" si="0"/>
        <v>100</v>
      </c>
      <c r="T9" s="1568" t="s">
        <v>8</v>
      </c>
      <c r="U9" s="1569">
        <f t="shared" si="1"/>
        <v>100</v>
      </c>
      <c r="V9" s="1568" t="s">
        <v>8</v>
      </c>
      <c r="W9" s="1569">
        <f t="shared" si="2"/>
        <v>100</v>
      </c>
      <c r="X9" s="1570"/>
      <c r="Y9" s="3336" t="s">
        <v>534</v>
      </c>
      <c r="Z9" s="1150" t="str">
        <f t="shared" ref="Z9:Z15" si="7">Q9</f>
        <v>用途</v>
      </c>
      <c r="AA9" s="1571">
        <f t="shared" si="3"/>
        <v>1</v>
      </c>
      <c r="AB9" s="1571">
        <f t="shared" si="4"/>
        <v>1</v>
      </c>
      <c r="AC9" s="1571">
        <f t="shared" si="5"/>
        <v>1</v>
      </c>
    </row>
    <row r="10" spans="1:29" s="1338" customFormat="1" ht="27">
      <c r="A10" s="2914"/>
      <c r="B10" s="2919" t="s">
        <v>2751</v>
      </c>
      <c r="C10" s="861" t="s">
        <v>3409</v>
      </c>
      <c r="D10" s="255">
        <v>100</v>
      </c>
      <c r="E10" s="862" t="s">
        <v>3409</v>
      </c>
      <c r="F10" s="863">
        <f>SUMIF(65:65,E10,66:66)-SUMIF(65:65,C10,66:66)+100</f>
        <v>100</v>
      </c>
      <c r="G10" s="861" t="s">
        <v>3426</v>
      </c>
      <c r="H10" s="255">
        <f>SUMIF(65:65,G10,66:66)-SUMIF(65:65,C10,66:66)+100</f>
        <v>101</v>
      </c>
      <c r="I10" s="861" t="s">
        <v>3426</v>
      </c>
      <c r="J10" s="255">
        <f>SUMIF(65:65,I10,66:66)-SUMIF(65:65,C10,66:66)+100</f>
        <v>101</v>
      </c>
      <c r="K10" s="3204">
        <v>1</v>
      </c>
      <c r="L10" s="2138"/>
      <c r="M10" s="2178"/>
      <c r="N10" s="2178"/>
      <c r="O10" s="2139"/>
      <c r="P10" s="3390"/>
      <c r="Q10" s="1151" t="str">
        <f t="shared" si="6"/>
        <v>土地使用年限（年）</v>
      </c>
      <c r="R10" s="1568" t="s">
        <v>8</v>
      </c>
      <c r="S10" s="1569">
        <f t="shared" si="0"/>
        <v>100</v>
      </c>
      <c r="T10" s="1568" t="s">
        <v>8</v>
      </c>
      <c r="U10" s="1569">
        <f t="shared" si="1"/>
        <v>101</v>
      </c>
      <c r="V10" s="1568" t="s">
        <v>8</v>
      </c>
      <c r="W10" s="1569">
        <f t="shared" si="2"/>
        <v>101</v>
      </c>
      <c r="X10" s="1570"/>
      <c r="Y10" s="3336"/>
      <c r="Z10" s="1150" t="str">
        <f t="shared" si="7"/>
        <v>土地使用年限（年）</v>
      </c>
      <c r="AA10" s="1571">
        <f t="shared" si="3"/>
        <v>1</v>
      </c>
      <c r="AB10" s="1571">
        <f t="shared" si="4"/>
        <v>0.99009900990099009</v>
      </c>
      <c r="AC10" s="1571">
        <f t="shared" si="5"/>
        <v>0.99009900990099009</v>
      </c>
    </row>
    <row r="11" spans="1:29" ht="15.75" thickBot="1">
      <c r="A11" s="2915"/>
      <c r="B11" s="2919" t="s">
        <v>2752</v>
      </c>
      <c r="C11" s="3208">
        <v>2.15</v>
      </c>
      <c r="D11" s="255">
        <v>100</v>
      </c>
      <c r="E11" s="534">
        <v>2.15</v>
      </c>
      <c r="F11" s="863">
        <f>LOOKUP(E11,68:68,69:69)-LOOKUP(C11,68:68,69:69)+100</f>
        <v>100</v>
      </c>
      <c r="G11" s="533">
        <v>1.8</v>
      </c>
      <c r="H11" s="255">
        <f>LOOKUP(G11,68:68,69:69)-LOOKUP(C11,68:68,69:69)+100</f>
        <v>102</v>
      </c>
      <c r="I11" s="533">
        <v>1.8</v>
      </c>
      <c r="J11" s="255">
        <f>LOOKUP(I11,68:68,69:69)-LOOKUP(C11,68:68,69:69)+100</f>
        <v>102</v>
      </c>
      <c r="K11" s="864">
        <v>2</v>
      </c>
      <c r="L11" s="2140"/>
      <c r="M11" s="2134"/>
      <c r="N11" s="2134"/>
      <c r="O11" s="2141"/>
      <c r="P11" s="3390"/>
      <c r="Q11" s="1151" t="str">
        <f t="shared" si="6"/>
        <v>容积率</v>
      </c>
      <c r="R11" s="1568" t="s">
        <v>11</v>
      </c>
      <c r="S11" s="1569">
        <f t="shared" si="0"/>
        <v>100</v>
      </c>
      <c r="T11" s="1568" t="s">
        <v>11</v>
      </c>
      <c r="U11" s="1569">
        <f t="shared" si="1"/>
        <v>102</v>
      </c>
      <c r="V11" s="1568" t="s">
        <v>11</v>
      </c>
      <c r="W11" s="1569">
        <f t="shared" si="2"/>
        <v>102</v>
      </c>
      <c r="X11" s="1570"/>
      <c r="Y11" s="3336"/>
      <c r="Z11" s="1150" t="str">
        <f t="shared" si="7"/>
        <v>容积率</v>
      </c>
      <c r="AA11" s="1571">
        <f t="shared" si="3"/>
        <v>1</v>
      </c>
      <c r="AB11" s="1571">
        <f t="shared" si="4"/>
        <v>0.98039215686274506</v>
      </c>
      <c r="AC11" s="1571">
        <f t="shared" si="5"/>
        <v>0.98039215686274506</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0"/>
      <c r="Q12" s="1151">
        <f t="shared" si="6"/>
        <v>111</v>
      </c>
      <c r="R12" s="1568" t="s">
        <v>11</v>
      </c>
      <c r="S12" s="1569">
        <f t="shared" si="0"/>
        <v>100</v>
      </c>
      <c r="T12" s="1568" t="s">
        <v>11</v>
      </c>
      <c r="U12" s="1569">
        <f t="shared" si="1"/>
        <v>100</v>
      </c>
      <c r="V12" s="1568" t="s">
        <v>11</v>
      </c>
      <c r="W12" s="1569">
        <f t="shared" si="2"/>
        <v>100</v>
      </c>
      <c r="X12" s="1570"/>
      <c r="Y12" s="3336"/>
      <c r="Z12" s="1150">
        <f t="shared" si="7"/>
        <v>111</v>
      </c>
      <c r="AA12" s="1571">
        <f>D12/F12</f>
        <v>1</v>
      </c>
      <c r="AB12" s="1571">
        <f>D12/H12</f>
        <v>1</v>
      </c>
      <c r="AC12" s="1571">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0"/>
      <c r="Q13" s="1151">
        <f t="shared" si="6"/>
        <v>111</v>
      </c>
      <c r="R13" s="1568" t="s">
        <v>11</v>
      </c>
      <c r="S13" s="1569">
        <f t="shared" si="0"/>
        <v>100</v>
      </c>
      <c r="T13" s="1568" t="s">
        <v>11</v>
      </c>
      <c r="U13" s="1569">
        <f t="shared" si="1"/>
        <v>100</v>
      </c>
      <c r="V13" s="1568" t="s">
        <v>11</v>
      </c>
      <c r="W13" s="1569">
        <f t="shared" si="2"/>
        <v>100</v>
      </c>
      <c r="X13" s="1570"/>
      <c r="Y13" s="3336"/>
      <c r="Z13" s="1150">
        <f t="shared" si="7"/>
        <v>111</v>
      </c>
      <c r="AA13" s="1571">
        <f t="shared" si="3"/>
        <v>1</v>
      </c>
      <c r="AB13" s="1571">
        <f t="shared" si="4"/>
        <v>1</v>
      </c>
      <c r="AC13" s="1571">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0"/>
      <c r="Q14" s="1151">
        <f t="shared" si="6"/>
        <v>111</v>
      </c>
      <c r="R14" s="1568" t="s">
        <v>11</v>
      </c>
      <c r="S14" s="1569">
        <f t="shared" si="0"/>
        <v>100</v>
      </c>
      <c r="T14" s="1568" t="s">
        <v>11</v>
      </c>
      <c r="U14" s="1569">
        <f t="shared" si="1"/>
        <v>100</v>
      </c>
      <c r="V14" s="1568" t="s">
        <v>11</v>
      </c>
      <c r="W14" s="1569">
        <f t="shared" si="2"/>
        <v>100</v>
      </c>
      <c r="X14" s="1570"/>
      <c r="Y14" s="3336"/>
      <c r="Z14" s="1150">
        <f t="shared" si="7"/>
        <v>111</v>
      </c>
      <c r="AA14" s="1571">
        <f t="shared" si="3"/>
        <v>1</v>
      </c>
      <c r="AB14" s="1571">
        <f t="shared" si="4"/>
        <v>1</v>
      </c>
      <c r="AC14" s="1571">
        <f t="shared" si="5"/>
        <v>1</v>
      </c>
    </row>
    <row r="15" spans="1:29" ht="15">
      <c r="A15" s="2909" t="s">
        <v>2748</v>
      </c>
      <c r="B15" s="166" t="s">
        <v>293</v>
      </c>
      <c r="C15" s="867" t="str">
        <f>估价对象房地状况!C3</f>
        <v>较好</v>
      </c>
      <c r="D15" s="549">
        <v>100</v>
      </c>
      <c r="E15" s="3212" t="s">
        <v>3474</v>
      </c>
      <c r="F15" s="551">
        <f>SUMIF(76:76,E16,77:77)-SUMIF(76:76,C16,77:77)+100</f>
        <v>100</v>
      </c>
      <c r="G15" s="3212" t="s">
        <v>3474</v>
      </c>
      <c r="H15" s="549">
        <f>SUMIF(76:76,G16,77:77)-SUMIF(76:76,C16,77:77)+100</f>
        <v>100</v>
      </c>
      <c r="I15" s="3212" t="s">
        <v>3474</v>
      </c>
      <c r="J15" s="549">
        <f>SUMIF(76:76,I16,77:77)-SUMIF(76:76,C16,77:77)+100</f>
        <v>100</v>
      </c>
      <c r="K15" s="868">
        <v>2</v>
      </c>
      <c r="L15" s="2142"/>
      <c r="M15" s="2134"/>
      <c r="N15" s="2134"/>
      <c r="O15" s="2141"/>
      <c r="P15" s="3425" t="s">
        <v>538</v>
      </c>
      <c r="Q15" s="1572" t="str">
        <f t="shared" si="6"/>
        <v>居住社区成熟度</v>
      </c>
      <c r="R15" s="1573" t="s">
        <v>11</v>
      </c>
      <c r="S15" s="1574">
        <f t="shared" si="0"/>
        <v>100</v>
      </c>
      <c r="T15" s="1573" t="s">
        <v>11</v>
      </c>
      <c r="U15" s="1574">
        <f t="shared" si="1"/>
        <v>100</v>
      </c>
      <c r="V15" s="1573" t="s">
        <v>11</v>
      </c>
      <c r="W15" s="1574">
        <f t="shared" si="2"/>
        <v>100</v>
      </c>
      <c r="X15" s="1567"/>
      <c r="Y15" s="3425" t="s">
        <v>538</v>
      </c>
      <c r="Z15" s="1575" t="str">
        <f t="shared" si="7"/>
        <v>居住社区成熟度</v>
      </c>
      <c r="AA15" s="1576">
        <f t="shared" si="3"/>
        <v>1</v>
      </c>
      <c r="AB15" s="1576">
        <f t="shared" si="4"/>
        <v>1</v>
      </c>
      <c r="AC15" s="1576">
        <f t="shared" si="5"/>
        <v>1</v>
      </c>
    </row>
    <row r="16" spans="1:29" ht="15.75" thickBot="1">
      <c r="A16" s="532"/>
      <c r="B16" s="869"/>
      <c r="C16" s="576" t="s">
        <v>2997</v>
      </c>
      <c r="D16" s="555"/>
      <c r="E16" s="576" t="s">
        <v>2997</v>
      </c>
      <c r="F16" s="557"/>
      <c r="G16" s="576" t="s">
        <v>2997</v>
      </c>
      <c r="H16" s="559"/>
      <c r="I16" s="576" t="s">
        <v>2997</v>
      </c>
      <c r="J16" s="555"/>
      <c r="K16" s="870"/>
      <c r="L16" s="2142"/>
      <c r="M16" s="2134"/>
      <c r="N16" s="2134"/>
      <c r="O16" s="2141"/>
      <c r="P16" s="3426"/>
      <c r="Q16" s="1572"/>
      <c r="R16" s="1573"/>
      <c r="S16" s="1574"/>
      <c r="T16" s="1573"/>
      <c r="U16" s="1574"/>
      <c r="V16" s="1573"/>
      <c r="W16" s="1574"/>
      <c r="X16" s="1567"/>
      <c r="Y16" s="3426"/>
      <c r="Z16" s="1575"/>
      <c r="AA16" s="1576">
        <v>1</v>
      </c>
      <c r="AB16" s="1576">
        <v>1</v>
      </c>
      <c r="AC16" s="1576">
        <v>1</v>
      </c>
    </row>
    <row r="17" spans="1:29" ht="15">
      <c r="A17" s="532"/>
      <c r="B17" s="871" t="s">
        <v>294</v>
      </c>
      <c r="C17" s="872" t="str">
        <f>估价对象房地状况!C6</f>
        <v>较好</v>
      </c>
      <c r="D17" s="559">
        <v>100</v>
      </c>
      <c r="E17" s="3212" t="s">
        <v>3474</v>
      </c>
      <c r="F17" s="563">
        <f>SUMIF(78:78,E18,79:79)-SUMIF(78:78,C18,79:79)+100</f>
        <v>100</v>
      </c>
      <c r="G17" s="3212" t="s">
        <v>3474</v>
      </c>
      <c r="H17" s="565">
        <f>SUMIF(78:78,G18,79:79)-SUMIF(78:78,C18,79:79)+100</f>
        <v>100</v>
      </c>
      <c r="I17" s="3212" t="s">
        <v>3474</v>
      </c>
      <c r="J17" s="565">
        <f>SUMIF(78:78,I18,79:79)-SUMIF(78:78,C18,79:79)+100</f>
        <v>100</v>
      </c>
      <c r="K17" s="868">
        <v>2</v>
      </c>
      <c r="L17" s="2142"/>
      <c r="M17" s="2134"/>
      <c r="N17" s="2134"/>
      <c r="O17" s="2141"/>
      <c r="P17" s="3426"/>
      <c r="Q17" s="1572" t="str">
        <f>B17</f>
        <v>交通便捷度</v>
      </c>
      <c r="R17" s="1573" t="s">
        <v>11</v>
      </c>
      <c r="S17" s="1574">
        <f>F17</f>
        <v>100</v>
      </c>
      <c r="T17" s="1573" t="s">
        <v>11</v>
      </c>
      <c r="U17" s="1574">
        <f>H17</f>
        <v>100</v>
      </c>
      <c r="V17" s="1573" t="s">
        <v>11</v>
      </c>
      <c r="W17" s="1574">
        <f>J17</f>
        <v>100</v>
      </c>
      <c r="X17" s="1567"/>
      <c r="Y17" s="3426"/>
      <c r="Z17" s="1575" t="str">
        <f>Q17</f>
        <v>交通便捷度</v>
      </c>
      <c r="AA17" s="1576">
        <f t="shared" si="3"/>
        <v>1</v>
      </c>
      <c r="AB17" s="1576">
        <f t="shared" si="4"/>
        <v>1</v>
      </c>
      <c r="AC17" s="1576">
        <f t="shared" si="5"/>
        <v>1</v>
      </c>
    </row>
    <row r="18" spans="1:29" ht="15">
      <c r="A18" s="532"/>
      <c r="B18" s="595"/>
      <c r="C18" s="873" t="s">
        <v>2997</v>
      </c>
      <c r="D18" s="559"/>
      <c r="E18" s="873" t="s">
        <v>2997</v>
      </c>
      <c r="F18" s="563"/>
      <c r="G18" s="873" t="s">
        <v>2997</v>
      </c>
      <c r="H18" s="555"/>
      <c r="I18" s="873" t="s">
        <v>2997</v>
      </c>
      <c r="J18" s="555"/>
      <c r="K18" s="870"/>
      <c r="L18" s="2142"/>
      <c r="M18" s="2134"/>
      <c r="N18" s="2134"/>
      <c r="O18" s="2141"/>
      <c r="P18" s="3426"/>
      <c r="Q18" s="1572"/>
      <c r="R18" s="1573"/>
      <c r="S18" s="1574"/>
      <c r="T18" s="1573"/>
      <c r="U18" s="1574"/>
      <c r="V18" s="1573"/>
      <c r="W18" s="1574"/>
      <c r="X18" s="1567"/>
      <c r="Y18" s="3426"/>
      <c r="Z18" s="1575"/>
      <c r="AA18" s="1576">
        <v>1</v>
      </c>
      <c r="AB18" s="1576">
        <v>1</v>
      </c>
      <c r="AC18" s="1576">
        <v>1</v>
      </c>
    </row>
    <row r="19" spans="1:29" ht="15">
      <c r="A19" s="532"/>
      <c r="B19" s="2600" t="s">
        <v>2540</v>
      </c>
      <c r="C19" s="872" t="str">
        <f>估价对象房地状况!C7</f>
        <v>一般</v>
      </c>
      <c r="D19" s="565">
        <v>100</v>
      </c>
      <c r="E19" s="3215" t="s">
        <v>3475</v>
      </c>
      <c r="F19" s="571">
        <f>SUMIF(80:80,E20,81:81)-SUMIF(80:80,C20,81:81)+100</f>
        <v>100</v>
      </c>
      <c r="G19" s="3215" t="s">
        <v>3475</v>
      </c>
      <c r="H19" s="559">
        <f>SUMIF(80:80,G20,81:81)-SUMIF(80:80,C20,81:81)+100</f>
        <v>100</v>
      </c>
      <c r="I19" s="3215" t="s">
        <v>3475</v>
      </c>
      <c r="J19" s="559">
        <f>SUMIF(80:80,I20,81:81)-SUMIF(80:80,C20,81:81)+100</f>
        <v>100</v>
      </c>
      <c r="K19" s="868">
        <v>2</v>
      </c>
      <c r="L19" s="2142"/>
      <c r="M19" s="2134"/>
      <c r="N19" s="2134"/>
      <c r="O19" s="2141"/>
      <c r="P19" s="3426"/>
      <c r="Q19" s="1572" t="str">
        <f>B19</f>
        <v>公共配套设施</v>
      </c>
      <c r="R19" s="1573" t="s">
        <v>11</v>
      </c>
      <c r="S19" s="1574">
        <f>F19</f>
        <v>100</v>
      </c>
      <c r="T19" s="1573" t="s">
        <v>11</v>
      </c>
      <c r="U19" s="1574">
        <f>H19</f>
        <v>100</v>
      </c>
      <c r="V19" s="1573" t="s">
        <v>11</v>
      </c>
      <c r="W19" s="1574">
        <f>J19</f>
        <v>100</v>
      </c>
      <c r="X19" s="1567"/>
      <c r="Y19" s="3426"/>
      <c r="Z19" s="1575" t="str">
        <f>Q19</f>
        <v>公共配套设施</v>
      </c>
      <c r="AA19" s="1576">
        <f t="shared" si="3"/>
        <v>1</v>
      </c>
      <c r="AB19" s="1576">
        <f t="shared" si="4"/>
        <v>1</v>
      </c>
      <c r="AC19" s="1576">
        <f t="shared" si="5"/>
        <v>1</v>
      </c>
    </row>
    <row r="20" spans="1:29" ht="15">
      <c r="A20" s="532"/>
      <c r="B20" s="595"/>
      <c r="C20" s="576" t="s">
        <v>2999</v>
      </c>
      <c r="D20" s="555"/>
      <c r="E20" s="576" t="s">
        <v>2999</v>
      </c>
      <c r="F20" s="557"/>
      <c r="G20" s="576" t="s">
        <v>2999</v>
      </c>
      <c r="H20" s="555"/>
      <c r="I20" s="576" t="s">
        <v>2999</v>
      </c>
      <c r="J20" s="555"/>
      <c r="K20" s="870"/>
      <c r="L20" s="2142"/>
      <c r="M20" s="2134"/>
      <c r="N20" s="2134"/>
      <c r="O20" s="2141"/>
      <c r="P20" s="3426"/>
      <c r="Q20" s="1572"/>
      <c r="R20" s="1573"/>
      <c r="S20" s="1574"/>
      <c r="T20" s="1573"/>
      <c r="U20" s="1574"/>
      <c r="V20" s="1573"/>
      <c r="W20" s="1574"/>
      <c r="X20" s="1567"/>
      <c r="Y20" s="3426"/>
      <c r="Z20" s="1575"/>
      <c r="AA20" s="1576">
        <v>1</v>
      </c>
      <c r="AB20" s="1576">
        <v>1</v>
      </c>
      <c r="AC20" s="1576">
        <v>1</v>
      </c>
    </row>
    <row r="21" spans="1:29" ht="15">
      <c r="A21" s="532"/>
      <c r="B21" s="2593" t="s">
        <v>2552</v>
      </c>
      <c r="C21" s="872" t="str">
        <f>估价对象房地状况!C8</f>
        <v>七通</v>
      </c>
      <c r="D21" s="565">
        <v>100</v>
      </c>
      <c r="E21" s="3216" t="s">
        <v>3476</v>
      </c>
      <c r="F21" s="571">
        <f>SUMIF(82:82,E22,83:83)-SUMIF(82:82,C22,83:83)+100</f>
        <v>100</v>
      </c>
      <c r="G21" s="3216" t="s">
        <v>3476</v>
      </c>
      <c r="H21" s="565">
        <f>SUMIF(82:82,G22,83:83)-SUMIF(82:82,C22,83:83)+100</f>
        <v>100</v>
      </c>
      <c r="I21" s="3216" t="s">
        <v>3476</v>
      </c>
      <c r="J21" s="565">
        <f>SUMIF(82:82,I22,83:83)-SUMIF(82:82,C22,83:83)+100</f>
        <v>100</v>
      </c>
      <c r="K21" s="868">
        <v>1</v>
      </c>
      <c r="L21" s="2142"/>
      <c r="M21" s="2134"/>
      <c r="N21" s="2134"/>
      <c r="O21" s="2141"/>
      <c r="P21" s="3426"/>
      <c r="Q21" s="2579" t="str">
        <f>B21</f>
        <v>基础设施水平</v>
      </c>
      <c r="R21" s="1573" t="s">
        <v>11</v>
      </c>
      <c r="S21" s="1574">
        <f>F21</f>
        <v>100</v>
      </c>
      <c r="T21" s="1573" t="s">
        <v>11</v>
      </c>
      <c r="U21" s="1574">
        <f>H21</f>
        <v>100</v>
      </c>
      <c r="V21" s="1573" t="s">
        <v>11</v>
      </c>
      <c r="W21" s="1574">
        <f>J21</f>
        <v>100</v>
      </c>
      <c r="X21" s="2581"/>
      <c r="Y21" s="3426"/>
      <c r="Z21" s="2580" t="str">
        <f>Q21</f>
        <v>基础设施水平</v>
      </c>
      <c r="AA21" s="1576">
        <f t="shared" ref="AA21" si="8">D21/F21</f>
        <v>1</v>
      </c>
      <c r="AB21" s="1576">
        <f t="shared" ref="AB21" si="9">D21/H21</f>
        <v>1</v>
      </c>
      <c r="AC21" s="1576">
        <f t="shared" ref="AC21" si="10">D21/J21</f>
        <v>1</v>
      </c>
    </row>
    <row r="22" spans="1:29" ht="15.75" thickBot="1">
      <c r="A22" s="532"/>
      <c r="B22" s="922"/>
      <c r="C22" s="873" t="s">
        <v>3002</v>
      </c>
      <c r="D22" s="555"/>
      <c r="E22" s="873" t="s">
        <v>3002</v>
      </c>
      <c r="F22" s="557"/>
      <c r="G22" s="873" t="s">
        <v>3002</v>
      </c>
      <c r="H22" s="555"/>
      <c r="I22" s="873" t="s">
        <v>3002</v>
      </c>
      <c r="J22" s="555"/>
      <c r="K22" s="2599"/>
      <c r="L22" s="2142"/>
      <c r="M22" s="2134"/>
      <c r="N22" s="2134"/>
      <c r="O22" s="2141"/>
      <c r="P22" s="3426"/>
      <c r="Q22" s="2579"/>
      <c r="R22" s="1573"/>
      <c r="S22" s="1574"/>
      <c r="T22" s="1573"/>
      <c r="U22" s="1574"/>
      <c r="V22" s="1573"/>
      <c r="W22" s="1574"/>
      <c r="X22" s="2581"/>
      <c r="Y22" s="3426"/>
      <c r="Z22" s="2580"/>
      <c r="AA22" s="1576">
        <v>1</v>
      </c>
      <c r="AB22" s="1576">
        <v>1</v>
      </c>
      <c r="AC22" s="1576">
        <v>1</v>
      </c>
    </row>
    <row r="23" spans="1:29" ht="15">
      <c r="A23" s="532"/>
      <c r="B23" s="871" t="s">
        <v>295</v>
      </c>
      <c r="C23" s="872" t="str">
        <f>估价对象房地状况!C9</f>
        <v>较好</v>
      </c>
      <c r="D23" s="559">
        <v>100</v>
      </c>
      <c r="E23" s="3212" t="s">
        <v>3474</v>
      </c>
      <c r="F23" s="563">
        <f>SUMIF(84:84,E24,85:85)-SUMIF(84:84,C24,85:85)+100</f>
        <v>100</v>
      </c>
      <c r="G23" s="3212" t="s">
        <v>3474</v>
      </c>
      <c r="H23" s="559">
        <f>SUMIF(84:84,G24,85:85)-SUMIF(84:84,C24,85:85)+100</f>
        <v>100</v>
      </c>
      <c r="I23" s="3212" t="s">
        <v>3474</v>
      </c>
      <c r="J23" s="559">
        <f>SUMIF(84:84,I24,85:85)-SUMIF(84:84,C24,85:85)+100</f>
        <v>100</v>
      </c>
      <c r="K23" s="868">
        <v>2</v>
      </c>
      <c r="L23" s="2142"/>
      <c r="M23" s="2134"/>
      <c r="N23" s="2134"/>
      <c r="O23" s="2141"/>
      <c r="P23" s="3426"/>
      <c r="Q23" s="1572" t="str">
        <f>B23</f>
        <v>自然及人文环境</v>
      </c>
      <c r="R23" s="1573" t="s">
        <v>11</v>
      </c>
      <c r="S23" s="1574">
        <f>F23</f>
        <v>100</v>
      </c>
      <c r="T23" s="1573" t="s">
        <v>11</v>
      </c>
      <c r="U23" s="1574">
        <f>H23</f>
        <v>100</v>
      </c>
      <c r="V23" s="1573" t="s">
        <v>11</v>
      </c>
      <c r="W23" s="1574">
        <f>J23</f>
        <v>100</v>
      </c>
      <c r="X23" s="1567"/>
      <c r="Y23" s="3426"/>
      <c r="Z23" s="1575" t="str">
        <f>Q23</f>
        <v>自然及人文环境</v>
      </c>
      <c r="AA23" s="1576">
        <f t="shared" si="3"/>
        <v>1</v>
      </c>
      <c r="AB23" s="1576">
        <f t="shared" si="4"/>
        <v>1</v>
      </c>
      <c r="AC23" s="1576">
        <f t="shared" si="5"/>
        <v>1</v>
      </c>
    </row>
    <row r="24" spans="1:29" ht="15.75" thickBot="1">
      <c r="A24" s="532"/>
      <c r="B24" s="595"/>
      <c r="C24" s="576" t="s">
        <v>2997</v>
      </c>
      <c r="D24" s="555"/>
      <c r="E24" s="576" t="s">
        <v>2997</v>
      </c>
      <c r="F24" s="557"/>
      <c r="G24" s="576" t="s">
        <v>2997</v>
      </c>
      <c r="H24" s="555"/>
      <c r="I24" s="576" t="s">
        <v>2997</v>
      </c>
      <c r="J24" s="555"/>
      <c r="K24" s="870"/>
      <c r="L24" s="2142"/>
      <c r="M24" s="2134"/>
      <c r="N24" s="2134"/>
      <c r="O24" s="2141"/>
      <c r="P24" s="3426"/>
      <c r="Q24" s="1572"/>
      <c r="R24" s="1573"/>
      <c r="S24" s="1574"/>
      <c r="T24" s="1573"/>
      <c r="U24" s="1574"/>
      <c r="V24" s="1573"/>
      <c r="W24" s="1574"/>
      <c r="X24" s="1567"/>
      <c r="Y24" s="3426"/>
      <c r="Z24" s="1575"/>
      <c r="AA24" s="1576">
        <v>1</v>
      </c>
      <c r="AB24" s="1576">
        <v>1</v>
      </c>
      <c r="AC24" s="1576">
        <v>1</v>
      </c>
    </row>
    <row r="25" spans="1:29" ht="15" hidden="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6"/>
      <c r="Q25" s="1572" t="str">
        <f t="shared" ref="Q25:Q46" si="11">B25</f>
        <v>楼层-1</v>
      </c>
      <c r="R25" s="1573" t="s">
        <v>11</v>
      </c>
      <c r="S25" s="1574">
        <f>F25</f>
        <v>100</v>
      </c>
      <c r="T25" s="1573" t="s">
        <v>11</v>
      </c>
      <c r="U25" s="1574">
        <f>H25</f>
        <v>100</v>
      </c>
      <c r="V25" s="1573" t="s">
        <v>11</v>
      </c>
      <c r="W25" s="1574">
        <f>J25</f>
        <v>100</v>
      </c>
      <c r="X25" s="1567"/>
      <c r="Y25" s="3426"/>
      <c r="Z25" s="1575" t="str">
        <f>Q25</f>
        <v>楼层-1</v>
      </c>
      <c r="AA25" s="1576">
        <f t="shared" si="3"/>
        <v>1</v>
      </c>
      <c r="AB25" s="1576">
        <f t="shared" si="4"/>
        <v>1</v>
      </c>
      <c r="AC25" s="1576">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6"/>
      <c r="Q26" s="1572" t="str">
        <f t="shared" si="11"/>
        <v>朝向</v>
      </c>
      <c r="R26" s="1573" t="s">
        <v>11</v>
      </c>
      <c r="S26" s="1574">
        <f>F26</f>
        <v>100</v>
      </c>
      <c r="T26" s="1573" t="s">
        <v>11</v>
      </c>
      <c r="U26" s="1574">
        <f>H26</f>
        <v>100</v>
      </c>
      <c r="V26" s="1573" t="s">
        <v>11</v>
      </c>
      <c r="W26" s="1574">
        <f>J26</f>
        <v>100</v>
      </c>
      <c r="X26" s="1567"/>
      <c r="Y26" s="3426"/>
      <c r="Z26" s="1575" t="str">
        <f>Q26</f>
        <v>朝向</v>
      </c>
      <c r="AA26" s="1576">
        <f t="shared" si="3"/>
        <v>1</v>
      </c>
      <c r="AB26" s="1576">
        <f t="shared" si="4"/>
        <v>1</v>
      </c>
      <c r="AC26" s="1576">
        <f t="shared" si="5"/>
        <v>1</v>
      </c>
    </row>
    <row r="27" spans="1:29" s="1220" customFormat="1" ht="15" hidden="1">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6"/>
      <c r="Q27" s="1151" t="str">
        <f t="shared" si="11"/>
        <v>道路级别</v>
      </c>
      <c r="R27" s="1568" t="s">
        <v>11</v>
      </c>
      <c r="S27" s="1569">
        <f>F27</f>
        <v>100</v>
      </c>
      <c r="T27" s="1568" t="s">
        <v>11</v>
      </c>
      <c r="U27" s="1569">
        <f>H27</f>
        <v>100</v>
      </c>
      <c r="V27" s="1568" t="s">
        <v>11</v>
      </c>
      <c r="W27" s="1569">
        <f>J27</f>
        <v>100</v>
      </c>
      <c r="X27" s="1570"/>
      <c r="Y27" s="3426"/>
      <c r="Z27" s="1150"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6"/>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6"/>
      <c r="Q29" s="1572">
        <f t="shared" si="11"/>
        <v>111</v>
      </c>
      <c r="R29" s="1573" t="s">
        <v>11</v>
      </c>
      <c r="S29" s="1574">
        <f t="shared" si="12"/>
        <v>100</v>
      </c>
      <c r="T29" s="1573" t="s">
        <v>11</v>
      </c>
      <c r="U29" s="1574">
        <f t="shared" si="13"/>
        <v>100</v>
      </c>
      <c r="V29" s="1573" t="s">
        <v>11</v>
      </c>
      <c r="W29" s="1574">
        <f t="shared" si="14"/>
        <v>100</v>
      </c>
      <c r="X29" s="1567"/>
      <c r="Y29" s="342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6"/>
      <c r="Q30" s="1572">
        <f t="shared" si="11"/>
        <v>111</v>
      </c>
      <c r="R30" s="1573" t="s">
        <v>11</v>
      </c>
      <c r="S30" s="1574">
        <f t="shared" si="12"/>
        <v>100</v>
      </c>
      <c r="T30" s="1573" t="s">
        <v>11</v>
      </c>
      <c r="U30" s="1574">
        <f t="shared" si="13"/>
        <v>100</v>
      </c>
      <c r="V30" s="1573" t="s">
        <v>11</v>
      </c>
      <c r="W30" s="1574">
        <f t="shared" si="14"/>
        <v>100</v>
      </c>
      <c r="X30" s="1567"/>
      <c r="Y30" s="3426"/>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6"/>
      <c r="Q31" s="1572">
        <f t="shared" si="11"/>
        <v>111</v>
      </c>
      <c r="R31" s="1573" t="s">
        <v>11</v>
      </c>
      <c r="S31" s="1574">
        <f t="shared" si="12"/>
        <v>100</v>
      </c>
      <c r="T31" s="1573" t="s">
        <v>11</v>
      </c>
      <c r="U31" s="1574">
        <f t="shared" si="13"/>
        <v>100</v>
      </c>
      <c r="V31" s="1573" t="s">
        <v>11</v>
      </c>
      <c r="W31" s="1574">
        <f t="shared" si="14"/>
        <v>100</v>
      </c>
      <c r="X31" s="1567"/>
      <c r="Y31" s="3426"/>
      <c r="Z31" s="1575">
        <f t="shared" si="15"/>
        <v>111</v>
      </c>
      <c r="AA31" s="1576">
        <f t="shared" si="3"/>
        <v>1</v>
      </c>
      <c r="AB31" s="1576">
        <f t="shared" si="4"/>
        <v>1</v>
      </c>
      <c r="AC31" s="1576">
        <f t="shared" si="5"/>
        <v>1</v>
      </c>
    </row>
    <row r="32" spans="1:29" ht="15">
      <c r="A32" s="2907" t="s">
        <v>2749</v>
      </c>
      <c r="B32" s="172" t="s">
        <v>723</v>
      </c>
      <c r="C32" s="878" t="s">
        <v>3131</v>
      </c>
      <c r="D32" s="597">
        <v>100</v>
      </c>
      <c r="E32" s="879" t="s">
        <v>3131</v>
      </c>
      <c r="F32" s="575">
        <f>SUMIF(100:100,E32,101:101)-SUMIF(100:100,C32,101:101)+100</f>
        <v>100</v>
      </c>
      <c r="G32" s="878" t="s">
        <v>3131</v>
      </c>
      <c r="H32" s="597">
        <f>SUMIF(100:100,G32,101:101)-SUMIF(100:100,C32,101:101)+100</f>
        <v>100</v>
      </c>
      <c r="I32" s="879" t="s">
        <v>3127</v>
      </c>
      <c r="J32" s="540">
        <f>SUMIF(100:100,I32,101:101)-SUMIF(100:100,C32,101:101)+100</f>
        <v>80</v>
      </c>
      <c r="K32" s="864">
        <v>10</v>
      </c>
      <c r="L32" s="2142"/>
      <c r="M32" s="2134"/>
      <c r="N32" s="2134"/>
      <c r="O32" s="2141"/>
      <c r="P32" s="3427" t="s">
        <v>548</v>
      </c>
      <c r="Q32" s="1572" t="str">
        <f t="shared" si="11"/>
        <v>建筑类型</v>
      </c>
      <c r="R32" s="1573" t="s">
        <v>11</v>
      </c>
      <c r="S32" s="1574">
        <f t="shared" si="12"/>
        <v>100</v>
      </c>
      <c r="T32" s="1573" t="s">
        <v>11</v>
      </c>
      <c r="U32" s="1574">
        <f t="shared" si="13"/>
        <v>100</v>
      </c>
      <c r="V32" s="1573" t="s">
        <v>11</v>
      </c>
      <c r="W32" s="1574">
        <f t="shared" si="14"/>
        <v>80</v>
      </c>
      <c r="X32" s="1567"/>
      <c r="Y32" s="3428" t="s">
        <v>548</v>
      </c>
      <c r="Z32" s="1575" t="str">
        <f t="shared" si="15"/>
        <v>建筑类型</v>
      </c>
      <c r="AA32" s="1576">
        <f t="shared" si="3"/>
        <v>1</v>
      </c>
      <c r="AB32" s="1576">
        <f t="shared" si="4"/>
        <v>1</v>
      </c>
      <c r="AC32" s="1576">
        <f t="shared" si="5"/>
        <v>1.25</v>
      </c>
    </row>
    <row r="33" spans="1:29" s="1339" customFormat="1" ht="15">
      <c r="A33" s="603"/>
      <c r="B33" s="527" t="s">
        <v>724</v>
      </c>
      <c r="C33" s="880">
        <v>500000</v>
      </c>
      <c r="D33" s="255">
        <v>100</v>
      </c>
      <c r="E33" s="534">
        <v>500000</v>
      </c>
      <c r="F33" s="863">
        <f>LOOKUP(E33,103:103,104:104)-LOOKUP(C33,103:103,104:104)+100</f>
        <v>100</v>
      </c>
      <c r="G33" s="533">
        <v>110000</v>
      </c>
      <c r="H33" s="255">
        <f>LOOKUP(G33,103:103,104:104)-LOOKUP(C33,103:103,104:104)+100</f>
        <v>96</v>
      </c>
      <c r="I33" s="533">
        <v>110000</v>
      </c>
      <c r="J33" s="255">
        <f>LOOKUP(I33,103:103,104:104)-LOOKUP(C33,103:103,104:104)+100</f>
        <v>96</v>
      </c>
      <c r="K33" s="865"/>
      <c r="L33" s="2140"/>
      <c r="M33" s="2171"/>
      <c r="N33" s="2171"/>
      <c r="O33" s="2143"/>
      <c r="P33" s="3428"/>
      <c r="Q33" s="1605" t="str">
        <f t="shared" si="11"/>
        <v>项目建筑规模</v>
      </c>
      <c r="R33" s="1577" t="s">
        <v>11</v>
      </c>
      <c r="S33" s="1578">
        <f t="shared" si="12"/>
        <v>100</v>
      </c>
      <c r="T33" s="1577" t="s">
        <v>11</v>
      </c>
      <c r="U33" s="1578">
        <f t="shared" si="13"/>
        <v>96</v>
      </c>
      <c r="V33" s="1577" t="s">
        <v>11</v>
      </c>
      <c r="W33" s="1578">
        <f t="shared" si="14"/>
        <v>96</v>
      </c>
      <c r="X33" s="1579"/>
      <c r="Y33" s="3428"/>
      <c r="Z33" s="1580" t="str">
        <f t="shared" si="15"/>
        <v>项目建筑规模</v>
      </c>
      <c r="AA33" s="1576">
        <f t="shared" si="3"/>
        <v>1</v>
      </c>
      <c r="AB33" s="1576">
        <f t="shared" si="4"/>
        <v>1.0416666666666667</v>
      </c>
      <c r="AC33" s="1576">
        <f t="shared" si="5"/>
        <v>1.0416666666666667</v>
      </c>
    </row>
    <row r="34" spans="1:29" ht="15">
      <c r="A34" s="594"/>
      <c r="B34" s="527" t="s">
        <v>725</v>
      </c>
      <c r="C34" s="881" t="s">
        <v>3104</v>
      </c>
      <c r="D34" s="540">
        <v>100</v>
      </c>
      <c r="E34" s="882" t="s">
        <v>3104</v>
      </c>
      <c r="F34" s="575">
        <f>SUMIF(105:105,E34,106:106)-SUMIF(105:105,C34,106:106)+100</f>
        <v>100</v>
      </c>
      <c r="G34" s="882" t="s">
        <v>3104</v>
      </c>
      <c r="H34" s="540">
        <f>SUMIF(105:105,G34,106:106)-SUMIF(105:105,C34,106:106)+100</f>
        <v>100</v>
      </c>
      <c r="I34" s="882" t="s">
        <v>3104</v>
      </c>
      <c r="J34" s="540">
        <f>SUMIF(105:105,I34,106:106)-SUMIF(105:105,C34,106:106)+100</f>
        <v>100</v>
      </c>
      <c r="K34" s="864">
        <v>2</v>
      </c>
      <c r="L34" s="2142"/>
      <c r="M34" s="2134"/>
      <c r="N34" s="2134"/>
      <c r="O34" s="2141"/>
      <c r="P34" s="3428"/>
      <c r="Q34" s="1572" t="str">
        <f t="shared" si="11"/>
        <v>建筑结构</v>
      </c>
      <c r="R34" s="1573" t="s">
        <v>11</v>
      </c>
      <c r="S34" s="1574">
        <f t="shared" si="12"/>
        <v>100</v>
      </c>
      <c r="T34" s="1573" t="s">
        <v>11</v>
      </c>
      <c r="U34" s="1574">
        <f t="shared" si="13"/>
        <v>100</v>
      </c>
      <c r="V34" s="1573" t="s">
        <v>11</v>
      </c>
      <c r="W34" s="1574">
        <f t="shared" si="14"/>
        <v>100</v>
      </c>
      <c r="X34" s="1567"/>
      <c r="Y34" s="3428"/>
      <c r="Z34" s="1575" t="str">
        <f t="shared" si="15"/>
        <v>建筑结构</v>
      </c>
      <c r="AA34" s="1576">
        <f t="shared" si="3"/>
        <v>1</v>
      </c>
      <c r="AB34" s="1576">
        <f t="shared" si="4"/>
        <v>1</v>
      </c>
      <c r="AC34" s="1576">
        <f t="shared" si="5"/>
        <v>1</v>
      </c>
    </row>
    <row r="35" spans="1:29" ht="15">
      <c r="A35" s="594"/>
      <c r="B35" s="527" t="s">
        <v>726</v>
      </c>
      <c r="C35" s="599" t="s">
        <v>3414</v>
      </c>
      <c r="D35" s="540">
        <v>100</v>
      </c>
      <c r="E35" s="874" t="s">
        <v>3414</v>
      </c>
      <c r="F35" s="575">
        <f>SUMIF(107:107,E35,108:108)-SUMIF(107:107,C35,108:108)+100</f>
        <v>100</v>
      </c>
      <c r="G35" s="874" t="s">
        <v>3414</v>
      </c>
      <c r="H35" s="540">
        <f>SUMIF(107:107,G35,108:108)-SUMIF(107:107,C35,108:108)+100</f>
        <v>100</v>
      </c>
      <c r="I35" s="874" t="s">
        <v>3414</v>
      </c>
      <c r="J35" s="540">
        <f>SUMIF(107:107,I35,108:108)-SUMIF(107:107,C35,108:108)+100</f>
        <v>100</v>
      </c>
      <c r="K35" s="864">
        <v>2</v>
      </c>
      <c r="L35" s="2142"/>
      <c r="M35" s="2134"/>
      <c r="N35" s="2134"/>
      <c r="O35" s="2141"/>
      <c r="P35" s="3428"/>
      <c r="Q35" s="1572" t="str">
        <f t="shared" si="11"/>
        <v>建筑品质</v>
      </c>
      <c r="R35" s="1573" t="s">
        <v>11</v>
      </c>
      <c r="S35" s="1574">
        <f t="shared" si="12"/>
        <v>100</v>
      </c>
      <c r="T35" s="1573" t="s">
        <v>11</v>
      </c>
      <c r="U35" s="1574">
        <f t="shared" si="13"/>
        <v>100</v>
      </c>
      <c r="V35" s="1573" t="s">
        <v>11</v>
      </c>
      <c r="W35" s="1574">
        <f t="shared" si="14"/>
        <v>100</v>
      </c>
      <c r="X35" s="1567"/>
      <c r="Y35" s="3428"/>
      <c r="Z35" s="1575" t="str">
        <f t="shared" si="15"/>
        <v>建筑品质</v>
      </c>
      <c r="AA35" s="1576">
        <f t="shared" si="3"/>
        <v>1</v>
      </c>
      <c r="AB35" s="1576">
        <f t="shared" si="4"/>
        <v>1</v>
      </c>
      <c r="AC35" s="1576">
        <f t="shared" si="5"/>
        <v>1</v>
      </c>
    </row>
    <row r="36" spans="1:29" ht="15">
      <c r="A36" s="594"/>
      <c r="B36" s="527" t="s">
        <v>727</v>
      </c>
      <c r="C36" s="599" t="s">
        <v>3417</v>
      </c>
      <c r="D36" s="540">
        <v>100</v>
      </c>
      <c r="E36" s="874" t="s">
        <v>3417</v>
      </c>
      <c r="F36" s="575">
        <f>SUMIF(109:109,E36,110:110)-SUMIF(109:109,C36,110:110)+100</f>
        <v>100</v>
      </c>
      <c r="G36" s="874" t="s">
        <v>3417</v>
      </c>
      <c r="H36" s="540">
        <f>SUMIF(109:109,G36,110:110)-SUMIF(109:109,C36,110:110)+100</f>
        <v>100</v>
      </c>
      <c r="I36" s="874" t="s">
        <v>3417</v>
      </c>
      <c r="J36" s="540">
        <f>SUMIF(109:109,I36,110:110)-SUMIF(109:109,C36,110:110)+100</f>
        <v>100</v>
      </c>
      <c r="K36" s="864">
        <v>2</v>
      </c>
      <c r="L36" s="2142"/>
      <c r="M36" s="2134"/>
      <c r="N36" s="2134"/>
      <c r="O36" s="2141"/>
      <c r="P36" s="3428"/>
      <c r="Q36" s="1572" t="str">
        <f t="shared" si="11"/>
        <v>公共部分装修</v>
      </c>
      <c r="R36" s="1573" t="s">
        <v>11</v>
      </c>
      <c r="S36" s="1574">
        <f t="shared" si="12"/>
        <v>100</v>
      </c>
      <c r="T36" s="1573" t="s">
        <v>11</v>
      </c>
      <c r="U36" s="1574">
        <f t="shared" si="13"/>
        <v>100</v>
      </c>
      <c r="V36" s="1573" t="s">
        <v>11</v>
      </c>
      <c r="W36" s="1574">
        <f t="shared" si="14"/>
        <v>100</v>
      </c>
      <c r="X36" s="1567"/>
      <c r="Y36" s="3428"/>
      <c r="Z36" s="1575" t="str">
        <f t="shared" si="15"/>
        <v>公共部分装修</v>
      </c>
      <c r="AA36" s="1576">
        <f t="shared" si="3"/>
        <v>1</v>
      </c>
      <c r="AB36" s="1576">
        <f t="shared" si="4"/>
        <v>1</v>
      </c>
      <c r="AC36" s="1576">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5"/>
      <c r="M37" s="2136"/>
      <c r="N37" s="2136"/>
      <c r="O37" s="2137"/>
      <c r="P37" s="3428"/>
      <c r="Q37" s="1151" t="str">
        <f t="shared" si="11"/>
        <v>成新度</v>
      </c>
      <c r="R37" s="1568" t="s">
        <v>11</v>
      </c>
      <c r="S37" s="1569">
        <f t="shared" si="12"/>
        <v>100</v>
      </c>
      <c r="T37" s="1568" t="s">
        <v>11</v>
      </c>
      <c r="U37" s="1569">
        <f t="shared" si="13"/>
        <v>100</v>
      </c>
      <c r="V37" s="1568" t="s">
        <v>11</v>
      </c>
      <c r="W37" s="1569">
        <f t="shared" si="14"/>
        <v>100</v>
      </c>
      <c r="X37" s="1570"/>
      <c r="Y37" s="3428"/>
      <c r="Z37" s="1150" t="str">
        <f t="shared" si="15"/>
        <v>成新度</v>
      </c>
      <c r="AA37" s="1571">
        <f t="shared" si="3"/>
        <v>1</v>
      </c>
      <c r="AB37" s="1571">
        <f t="shared" si="4"/>
        <v>1</v>
      </c>
      <c r="AC37" s="1571">
        <f t="shared" si="5"/>
        <v>1</v>
      </c>
    </row>
    <row r="38" spans="1:29" ht="15">
      <c r="A38" s="594"/>
      <c r="B38" s="527" t="s">
        <v>729</v>
      </c>
      <c r="C38" s="599" t="s">
        <v>3423</v>
      </c>
      <c r="D38" s="540">
        <v>100</v>
      </c>
      <c r="E38" s="874" t="s">
        <v>3423</v>
      </c>
      <c r="F38" s="575">
        <f>SUMIF(114:114,E38,115:115)-SUMIF(114:114,C38,115:115)+100</f>
        <v>100</v>
      </c>
      <c r="G38" s="874" t="s">
        <v>3423</v>
      </c>
      <c r="H38" s="540">
        <f>SUMIF(114:114,G38,115:115)-SUMIF(114:114,C38,115:115)+100</f>
        <v>100</v>
      </c>
      <c r="I38" s="874" t="s">
        <v>3423</v>
      </c>
      <c r="J38" s="540">
        <f>SUMIF(114:114,I38,115:115)-SUMIF(114:114,C38,115:115)+100</f>
        <v>100</v>
      </c>
      <c r="K38" s="864">
        <v>2</v>
      </c>
      <c r="L38" s="2142"/>
      <c r="M38" s="2134"/>
      <c r="N38" s="2134"/>
      <c r="O38" s="2141"/>
      <c r="P38" s="3428" t="s">
        <v>548</v>
      </c>
      <c r="Q38" s="1572" t="str">
        <f t="shared" si="11"/>
        <v>物业管理</v>
      </c>
      <c r="R38" s="1573" t="s">
        <v>11</v>
      </c>
      <c r="S38" s="1574">
        <f t="shared" si="12"/>
        <v>100</v>
      </c>
      <c r="T38" s="1573" t="s">
        <v>11</v>
      </c>
      <c r="U38" s="1574">
        <f t="shared" si="13"/>
        <v>100</v>
      </c>
      <c r="V38" s="1573" t="s">
        <v>11</v>
      </c>
      <c r="W38" s="1574">
        <f t="shared" si="14"/>
        <v>100</v>
      </c>
      <c r="X38" s="1567"/>
      <c r="Y38" s="3428" t="s">
        <v>548</v>
      </c>
      <c r="Z38" s="1575" t="str">
        <f t="shared" si="15"/>
        <v>物业管理</v>
      </c>
      <c r="AA38" s="1576">
        <f t="shared" si="3"/>
        <v>1</v>
      </c>
      <c r="AB38" s="1576">
        <f t="shared" si="4"/>
        <v>1</v>
      </c>
      <c r="AC38" s="1576">
        <f t="shared" si="5"/>
        <v>1</v>
      </c>
    </row>
    <row r="39" spans="1:29" ht="15">
      <c r="A39" s="594"/>
      <c r="B39" s="1895" t="s">
        <v>2558</v>
      </c>
      <c r="C39" s="599" t="s">
        <v>3002</v>
      </c>
      <c r="D39" s="540">
        <v>100</v>
      </c>
      <c r="E39" s="874" t="s">
        <v>3002</v>
      </c>
      <c r="F39" s="575">
        <f>SUMIF(116:116,E39,117:117)-SUMIF(116:116,C39,117:117)+100</f>
        <v>100</v>
      </c>
      <c r="G39" s="874" t="s">
        <v>3002</v>
      </c>
      <c r="H39" s="540">
        <f>SUMIF(116:116,G39,117:117)-SUMIF(116:116,C39,117:117)+100</f>
        <v>100</v>
      </c>
      <c r="I39" s="874" t="s">
        <v>3002</v>
      </c>
      <c r="J39" s="540">
        <f>SUMIF(116:116,I39,117:117)-SUMIF(116:116,C39,117:117)+100</f>
        <v>100</v>
      </c>
      <c r="K39" s="864">
        <v>1</v>
      </c>
      <c r="L39" s="2142"/>
      <c r="M39" s="2134"/>
      <c r="N39" s="2134"/>
      <c r="O39" s="2141"/>
      <c r="P39" s="3428"/>
      <c r="Q39" s="1572" t="str">
        <f t="shared" si="11"/>
        <v>市政基础设施</v>
      </c>
      <c r="R39" s="1573" t="s">
        <v>11</v>
      </c>
      <c r="S39" s="1574">
        <f t="shared" si="12"/>
        <v>100</v>
      </c>
      <c r="T39" s="1573" t="s">
        <v>11</v>
      </c>
      <c r="U39" s="1574">
        <f t="shared" si="13"/>
        <v>100</v>
      </c>
      <c r="V39" s="1573" t="s">
        <v>11</v>
      </c>
      <c r="W39" s="1574">
        <f t="shared" si="14"/>
        <v>100</v>
      </c>
      <c r="X39" s="1567"/>
      <c r="Y39" s="3428"/>
      <c r="Z39" s="1575" t="str">
        <f t="shared" si="15"/>
        <v>市政基础设施</v>
      </c>
      <c r="AA39" s="1576">
        <f t="shared" si="3"/>
        <v>1</v>
      </c>
      <c r="AB39" s="1576">
        <f t="shared" si="4"/>
        <v>1</v>
      </c>
      <c r="AC39" s="1576">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8"/>
      <c r="Q40" s="1572" t="str">
        <f t="shared" si="11"/>
        <v>房型</v>
      </c>
      <c r="R40" s="1573" t="s">
        <v>11</v>
      </c>
      <c r="S40" s="1574">
        <f t="shared" si="12"/>
        <v>100</v>
      </c>
      <c r="T40" s="1573" t="s">
        <v>11</v>
      </c>
      <c r="U40" s="1574">
        <f t="shared" si="13"/>
        <v>100</v>
      </c>
      <c r="V40" s="1573" t="s">
        <v>11</v>
      </c>
      <c r="W40" s="1574">
        <f t="shared" si="14"/>
        <v>100</v>
      </c>
      <c r="X40" s="1567"/>
      <c r="Y40" s="3428"/>
      <c r="Z40" s="1575" t="str">
        <f t="shared" si="15"/>
        <v>房型</v>
      </c>
      <c r="AA40" s="1576">
        <f t="shared" si="3"/>
        <v>1</v>
      </c>
      <c r="AB40" s="1576">
        <f t="shared" si="4"/>
        <v>1</v>
      </c>
      <c r="AC40" s="1576">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28"/>
      <c r="Q41" s="1605" t="str">
        <f t="shared" si="11"/>
        <v>单套/主力户型建筑面积</v>
      </c>
      <c r="R41" s="1577" t="s">
        <v>11</v>
      </c>
      <c r="S41" s="1578">
        <f t="shared" si="12"/>
        <v>100</v>
      </c>
      <c r="T41" s="1577" t="s">
        <v>11</v>
      </c>
      <c r="U41" s="1578">
        <f t="shared" si="13"/>
        <v>100</v>
      </c>
      <c r="V41" s="1577" t="s">
        <v>11</v>
      </c>
      <c r="W41" s="1578">
        <f t="shared" si="14"/>
        <v>100</v>
      </c>
      <c r="X41" s="1579"/>
      <c r="Y41" s="3428"/>
      <c r="Z41" s="1580" t="str">
        <f t="shared" si="15"/>
        <v>单套/主力户型建筑面积</v>
      </c>
      <c r="AA41" s="1576">
        <f t="shared" si="3"/>
        <v>1</v>
      </c>
      <c r="AB41" s="1576">
        <f t="shared" si="4"/>
        <v>1</v>
      </c>
      <c r="AC41" s="1576">
        <f t="shared" si="5"/>
        <v>1</v>
      </c>
    </row>
    <row r="42" spans="1:29" ht="15">
      <c r="A42" s="594"/>
      <c r="B42" s="527" t="s">
        <v>732</v>
      </c>
      <c r="C42" s="599" t="s">
        <v>3421</v>
      </c>
      <c r="D42" s="540">
        <v>100</v>
      </c>
      <c r="E42" s="874" t="s">
        <v>3421</v>
      </c>
      <c r="F42" s="575">
        <f>SUMIF(122:122,E42,123:123)-SUMIF(122:122,C42,123:123)+100</f>
        <v>100</v>
      </c>
      <c r="G42" s="874" t="s">
        <v>3421</v>
      </c>
      <c r="H42" s="540">
        <f>SUMIF(122:122,G42,123:123)-SUMIF(122:122,C42,123:123)+100</f>
        <v>100</v>
      </c>
      <c r="I42" s="874" t="s">
        <v>3421</v>
      </c>
      <c r="J42" s="540">
        <f>SUMIF(122:122,I42,123:123)-SUMIF(122:122,C42,123:123)+100</f>
        <v>100</v>
      </c>
      <c r="K42" s="864">
        <v>2</v>
      </c>
      <c r="L42" s="2142"/>
      <c r="M42" s="2134"/>
      <c r="N42" s="2134"/>
      <c r="O42" s="2141"/>
      <c r="P42" s="3428"/>
      <c r="Q42" s="1572" t="str">
        <f t="shared" si="11"/>
        <v>内部装修</v>
      </c>
      <c r="R42" s="1573" t="s">
        <v>11</v>
      </c>
      <c r="S42" s="1574">
        <f t="shared" si="12"/>
        <v>100</v>
      </c>
      <c r="T42" s="1573" t="s">
        <v>11</v>
      </c>
      <c r="U42" s="1574">
        <f t="shared" si="13"/>
        <v>100</v>
      </c>
      <c r="V42" s="1573" t="s">
        <v>11</v>
      </c>
      <c r="W42" s="1574">
        <f t="shared" si="14"/>
        <v>100</v>
      </c>
      <c r="X42" s="1567"/>
      <c r="Y42" s="3428"/>
      <c r="Z42" s="1575" t="str">
        <f t="shared" si="15"/>
        <v>内部装修</v>
      </c>
      <c r="AA42" s="1576">
        <f t="shared" si="3"/>
        <v>1</v>
      </c>
      <c r="AB42" s="1576">
        <f t="shared" si="4"/>
        <v>1</v>
      </c>
      <c r="AC42" s="1576">
        <f t="shared" si="5"/>
        <v>1</v>
      </c>
    </row>
    <row r="43" spans="1:29" ht="27.75" thickBot="1">
      <c r="A43" s="594"/>
      <c r="B43" s="527" t="s">
        <v>733</v>
      </c>
      <c r="C43" s="599" t="s">
        <v>2997</v>
      </c>
      <c r="D43" s="540">
        <v>100</v>
      </c>
      <c r="E43" s="874" t="s">
        <v>2997</v>
      </c>
      <c r="F43" s="575">
        <f>SUMIF(124:124,E43,125:125)-SUMIF(124:124,C43,125:125)+100</f>
        <v>100</v>
      </c>
      <c r="G43" s="874" t="s">
        <v>2997</v>
      </c>
      <c r="H43" s="540">
        <f>SUMIF(124:124,G43,125:125)-SUMIF(124:124,C43,125:125)+100</f>
        <v>100</v>
      </c>
      <c r="I43" s="874" t="s">
        <v>2997</v>
      </c>
      <c r="J43" s="540">
        <f>SUMIF(124:124,I43,125:125)-SUMIF(124:124,C43,125:125)+100</f>
        <v>100</v>
      </c>
      <c r="K43" s="864">
        <v>2</v>
      </c>
      <c r="L43" s="2142"/>
      <c r="M43" s="2134"/>
      <c r="N43" s="2134"/>
      <c r="O43" s="2141"/>
      <c r="P43" s="3428"/>
      <c r="Q43" s="1572" t="str">
        <f t="shared" si="11"/>
        <v>内部装修维护情况</v>
      </c>
      <c r="R43" s="1573" t="s">
        <v>11</v>
      </c>
      <c r="S43" s="1574">
        <f t="shared" si="12"/>
        <v>100</v>
      </c>
      <c r="T43" s="1573" t="s">
        <v>11</v>
      </c>
      <c r="U43" s="1574">
        <f t="shared" si="13"/>
        <v>100</v>
      </c>
      <c r="V43" s="1573" t="s">
        <v>11</v>
      </c>
      <c r="W43" s="1574">
        <f t="shared" si="14"/>
        <v>100</v>
      </c>
      <c r="X43" s="1567"/>
      <c r="Y43" s="3428"/>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8"/>
      <c r="Q44" s="1151">
        <f t="shared" si="11"/>
        <v>111</v>
      </c>
      <c r="R44" s="1568" t="s">
        <v>11</v>
      </c>
      <c r="S44" s="1569">
        <f t="shared" si="12"/>
        <v>100</v>
      </c>
      <c r="T44" s="1568" t="s">
        <v>11</v>
      </c>
      <c r="U44" s="1569">
        <f t="shared" si="13"/>
        <v>100</v>
      </c>
      <c r="V44" s="1568" t="s">
        <v>11</v>
      </c>
      <c r="W44" s="1569">
        <f t="shared" si="14"/>
        <v>100</v>
      </c>
      <c r="X44" s="1570"/>
      <c r="Y44" s="3428"/>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8"/>
      <c r="Q45" s="1572">
        <f t="shared" si="11"/>
        <v>111</v>
      </c>
      <c r="R45" s="1573" t="s">
        <v>11</v>
      </c>
      <c r="S45" s="1574">
        <f t="shared" si="12"/>
        <v>100</v>
      </c>
      <c r="T45" s="1573" t="s">
        <v>11</v>
      </c>
      <c r="U45" s="1574">
        <f t="shared" si="13"/>
        <v>100</v>
      </c>
      <c r="V45" s="1573" t="s">
        <v>11</v>
      </c>
      <c r="W45" s="1574">
        <f t="shared" si="14"/>
        <v>100</v>
      </c>
      <c r="X45" s="1567"/>
      <c r="Y45" s="3428"/>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5"/>
      <c r="Q46" s="1572">
        <f t="shared" si="11"/>
        <v>111</v>
      </c>
      <c r="R46" s="1573" t="s">
        <v>10</v>
      </c>
      <c r="S46" s="1574">
        <f t="shared" si="12"/>
        <v>100</v>
      </c>
      <c r="T46" s="1573" t="s">
        <v>10</v>
      </c>
      <c r="U46" s="1574">
        <f t="shared" si="13"/>
        <v>100</v>
      </c>
      <c r="V46" s="1573" t="s">
        <v>10</v>
      </c>
      <c r="W46" s="1574">
        <f t="shared" si="14"/>
        <v>100</v>
      </c>
      <c r="X46" s="1567"/>
      <c r="Y46" s="3505"/>
      <c r="Z46" s="1575">
        <f t="shared" si="15"/>
        <v>111</v>
      </c>
      <c r="AA46" s="1576">
        <f t="shared" si="3"/>
        <v>1</v>
      </c>
      <c r="AB46" s="1576">
        <f t="shared" si="4"/>
        <v>1</v>
      </c>
      <c r="AC46" s="1576">
        <f t="shared" si="5"/>
        <v>1</v>
      </c>
    </row>
    <row r="47" spans="1:29" ht="15">
      <c r="A47" s="607" t="s">
        <v>734</v>
      </c>
      <c r="B47" s="887"/>
      <c r="C47" s="2627" t="s">
        <v>9</v>
      </c>
      <c r="D47" s="2628"/>
      <c r="E47" s="2629">
        <v>30000</v>
      </c>
      <c r="F47" s="2630"/>
      <c r="G47" s="2631">
        <v>31000</v>
      </c>
      <c r="H47" s="2632"/>
      <c r="I47" s="2629">
        <f>ROUND(27000*L47,0)</f>
        <v>24000</v>
      </c>
      <c r="J47" s="2632"/>
      <c r="K47" s="1606"/>
      <c r="L47" s="2144">
        <v>0.88890000000000002</v>
      </c>
      <c r="M47" s="2145"/>
      <c r="N47" s="2134"/>
      <c r="O47" s="2145"/>
      <c r="P47" s="3390" t="str">
        <f>A47</f>
        <v>成交单价（元/平方米）</v>
      </c>
      <c r="Q47" s="3390"/>
      <c r="R47" s="3504">
        <f>E47</f>
        <v>30000</v>
      </c>
      <c r="S47" s="3504"/>
      <c r="T47" s="3504">
        <f>G47</f>
        <v>31000</v>
      </c>
      <c r="U47" s="3504"/>
      <c r="V47" s="3504">
        <f>I47</f>
        <v>24000</v>
      </c>
      <c r="W47" s="3504"/>
      <c r="X47" s="1559"/>
      <c r="Y47" s="1581"/>
      <c r="Z47" s="1559"/>
      <c r="AA47" s="1559"/>
      <c r="AB47" s="1559"/>
      <c r="AC47" s="1559"/>
    </row>
    <row r="48" spans="1:29" ht="15.75" thickBot="1">
      <c r="A48" s="615" t="s">
        <v>2754</v>
      </c>
      <c r="B48" s="888"/>
      <c r="C48" s="2633">
        <f>R49</f>
        <v>30560</v>
      </c>
      <c r="D48" s="2634"/>
      <c r="E48" s="2635">
        <f>R48</f>
        <v>30000</v>
      </c>
      <c r="F48" s="2635"/>
      <c r="G48" s="2633">
        <f>T48</f>
        <v>31345</v>
      </c>
      <c r="H48" s="2634"/>
      <c r="I48" s="2635">
        <f>V48</f>
        <v>30334</v>
      </c>
      <c r="J48" s="2634"/>
      <c r="K48" s="1607"/>
      <c r="L48" s="2144"/>
      <c r="M48" s="2145"/>
      <c r="N48" s="2145"/>
      <c r="O48" s="2145"/>
      <c r="P48" s="3390" t="str">
        <f>A48</f>
        <v>比较价格（元/平方米）</v>
      </c>
      <c r="Q48" s="3390"/>
      <c r="R48" s="3504">
        <f>IF(F1="售价",ROUND(PRODUCT(R47,AA7:AA46),0),ROUND(PRODUCT(R47,AA7:AA46),1))</f>
        <v>30000</v>
      </c>
      <c r="S48" s="3504"/>
      <c r="T48" s="3504">
        <f>IF(F1="售价",ROUND(PRODUCT(T47,AB7:AB46),0),ROUND(PRODUCT(T47,AB7:AB46),1))</f>
        <v>31345</v>
      </c>
      <c r="U48" s="3504"/>
      <c r="V48" s="3504">
        <f>IF(F1="售价",ROUND(PRODUCT(V47,AC7:AC46),0),ROUND(PRODUCT(V47,AC7:AC46),1))</f>
        <v>30334</v>
      </c>
      <c r="W48" s="3504"/>
      <c r="X48" s="1559"/>
      <c r="Y48" s="1559"/>
      <c r="Z48" s="1559"/>
      <c r="AA48" s="1559"/>
      <c r="AB48" s="1559"/>
      <c r="AC48" s="1559"/>
    </row>
    <row r="49" spans="1:29" ht="15.75" thickBot="1">
      <c r="A49" s="621" t="s">
        <v>2922</v>
      </c>
      <c r="B49" s="622"/>
      <c r="C49" s="2636">
        <f>R49</f>
        <v>30560</v>
      </c>
      <c r="D49" s="2636"/>
      <c r="E49" s="2636"/>
      <c r="F49" s="2636"/>
      <c r="G49" s="2636"/>
      <c r="H49" s="2636"/>
      <c r="I49" s="2636"/>
      <c r="J49" s="2636"/>
      <c r="K49" s="1608"/>
      <c r="L49" s="2144"/>
      <c r="M49" s="2145"/>
      <c r="N49" s="2145"/>
      <c r="O49" s="2145"/>
      <c r="P49" s="3387" t="str">
        <f>A49</f>
        <v>估价对象XX用房的比较价格（楼面单价，元/平方米）</v>
      </c>
      <c r="Q49" s="3388"/>
      <c r="R49" s="3503">
        <f>IF(F1="售价",ROUND(AVERAGE(R48:V48),0),ROUND(AVERAGE(R48:V48),1))</f>
        <v>30560</v>
      </c>
      <c r="S49" s="3503"/>
      <c r="T49" s="3503"/>
      <c r="U49" s="3503"/>
      <c r="V49" s="3503"/>
      <c r="W49" s="350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0</v>
      </c>
      <c r="F52" s="627" t="str">
        <f>IF(OR(E52&gt;=0.3,E52&lt;=-0.3),"超过30%","")</f>
        <v/>
      </c>
      <c r="G52" s="626">
        <f>IF(G47&lt;G48,G48/G47-1,G47/G48-1)</f>
        <v>1.1129032258064608E-2</v>
      </c>
      <c r="H52" s="627" t="str">
        <f>IF(OR(G52&gt;=0.3,G52&lt;=-0.3),"超过30%","")</f>
        <v/>
      </c>
      <c r="I52" s="626">
        <f>IF(I47&lt;I48,I48/I47-1,I47/I48-1)</f>
        <v>0.26391666666666658</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4.4833333333333281E-2</v>
      </c>
      <c r="F53" s="627" t="str">
        <f>IF(OR(E53&gt;=0.2,E53&lt;=-0.2),"超过20%","")</f>
        <v/>
      </c>
      <c r="G53" s="626">
        <f>IF(G48&lt;I48,I48/G48-1,G48/I48-1)</f>
        <v>3.332893782554236E-2</v>
      </c>
      <c r="H53" s="627" t="str">
        <f>IF(OR(G53&gt;=0.2,G53&lt;=-0.2),"超过20%","")</f>
        <v/>
      </c>
      <c r="I53" s="626">
        <f>IF(I48&lt;E48,E48/I48-1,I48/E48-1)</f>
        <v>1.1133333333333439E-2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3.3333333333333437E-2</v>
      </c>
      <c r="F54" s="627" t="str">
        <f>IF(OR(E54&gt;=0.3,E54&lt;=-0.3),"超过30%","")</f>
        <v/>
      </c>
      <c r="G54" s="626">
        <f>IF(G47&lt;I47,I47/G47-1,G47/I47-1)</f>
        <v>0.29166666666666674</v>
      </c>
      <c r="H54" s="627" t="str">
        <f>IF(OR(G54&gt;=0.3,G54&lt;=-0.3),"超过30%","")</f>
        <v/>
      </c>
      <c r="I54" s="626">
        <f>IF(I47&lt;E47,E47/I47-1,I47/E47-1)</f>
        <v>0.25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527</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99</v>
      </c>
      <c r="F59" s="650">
        <v>99</v>
      </c>
      <c r="G59" s="650">
        <v>99</v>
      </c>
      <c r="H59" s="650">
        <v>98</v>
      </c>
      <c r="I59" s="650">
        <v>98</v>
      </c>
      <c r="J59" s="650">
        <v>98</v>
      </c>
      <c r="K59" s="650">
        <v>97</v>
      </c>
      <c r="L59" s="650">
        <v>97</v>
      </c>
      <c r="M59" s="650">
        <v>97</v>
      </c>
      <c r="N59" s="650">
        <v>96</v>
      </c>
      <c r="O59" s="650">
        <v>96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5">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2551</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2552</v>
      </c>
      <c r="C82" s="2598" t="s">
        <v>2553</v>
      </c>
      <c r="D82" s="2598" t="s">
        <v>2554</v>
      </c>
      <c r="E82" s="2598" t="s">
        <v>2555</v>
      </c>
      <c r="F82" s="2598" t="s">
        <v>2556</v>
      </c>
      <c r="G82" s="2598" t="s">
        <v>2557</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745</v>
      </c>
      <c r="C100" s="3190" t="s">
        <v>3410</v>
      </c>
      <c r="D100" s="3190" t="s">
        <v>3411</v>
      </c>
      <c r="E100" s="3190" t="s">
        <v>3412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500000(含)-1000000</v>
      </c>
      <c r="I102" s="708" t="str">
        <f t="shared" si="23"/>
        <v>1000000(含)-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v>1000000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f>C104+1</f>
        <v>101</v>
      </c>
      <c r="E104" s="671">
        <f t="shared" ref="E104:I104" si="24">D104+1</f>
        <v>102</v>
      </c>
      <c r="F104" s="671">
        <f t="shared" si="24"/>
        <v>103</v>
      </c>
      <c r="G104" s="671">
        <f t="shared" si="24"/>
        <v>104</v>
      </c>
      <c r="H104" s="671">
        <f t="shared" si="24"/>
        <v>105</v>
      </c>
      <c r="I104" s="671">
        <f t="shared" si="24"/>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191" t="s">
        <v>3413</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192" t="s">
        <v>3415</v>
      </c>
      <c r="D107" s="3192" t="s">
        <v>3416</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191" t="s">
        <v>3418</v>
      </c>
      <c r="D109" s="3191" t="s">
        <v>3419</v>
      </c>
      <c r="E109" s="3191" t="s">
        <v>3420</v>
      </c>
      <c r="F109" s="3192" t="s">
        <v>3422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191" t="s">
        <v>3424</v>
      </c>
      <c r="D114" s="3191" t="s">
        <v>3425</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2550</v>
      </c>
      <c r="C116" s="688" t="s">
        <v>3002</v>
      </c>
      <c r="D116" s="688" t="s">
        <v>3095</v>
      </c>
      <c r="E116" s="688" t="s">
        <v>3082</v>
      </c>
      <c r="F116" s="688" t="s">
        <v>3096</v>
      </c>
      <c r="G116" s="688" t="s">
        <v>3097</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191" t="s">
        <v>3418</v>
      </c>
      <c r="D122" s="3191" t="s">
        <v>3419</v>
      </c>
      <c r="E122" s="3191" t="s">
        <v>3420</v>
      </c>
      <c r="F122" s="3192" t="s">
        <v>3422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K52" sqref="K5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7" style="1337" customWidth="1"/>
    <col min="8" max="8" width="12.25" style="1337" customWidth="1"/>
    <col min="9" max="9" width="1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23" t="s">
        <v>717</v>
      </c>
      <c r="C1" s="2624" t="s">
        <v>718</v>
      </c>
      <c r="D1" s="2625" t="s">
        <v>3127</v>
      </c>
      <c r="E1" s="2626"/>
      <c r="F1" s="2807" t="s">
        <v>3407</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465</v>
      </c>
      <c r="B2" s="2622">
        <f>ROUND(B3*D3/10000,0)</f>
        <v>121322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517</v>
      </c>
      <c r="B3" s="851">
        <f>C49</f>
        <v>22574</v>
      </c>
      <c r="C3" s="852" t="s">
        <v>720</v>
      </c>
      <c r="D3" s="851">
        <f>SUMIF('数据-汇总表'!$C19:$C33,D1,'数据-汇总表'!$E19:$E33)</f>
        <v>53744.19</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519</v>
      </c>
      <c r="B4" s="513"/>
      <c r="C4" s="3396" t="s">
        <v>520</v>
      </c>
      <c r="D4" s="3397"/>
      <c r="E4" s="3431" t="s">
        <v>521</v>
      </c>
      <c r="F4" s="3432"/>
      <c r="G4" s="3396" t="s">
        <v>522</v>
      </c>
      <c r="H4" s="3397"/>
      <c r="I4" s="3396" t="s">
        <v>523</v>
      </c>
      <c r="J4" s="3397"/>
      <c r="K4" s="853" t="s">
        <v>524</v>
      </c>
      <c r="L4" s="2133"/>
      <c r="M4" s="2134"/>
      <c r="N4" s="2134"/>
      <c r="O4" s="2134"/>
      <c r="P4" s="3398" t="s">
        <v>525</v>
      </c>
      <c r="Q4" s="3399"/>
      <c r="R4" s="3404" t="s">
        <v>521</v>
      </c>
      <c r="S4" s="3405"/>
      <c r="T4" s="3404" t="s">
        <v>522</v>
      </c>
      <c r="U4" s="3405"/>
      <c r="V4" s="3391" t="s">
        <v>523</v>
      </c>
      <c r="W4" s="3391"/>
      <c r="X4" s="3177"/>
      <c r="Y4" s="3404" t="s">
        <v>525</v>
      </c>
      <c r="Z4" s="3405"/>
      <c r="AA4" s="3393" t="s">
        <v>521</v>
      </c>
      <c r="AB4" s="3393" t="s">
        <v>522</v>
      </c>
      <c r="AC4" s="3393" t="s">
        <v>523</v>
      </c>
    </row>
    <row r="5" spans="1:29" ht="15">
      <c r="A5" s="515"/>
      <c r="B5" s="516"/>
      <c r="C5" s="3414" t="s">
        <v>3079</v>
      </c>
      <c r="D5" s="3413"/>
      <c r="E5" s="3414" t="s">
        <v>3079</v>
      </c>
      <c r="F5" s="3413"/>
      <c r="G5" s="3414" t="s">
        <v>3428</v>
      </c>
      <c r="H5" s="3413"/>
      <c r="I5" s="3414" t="s">
        <v>3427</v>
      </c>
      <c r="J5" s="3413"/>
      <c r="K5" s="854"/>
      <c r="L5" s="2133"/>
      <c r="M5" s="2134"/>
      <c r="N5" s="2134"/>
      <c r="O5" s="2134"/>
      <c r="P5" s="3400"/>
      <c r="Q5" s="3401"/>
      <c r="R5" s="3406"/>
      <c r="S5" s="3407"/>
      <c r="T5" s="3406"/>
      <c r="U5" s="3407"/>
      <c r="V5" s="3391"/>
      <c r="W5" s="3391"/>
      <c r="X5" s="3177"/>
      <c r="Y5" s="3406"/>
      <c r="Z5" s="3407"/>
      <c r="AA5" s="3394"/>
      <c r="AB5" s="3394"/>
      <c r="AC5" s="3394"/>
    </row>
    <row r="6" spans="1:29" ht="15.75" thickBot="1">
      <c r="A6" s="517"/>
      <c r="B6" s="518"/>
      <c r="C6" s="3410" t="s">
        <v>2920</v>
      </c>
      <c r="D6" s="3411"/>
      <c r="E6" s="3429" t="s">
        <v>2920</v>
      </c>
      <c r="F6" s="3430"/>
      <c r="G6" s="3410" t="s">
        <v>2920</v>
      </c>
      <c r="H6" s="3411"/>
      <c r="I6" s="3410" t="s">
        <v>2920</v>
      </c>
      <c r="J6" s="3411"/>
      <c r="K6" s="854" t="s">
        <v>526</v>
      </c>
      <c r="L6" s="2133"/>
      <c r="M6" s="2134"/>
      <c r="N6" s="2134"/>
      <c r="O6" s="2134"/>
      <c r="P6" s="3402"/>
      <c r="Q6" s="3403"/>
      <c r="R6" s="3406"/>
      <c r="S6" s="3407"/>
      <c r="T6" s="3408"/>
      <c r="U6" s="3409"/>
      <c r="V6" s="3391"/>
      <c r="W6" s="3391"/>
      <c r="X6" s="3177"/>
      <c r="Y6" s="3408"/>
      <c r="Z6" s="3409"/>
      <c r="AA6" s="3395"/>
      <c r="AB6" s="3395"/>
      <c r="AC6" s="3395"/>
    </row>
    <row r="7" spans="1:29" s="1220" customFormat="1" ht="15.75" thickBot="1">
      <c r="A7" s="2911"/>
      <c r="B7" s="2918" t="s">
        <v>527</v>
      </c>
      <c r="C7" s="519">
        <f>'数据-取费表'!B2</f>
        <v>43325</v>
      </c>
      <c r="D7" s="520">
        <v>100</v>
      </c>
      <c r="E7" s="521">
        <v>43252</v>
      </c>
      <c r="F7" s="522">
        <f>SUMIF(58:58,YEAR(E7)&amp;"-"&amp;MONTH(E7),59:59)</f>
        <v>99</v>
      </c>
      <c r="G7" s="523">
        <v>43325</v>
      </c>
      <c r="H7" s="520">
        <f>SUMIF(58:58,YEAR(G7)&amp;"-"&amp;MONTH(G7),59:59)</f>
        <v>100</v>
      </c>
      <c r="I7" s="523">
        <v>43325</v>
      </c>
      <c r="J7" s="520">
        <f>SUMIF(58:58,YEAR(I7)&amp;"-"&amp;MONTH(I7),59:59)</f>
        <v>100</v>
      </c>
      <c r="K7" s="855"/>
      <c r="L7" s="2135"/>
      <c r="M7" s="2136"/>
      <c r="N7" s="2136"/>
      <c r="O7" s="2136"/>
      <c r="P7" s="3422" t="s">
        <v>528</v>
      </c>
      <c r="Q7" s="3424"/>
      <c r="R7" s="1568" t="s">
        <v>13</v>
      </c>
      <c r="S7" s="1569">
        <f t="shared" ref="S7:S15" si="0">F7</f>
        <v>99</v>
      </c>
      <c r="T7" s="1568" t="s">
        <v>13</v>
      </c>
      <c r="U7" s="1569">
        <f t="shared" ref="U7:U15" si="1">H7</f>
        <v>100</v>
      </c>
      <c r="V7" s="1568" t="s">
        <v>13</v>
      </c>
      <c r="W7" s="1569">
        <f t="shared" ref="W7:W15" si="2">J7</f>
        <v>100</v>
      </c>
      <c r="X7" s="1570"/>
      <c r="Y7" s="3422" t="s">
        <v>528</v>
      </c>
      <c r="Z7" s="3423"/>
      <c r="AA7" s="1571">
        <f>D7/F7</f>
        <v>1.0101010101010102</v>
      </c>
      <c r="AB7" s="1571">
        <f>D7/H7</f>
        <v>1</v>
      </c>
      <c r="AC7" s="1571">
        <f>D7/J7</f>
        <v>1</v>
      </c>
    </row>
    <row r="8" spans="1:29" s="1220" customFormat="1" ht="15.75" thickBot="1">
      <c r="A8" s="2912"/>
      <c r="B8" s="2919" t="s">
        <v>529</v>
      </c>
      <c r="C8" s="525" t="s">
        <v>574</v>
      </c>
      <c r="D8" s="520">
        <v>100</v>
      </c>
      <c r="E8" s="856" t="s">
        <v>3404</v>
      </c>
      <c r="F8" s="522">
        <f>SUMIF(61:61,E8,62:62)-SUMIF(61:61,C8,62:62)+100</f>
        <v>100</v>
      </c>
      <c r="G8" s="856" t="s">
        <v>3404</v>
      </c>
      <c r="H8" s="520">
        <f>SUMIF(61:61,G8,62:62)-SUMIF(61:61,C8,62:62)+100</f>
        <v>100</v>
      </c>
      <c r="I8" s="856" t="s">
        <v>3404</v>
      </c>
      <c r="J8" s="520">
        <f>SUMIF(61:61,I8,62:62)-SUMIF(61:61,C8,62:62)+100</f>
        <v>100</v>
      </c>
      <c r="K8" s="855"/>
      <c r="L8" s="2135"/>
      <c r="M8" s="2136"/>
      <c r="N8" s="2136"/>
      <c r="O8" s="2136"/>
      <c r="P8" s="3422" t="s">
        <v>531</v>
      </c>
      <c r="Q8" s="3423"/>
      <c r="R8" s="1568" t="s">
        <v>13</v>
      </c>
      <c r="S8" s="1569">
        <f t="shared" si="0"/>
        <v>100</v>
      </c>
      <c r="T8" s="1568" t="s">
        <v>13</v>
      </c>
      <c r="U8" s="1569">
        <f t="shared" si="1"/>
        <v>100</v>
      </c>
      <c r="V8" s="1568" t="s">
        <v>13</v>
      </c>
      <c r="W8" s="1569">
        <f t="shared" si="2"/>
        <v>100</v>
      </c>
      <c r="X8" s="1570"/>
      <c r="Y8" s="3422" t="s">
        <v>531</v>
      </c>
      <c r="Z8" s="3423"/>
      <c r="AA8" s="1571">
        <f t="shared" ref="AA8:AA46" si="3">D8/F8</f>
        <v>1</v>
      </c>
      <c r="AB8" s="1571">
        <f t="shared" ref="AB8:AB46" si="4">D8/H8</f>
        <v>1</v>
      </c>
      <c r="AC8" s="1571">
        <f t="shared" ref="AC8:AC46" si="5">D8/J8</f>
        <v>1</v>
      </c>
    </row>
    <row r="9" spans="1:29" s="1220" customFormat="1" ht="15">
      <c r="A9" s="2913"/>
      <c r="B9" s="2920" t="s">
        <v>2750</v>
      </c>
      <c r="C9" s="3203" t="s">
        <v>3408</v>
      </c>
      <c r="D9" s="254">
        <v>100</v>
      </c>
      <c r="E9" s="858" t="s">
        <v>921</v>
      </c>
      <c r="F9" s="859">
        <f>SUMIF(63:63,E9,64:64)-SUMIF(63:63,C9,64:64)+100</f>
        <v>100</v>
      </c>
      <c r="G9" s="858" t="s">
        <v>921</v>
      </c>
      <c r="H9" s="254">
        <f>SUMIF(63:63,G9,64:64)-SUMIF(63:63,C9,64:64)+100</f>
        <v>100</v>
      </c>
      <c r="I9" s="858" t="s">
        <v>921</v>
      </c>
      <c r="J9" s="254">
        <f>SUMIF(63:63,I9,64:64)-SUMIF(63:63,C9,64:64)+100</f>
        <v>100</v>
      </c>
      <c r="K9" s="855"/>
      <c r="L9" s="2135"/>
      <c r="M9" s="2136"/>
      <c r="N9" s="2136"/>
      <c r="O9" s="2137"/>
      <c r="P9" s="3390" t="s">
        <v>533</v>
      </c>
      <c r="Q9" s="3176" t="str">
        <f t="shared" ref="Q9:Q15" si="6">B9</f>
        <v>用途</v>
      </c>
      <c r="R9" s="1568" t="s">
        <v>8</v>
      </c>
      <c r="S9" s="1569">
        <f t="shared" si="0"/>
        <v>100</v>
      </c>
      <c r="T9" s="1568" t="s">
        <v>8</v>
      </c>
      <c r="U9" s="1569">
        <f t="shared" si="1"/>
        <v>100</v>
      </c>
      <c r="V9" s="1568" t="s">
        <v>8</v>
      </c>
      <c r="W9" s="1569">
        <f t="shared" si="2"/>
        <v>100</v>
      </c>
      <c r="X9" s="1570"/>
      <c r="Y9" s="3336" t="s">
        <v>534</v>
      </c>
      <c r="Z9" s="3175" t="str">
        <f t="shared" ref="Z9:Z15" si="7">Q9</f>
        <v>用途</v>
      </c>
      <c r="AA9" s="1571">
        <f t="shared" si="3"/>
        <v>1</v>
      </c>
      <c r="AB9" s="1571">
        <f t="shared" si="4"/>
        <v>1</v>
      </c>
      <c r="AC9" s="1571">
        <f t="shared" si="5"/>
        <v>1</v>
      </c>
    </row>
    <row r="10" spans="1:29" s="1338" customFormat="1" ht="27">
      <c r="A10" s="2914"/>
      <c r="B10" s="2919" t="s">
        <v>2751</v>
      </c>
      <c r="C10" s="861" t="s">
        <v>3409</v>
      </c>
      <c r="D10" s="255">
        <v>100</v>
      </c>
      <c r="E10" s="862" t="s">
        <v>3409</v>
      </c>
      <c r="F10" s="863">
        <f>SUMIF(65:65,E10,66:66)-SUMIF(65:65,C10,66:66)+100</f>
        <v>100</v>
      </c>
      <c r="G10" s="861" t="s">
        <v>3426</v>
      </c>
      <c r="H10" s="255">
        <f>SUMIF(65:65,G10,66:66)-SUMIF(65:65,C10,66:66)+100</f>
        <v>101</v>
      </c>
      <c r="I10" s="861" t="s">
        <v>3426</v>
      </c>
      <c r="J10" s="255">
        <f>SUMIF(65:65,I10,66:66)-SUMIF(65:65,C10,66:66)+100</f>
        <v>101</v>
      </c>
      <c r="K10" s="3204">
        <v>1</v>
      </c>
      <c r="L10" s="2138"/>
      <c r="M10" s="2178"/>
      <c r="N10" s="2178"/>
      <c r="O10" s="2139"/>
      <c r="P10" s="3390"/>
      <c r="Q10" s="3176" t="str">
        <f t="shared" si="6"/>
        <v>土地使用年限（年）</v>
      </c>
      <c r="R10" s="1568" t="s">
        <v>8</v>
      </c>
      <c r="S10" s="1569">
        <f t="shared" si="0"/>
        <v>100</v>
      </c>
      <c r="T10" s="1568" t="s">
        <v>8</v>
      </c>
      <c r="U10" s="1569">
        <f t="shared" si="1"/>
        <v>101</v>
      </c>
      <c r="V10" s="1568" t="s">
        <v>8</v>
      </c>
      <c r="W10" s="1569">
        <f t="shared" si="2"/>
        <v>101</v>
      </c>
      <c r="X10" s="1570"/>
      <c r="Y10" s="3336"/>
      <c r="Z10" s="3175" t="str">
        <f t="shared" si="7"/>
        <v>土地使用年限（年）</v>
      </c>
      <c r="AA10" s="1571">
        <f t="shared" si="3"/>
        <v>1</v>
      </c>
      <c r="AB10" s="1571">
        <f t="shared" si="4"/>
        <v>0.99009900990099009</v>
      </c>
      <c r="AC10" s="1571">
        <f t="shared" si="5"/>
        <v>0.99009900990099009</v>
      </c>
    </row>
    <row r="11" spans="1:29" ht="15.75" thickBot="1">
      <c r="A11" s="2915"/>
      <c r="B11" s="2919" t="s">
        <v>2752</v>
      </c>
      <c r="C11" s="533">
        <v>2.15</v>
      </c>
      <c r="D11" s="255">
        <v>100</v>
      </c>
      <c r="E11" s="534">
        <v>2.15</v>
      </c>
      <c r="F11" s="863">
        <f>LOOKUP(E11,68:68,69:69)-LOOKUP(C11,68:68,69:69)+100</f>
        <v>100</v>
      </c>
      <c r="G11" s="533">
        <v>2.5</v>
      </c>
      <c r="H11" s="255">
        <f>LOOKUP(G11,68:68,69:69)-LOOKUP(C11,68:68,69:69)+100</f>
        <v>100</v>
      </c>
      <c r="I11" s="533">
        <v>1.8</v>
      </c>
      <c r="J11" s="255">
        <f>LOOKUP(I11,68:68,69:69)-LOOKUP(C11,68:68,69:69)+100</f>
        <v>102</v>
      </c>
      <c r="K11" s="864">
        <v>2</v>
      </c>
      <c r="L11" s="2140"/>
      <c r="M11" s="2134"/>
      <c r="N11" s="2134"/>
      <c r="O11" s="2141"/>
      <c r="P11" s="3390"/>
      <c r="Q11" s="3176" t="str">
        <f t="shared" si="6"/>
        <v>容积率</v>
      </c>
      <c r="R11" s="1568" t="s">
        <v>11</v>
      </c>
      <c r="S11" s="1569">
        <f t="shared" si="0"/>
        <v>100</v>
      </c>
      <c r="T11" s="1568" t="s">
        <v>11</v>
      </c>
      <c r="U11" s="1569">
        <f t="shared" si="1"/>
        <v>100</v>
      </c>
      <c r="V11" s="1568" t="s">
        <v>11</v>
      </c>
      <c r="W11" s="1569">
        <f t="shared" si="2"/>
        <v>102</v>
      </c>
      <c r="X11" s="1570"/>
      <c r="Y11" s="3336"/>
      <c r="Z11" s="3175" t="str">
        <f t="shared" si="7"/>
        <v>容积率</v>
      </c>
      <c r="AA11" s="1571">
        <f t="shared" si="3"/>
        <v>1</v>
      </c>
      <c r="AB11" s="1571">
        <f t="shared" si="4"/>
        <v>1</v>
      </c>
      <c r="AC11" s="1571">
        <f t="shared" si="5"/>
        <v>0.98039215686274506</v>
      </c>
    </row>
    <row r="12" spans="1:29" s="1220"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0"/>
      <c r="Q12" s="3176">
        <f t="shared" si="6"/>
        <v>111</v>
      </c>
      <c r="R12" s="1568" t="s">
        <v>11</v>
      </c>
      <c r="S12" s="1569">
        <f t="shared" si="0"/>
        <v>100</v>
      </c>
      <c r="T12" s="1568" t="s">
        <v>11</v>
      </c>
      <c r="U12" s="1569">
        <f t="shared" si="1"/>
        <v>100</v>
      </c>
      <c r="V12" s="1568" t="s">
        <v>11</v>
      </c>
      <c r="W12" s="1569">
        <f t="shared" si="2"/>
        <v>100</v>
      </c>
      <c r="X12" s="1570"/>
      <c r="Y12" s="3336"/>
      <c r="Z12" s="3175">
        <f t="shared" si="7"/>
        <v>111</v>
      </c>
      <c r="AA12" s="1571">
        <f>D12/F12</f>
        <v>1</v>
      </c>
      <c r="AB12" s="1571">
        <f>D12/H12</f>
        <v>1</v>
      </c>
      <c r="AC12" s="1571">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0"/>
      <c r="Q13" s="3176">
        <f t="shared" si="6"/>
        <v>111</v>
      </c>
      <c r="R13" s="1568" t="s">
        <v>11</v>
      </c>
      <c r="S13" s="1569">
        <f t="shared" si="0"/>
        <v>100</v>
      </c>
      <c r="T13" s="1568" t="s">
        <v>11</v>
      </c>
      <c r="U13" s="1569">
        <f t="shared" si="1"/>
        <v>100</v>
      </c>
      <c r="V13" s="1568" t="s">
        <v>11</v>
      </c>
      <c r="W13" s="1569">
        <f t="shared" si="2"/>
        <v>100</v>
      </c>
      <c r="X13" s="1570"/>
      <c r="Y13" s="3336"/>
      <c r="Z13" s="3175">
        <f t="shared" si="7"/>
        <v>111</v>
      </c>
      <c r="AA13" s="1571">
        <f t="shared" si="3"/>
        <v>1</v>
      </c>
      <c r="AB13" s="1571">
        <f t="shared" si="4"/>
        <v>1</v>
      </c>
      <c r="AC13" s="1571">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0"/>
      <c r="Q14" s="3176">
        <f t="shared" si="6"/>
        <v>111</v>
      </c>
      <c r="R14" s="1568" t="s">
        <v>11</v>
      </c>
      <c r="S14" s="1569">
        <f t="shared" si="0"/>
        <v>100</v>
      </c>
      <c r="T14" s="1568" t="s">
        <v>11</v>
      </c>
      <c r="U14" s="1569">
        <f t="shared" si="1"/>
        <v>100</v>
      </c>
      <c r="V14" s="1568" t="s">
        <v>11</v>
      </c>
      <c r="W14" s="1569">
        <f t="shared" si="2"/>
        <v>100</v>
      </c>
      <c r="X14" s="1570"/>
      <c r="Y14" s="3336"/>
      <c r="Z14" s="3175">
        <f t="shared" si="7"/>
        <v>111</v>
      </c>
      <c r="AA14" s="1571">
        <f t="shared" si="3"/>
        <v>1</v>
      </c>
      <c r="AB14" s="1571">
        <f t="shared" si="4"/>
        <v>1</v>
      </c>
      <c r="AC14" s="1571">
        <f t="shared" si="5"/>
        <v>1</v>
      </c>
    </row>
    <row r="15" spans="1:29" ht="15">
      <c r="A15" s="2909" t="s">
        <v>2748</v>
      </c>
      <c r="B15" s="166" t="s">
        <v>293</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425" t="s">
        <v>538</v>
      </c>
      <c r="Q15" s="3178" t="str">
        <f t="shared" si="6"/>
        <v>居住社区成熟度</v>
      </c>
      <c r="R15" s="1573" t="s">
        <v>11</v>
      </c>
      <c r="S15" s="1574">
        <f t="shared" si="0"/>
        <v>100</v>
      </c>
      <c r="T15" s="1573" t="s">
        <v>11</v>
      </c>
      <c r="U15" s="1574">
        <f t="shared" si="1"/>
        <v>100</v>
      </c>
      <c r="V15" s="1573" t="s">
        <v>11</v>
      </c>
      <c r="W15" s="1574">
        <f t="shared" si="2"/>
        <v>100</v>
      </c>
      <c r="X15" s="3177"/>
      <c r="Y15" s="3425" t="s">
        <v>538</v>
      </c>
      <c r="Z15" s="3179" t="str">
        <f t="shared" si="7"/>
        <v>居住社区成熟度</v>
      </c>
      <c r="AA15" s="3180">
        <f t="shared" si="3"/>
        <v>1</v>
      </c>
      <c r="AB15" s="3180">
        <f t="shared" si="4"/>
        <v>1</v>
      </c>
      <c r="AC15" s="3180">
        <f t="shared" si="5"/>
        <v>1</v>
      </c>
    </row>
    <row r="16" spans="1:29" ht="15">
      <c r="A16" s="532"/>
      <c r="B16" s="869"/>
      <c r="C16" s="576" t="s">
        <v>2997</v>
      </c>
      <c r="D16" s="555"/>
      <c r="E16" s="576" t="s">
        <v>2997</v>
      </c>
      <c r="F16" s="557"/>
      <c r="G16" s="576" t="s">
        <v>2997</v>
      </c>
      <c r="H16" s="559"/>
      <c r="I16" s="576" t="s">
        <v>2997</v>
      </c>
      <c r="J16" s="555"/>
      <c r="K16" s="870"/>
      <c r="L16" s="2142"/>
      <c r="M16" s="2134"/>
      <c r="N16" s="2134"/>
      <c r="O16" s="2141"/>
      <c r="P16" s="3426"/>
      <c r="Q16" s="3178"/>
      <c r="R16" s="1573"/>
      <c r="S16" s="1574"/>
      <c r="T16" s="1573"/>
      <c r="U16" s="1574"/>
      <c r="V16" s="1573"/>
      <c r="W16" s="1574"/>
      <c r="X16" s="3177"/>
      <c r="Y16" s="3426"/>
      <c r="Z16" s="3179"/>
      <c r="AA16" s="3180">
        <v>1</v>
      </c>
      <c r="AB16" s="3180">
        <v>1</v>
      </c>
      <c r="AC16" s="3180">
        <v>1</v>
      </c>
    </row>
    <row r="17" spans="1:29" ht="15">
      <c r="A17" s="532"/>
      <c r="B17" s="871" t="s">
        <v>294</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426"/>
      <c r="Q17" s="3178" t="str">
        <f>B17</f>
        <v>交通便捷度</v>
      </c>
      <c r="R17" s="1573" t="s">
        <v>11</v>
      </c>
      <c r="S17" s="1574">
        <f>F17</f>
        <v>100</v>
      </c>
      <c r="T17" s="1573" t="s">
        <v>11</v>
      </c>
      <c r="U17" s="1574">
        <f>H17</f>
        <v>100</v>
      </c>
      <c r="V17" s="1573" t="s">
        <v>11</v>
      </c>
      <c r="W17" s="1574">
        <f>J17</f>
        <v>100</v>
      </c>
      <c r="X17" s="3177"/>
      <c r="Y17" s="3426"/>
      <c r="Z17" s="3179" t="str">
        <f>Q17</f>
        <v>交通便捷度</v>
      </c>
      <c r="AA17" s="3180">
        <f t="shared" si="3"/>
        <v>1</v>
      </c>
      <c r="AB17" s="3180">
        <f t="shared" si="4"/>
        <v>1</v>
      </c>
      <c r="AC17" s="3180">
        <f t="shared" si="5"/>
        <v>1</v>
      </c>
    </row>
    <row r="18" spans="1:29" ht="15">
      <c r="A18" s="532"/>
      <c r="B18" s="595"/>
      <c r="C18" s="873" t="s">
        <v>2997</v>
      </c>
      <c r="D18" s="559"/>
      <c r="E18" s="873" t="s">
        <v>2997</v>
      </c>
      <c r="F18" s="563"/>
      <c r="G18" s="873" t="s">
        <v>2997</v>
      </c>
      <c r="H18" s="555"/>
      <c r="I18" s="873" t="s">
        <v>2997</v>
      </c>
      <c r="J18" s="555"/>
      <c r="K18" s="870"/>
      <c r="L18" s="2142"/>
      <c r="M18" s="2134"/>
      <c r="N18" s="2134"/>
      <c r="O18" s="2141"/>
      <c r="P18" s="3426"/>
      <c r="Q18" s="3178"/>
      <c r="R18" s="1573"/>
      <c r="S18" s="1574"/>
      <c r="T18" s="1573"/>
      <c r="U18" s="1574"/>
      <c r="V18" s="1573"/>
      <c r="W18" s="1574"/>
      <c r="X18" s="3177"/>
      <c r="Y18" s="3426"/>
      <c r="Z18" s="3179"/>
      <c r="AA18" s="3180">
        <v>1</v>
      </c>
      <c r="AB18" s="3180">
        <v>1</v>
      </c>
      <c r="AC18" s="3180">
        <v>1</v>
      </c>
    </row>
    <row r="19" spans="1:29" ht="15">
      <c r="A19" s="532"/>
      <c r="B19" s="2600" t="s">
        <v>2540</v>
      </c>
      <c r="C19" s="872" t="str">
        <f>估价对象房地状况!C7</f>
        <v>一般</v>
      </c>
      <c r="D19" s="565">
        <v>100</v>
      </c>
      <c r="E19" s="570"/>
      <c r="F19" s="571">
        <f>SUMIF(80:80,E20,81:81)-SUMIF(80:80,C20,81:81)+100</f>
        <v>100</v>
      </c>
      <c r="G19" s="572"/>
      <c r="H19" s="559">
        <f>SUMIF(80:80,G20,81:81)-SUMIF(80:80,C20,81:81)+100</f>
        <v>102</v>
      </c>
      <c r="I19" s="570"/>
      <c r="J19" s="559">
        <f>SUMIF(80:80,I20,81:81)-SUMIF(80:80,C20,81:81)+100</f>
        <v>100</v>
      </c>
      <c r="K19" s="868">
        <v>2</v>
      </c>
      <c r="L19" s="2142"/>
      <c r="M19" s="2134"/>
      <c r="N19" s="2134"/>
      <c r="O19" s="2141"/>
      <c r="P19" s="3426"/>
      <c r="Q19" s="3178" t="str">
        <f>B19</f>
        <v>公共配套设施</v>
      </c>
      <c r="R19" s="1573" t="s">
        <v>11</v>
      </c>
      <c r="S19" s="1574">
        <f>F19</f>
        <v>100</v>
      </c>
      <c r="T19" s="1573" t="s">
        <v>11</v>
      </c>
      <c r="U19" s="1574">
        <f>H19</f>
        <v>102</v>
      </c>
      <c r="V19" s="1573" t="s">
        <v>11</v>
      </c>
      <c r="W19" s="1574">
        <f>J19</f>
        <v>100</v>
      </c>
      <c r="X19" s="3177"/>
      <c r="Y19" s="3426"/>
      <c r="Z19" s="3179" t="str">
        <f>Q19</f>
        <v>公共配套设施</v>
      </c>
      <c r="AA19" s="3180">
        <f t="shared" si="3"/>
        <v>1</v>
      </c>
      <c r="AB19" s="3180">
        <f t="shared" si="4"/>
        <v>0.98039215686274506</v>
      </c>
      <c r="AC19" s="3180">
        <f t="shared" si="5"/>
        <v>1</v>
      </c>
    </row>
    <row r="20" spans="1:29" ht="15">
      <c r="A20" s="532"/>
      <c r="B20" s="595"/>
      <c r="C20" s="576" t="s">
        <v>2999</v>
      </c>
      <c r="D20" s="555"/>
      <c r="E20" s="576" t="s">
        <v>2999</v>
      </c>
      <c r="F20" s="557"/>
      <c r="G20" s="576" t="s">
        <v>2997</v>
      </c>
      <c r="H20" s="555"/>
      <c r="I20" s="576" t="s">
        <v>2999</v>
      </c>
      <c r="J20" s="555"/>
      <c r="K20" s="870"/>
      <c r="L20" s="2142"/>
      <c r="M20" s="2134"/>
      <c r="N20" s="2134"/>
      <c r="O20" s="2141"/>
      <c r="P20" s="3426"/>
      <c r="Q20" s="3178"/>
      <c r="R20" s="1573"/>
      <c r="S20" s="1574"/>
      <c r="T20" s="1573"/>
      <c r="U20" s="1574"/>
      <c r="V20" s="1573"/>
      <c r="W20" s="1574"/>
      <c r="X20" s="3177"/>
      <c r="Y20" s="3426"/>
      <c r="Z20" s="3179"/>
      <c r="AA20" s="3180">
        <v>1</v>
      </c>
      <c r="AB20" s="3180">
        <v>1</v>
      </c>
      <c r="AC20" s="3180">
        <v>1</v>
      </c>
    </row>
    <row r="21" spans="1:29" ht="15">
      <c r="A21" s="532"/>
      <c r="B21" s="2593" t="s">
        <v>2541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26"/>
      <c r="Q21" s="3178" t="str">
        <f>B21</f>
        <v>基础设施水平</v>
      </c>
      <c r="R21" s="1573" t="s">
        <v>11</v>
      </c>
      <c r="S21" s="1574">
        <f>F21</f>
        <v>100</v>
      </c>
      <c r="T21" s="1573" t="s">
        <v>11</v>
      </c>
      <c r="U21" s="1574">
        <f>H21</f>
        <v>100</v>
      </c>
      <c r="V21" s="1573" t="s">
        <v>11</v>
      </c>
      <c r="W21" s="1574">
        <f>J21</f>
        <v>100</v>
      </c>
      <c r="X21" s="3177"/>
      <c r="Y21" s="3426"/>
      <c r="Z21" s="3179" t="str">
        <f>Q21</f>
        <v>基础设施水平</v>
      </c>
      <c r="AA21" s="3180">
        <f t="shared" ref="AA21" si="8">D21/F21</f>
        <v>1</v>
      </c>
      <c r="AB21" s="3180">
        <f t="shared" ref="AB21" si="9">D21/H21</f>
        <v>1</v>
      </c>
      <c r="AC21" s="3180">
        <f t="shared" ref="AC21" si="10">D21/J21</f>
        <v>1</v>
      </c>
    </row>
    <row r="22" spans="1:29" ht="15">
      <c r="A22" s="532"/>
      <c r="B22" s="922"/>
      <c r="C22" s="873" t="s">
        <v>3002</v>
      </c>
      <c r="D22" s="555"/>
      <c r="E22" s="873" t="s">
        <v>3002</v>
      </c>
      <c r="F22" s="557"/>
      <c r="G22" s="873" t="s">
        <v>3002</v>
      </c>
      <c r="H22" s="555"/>
      <c r="I22" s="873" t="s">
        <v>3002</v>
      </c>
      <c r="J22" s="555"/>
      <c r="K22" s="2599"/>
      <c r="L22" s="2142"/>
      <c r="M22" s="2134"/>
      <c r="N22" s="2134"/>
      <c r="O22" s="2141"/>
      <c r="P22" s="3426"/>
      <c r="Q22" s="3178"/>
      <c r="R22" s="1573"/>
      <c r="S22" s="1574"/>
      <c r="T22" s="1573"/>
      <c r="U22" s="1574"/>
      <c r="V22" s="1573"/>
      <c r="W22" s="1574"/>
      <c r="X22" s="3177"/>
      <c r="Y22" s="3426"/>
      <c r="Z22" s="3179"/>
      <c r="AA22" s="3180">
        <v>1</v>
      </c>
      <c r="AB22" s="3180">
        <v>1</v>
      </c>
      <c r="AC22" s="3180">
        <v>1</v>
      </c>
    </row>
    <row r="23" spans="1:29" ht="15">
      <c r="A23" s="532"/>
      <c r="B23" s="871" t="s">
        <v>295</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26"/>
      <c r="Q23" s="3178" t="str">
        <f>B23</f>
        <v>自然及人文环境</v>
      </c>
      <c r="R23" s="1573" t="s">
        <v>11</v>
      </c>
      <c r="S23" s="1574">
        <f>F23</f>
        <v>100</v>
      </c>
      <c r="T23" s="1573" t="s">
        <v>11</v>
      </c>
      <c r="U23" s="1574">
        <f>H23</f>
        <v>100</v>
      </c>
      <c r="V23" s="1573" t="s">
        <v>11</v>
      </c>
      <c r="W23" s="1574">
        <f>J23</f>
        <v>100</v>
      </c>
      <c r="X23" s="3177"/>
      <c r="Y23" s="3426"/>
      <c r="Z23" s="3179" t="str">
        <f>Q23</f>
        <v>自然及人文环境</v>
      </c>
      <c r="AA23" s="3180">
        <f t="shared" si="3"/>
        <v>1</v>
      </c>
      <c r="AB23" s="3180">
        <f t="shared" si="4"/>
        <v>1</v>
      </c>
      <c r="AC23" s="3180">
        <f t="shared" si="5"/>
        <v>1</v>
      </c>
    </row>
    <row r="24" spans="1:29" ht="15.75" thickBot="1">
      <c r="A24" s="532"/>
      <c r="B24" s="595"/>
      <c r="C24" s="576" t="s">
        <v>2997</v>
      </c>
      <c r="D24" s="555"/>
      <c r="E24" s="576" t="s">
        <v>2997</v>
      </c>
      <c r="F24" s="557"/>
      <c r="G24" s="576" t="s">
        <v>2997</v>
      </c>
      <c r="H24" s="555"/>
      <c r="I24" s="576" t="s">
        <v>2997</v>
      </c>
      <c r="J24" s="555"/>
      <c r="K24" s="870"/>
      <c r="L24" s="2142"/>
      <c r="M24" s="2134"/>
      <c r="N24" s="2134"/>
      <c r="O24" s="2141"/>
      <c r="P24" s="3426"/>
      <c r="Q24" s="3178"/>
      <c r="R24" s="1573"/>
      <c r="S24" s="1574"/>
      <c r="T24" s="1573"/>
      <c r="U24" s="1574"/>
      <c r="V24" s="1573"/>
      <c r="W24" s="1574"/>
      <c r="X24" s="3177"/>
      <c r="Y24" s="3426"/>
      <c r="Z24" s="3179"/>
      <c r="AA24" s="3180">
        <v>1</v>
      </c>
      <c r="AB24" s="3180">
        <v>1</v>
      </c>
      <c r="AC24" s="3180">
        <v>1</v>
      </c>
    </row>
    <row r="25" spans="1:29" ht="15.75" hidden="1" thickBot="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6"/>
      <c r="Q25" s="3178" t="str">
        <f t="shared" ref="Q25:Q46" si="11">B25</f>
        <v>楼层-1</v>
      </c>
      <c r="R25" s="1573" t="s">
        <v>11</v>
      </c>
      <c r="S25" s="1574">
        <f>F25</f>
        <v>100</v>
      </c>
      <c r="T25" s="1573" t="s">
        <v>11</v>
      </c>
      <c r="U25" s="1574">
        <f>H25</f>
        <v>100</v>
      </c>
      <c r="V25" s="1573" t="s">
        <v>11</v>
      </c>
      <c r="W25" s="1574">
        <f>J25</f>
        <v>100</v>
      </c>
      <c r="X25" s="3177"/>
      <c r="Y25" s="3426"/>
      <c r="Z25" s="3179" t="str">
        <f>Q25</f>
        <v>楼层-1</v>
      </c>
      <c r="AA25" s="3180">
        <f t="shared" si="3"/>
        <v>1</v>
      </c>
      <c r="AB25" s="3180">
        <f t="shared" si="4"/>
        <v>1</v>
      </c>
      <c r="AC25" s="3180">
        <f t="shared" si="5"/>
        <v>1</v>
      </c>
    </row>
    <row r="26" spans="1:29" ht="15.75" hidden="1" thickBot="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6"/>
      <c r="Q26" s="3178" t="str">
        <f t="shared" si="11"/>
        <v>朝向</v>
      </c>
      <c r="R26" s="1573" t="s">
        <v>11</v>
      </c>
      <c r="S26" s="1574">
        <f>F26</f>
        <v>100</v>
      </c>
      <c r="T26" s="1573" t="s">
        <v>11</v>
      </c>
      <c r="U26" s="1574">
        <f>H26</f>
        <v>100</v>
      </c>
      <c r="V26" s="1573" t="s">
        <v>11</v>
      </c>
      <c r="W26" s="1574">
        <f>J26</f>
        <v>100</v>
      </c>
      <c r="X26" s="3177"/>
      <c r="Y26" s="3426"/>
      <c r="Z26" s="3179" t="str">
        <f>Q26</f>
        <v>朝向</v>
      </c>
      <c r="AA26" s="3180">
        <f t="shared" si="3"/>
        <v>1</v>
      </c>
      <c r="AB26" s="3180">
        <f t="shared" si="4"/>
        <v>1</v>
      </c>
      <c r="AC26" s="3180">
        <f t="shared" si="5"/>
        <v>1</v>
      </c>
    </row>
    <row r="27" spans="1:29" s="1220" customFormat="1" ht="15.75" hidden="1" thickBot="1">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6"/>
      <c r="Q27" s="3176" t="str">
        <f t="shared" si="11"/>
        <v>道路级别</v>
      </c>
      <c r="R27" s="1568" t="s">
        <v>11</v>
      </c>
      <c r="S27" s="1569">
        <f>F27</f>
        <v>100</v>
      </c>
      <c r="T27" s="1568" t="s">
        <v>11</v>
      </c>
      <c r="U27" s="1569">
        <f>H27</f>
        <v>100</v>
      </c>
      <c r="V27" s="1568" t="s">
        <v>11</v>
      </c>
      <c r="W27" s="1569">
        <f>J27</f>
        <v>100</v>
      </c>
      <c r="X27" s="1570"/>
      <c r="Y27" s="3426"/>
      <c r="Z27" s="3175" t="str">
        <f>Q27</f>
        <v>道路级别</v>
      </c>
      <c r="AA27" s="3180">
        <f>D27/F27</f>
        <v>1</v>
      </c>
      <c r="AB27" s="3180">
        <f>D27/H27</f>
        <v>1</v>
      </c>
      <c r="AC27" s="3180">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6"/>
      <c r="Q28" s="3178">
        <f t="shared" si="11"/>
        <v>111</v>
      </c>
      <c r="R28" s="1573" t="s">
        <v>11</v>
      </c>
      <c r="S28" s="1574">
        <f t="shared" ref="S28:S46" si="12">F28</f>
        <v>100</v>
      </c>
      <c r="T28" s="1573" t="s">
        <v>11</v>
      </c>
      <c r="U28" s="1574">
        <f t="shared" ref="U28:U46" si="13">H28</f>
        <v>100</v>
      </c>
      <c r="V28" s="1573" t="s">
        <v>11</v>
      </c>
      <c r="W28" s="1574">
        <f t="shared" ref="W28:W46" si="14">J28</f>
        <v>100</v>
      </c>
      <c r="X28" s="3177"/>
      <c r="Y28" s="3426"/>
      <c r="Z28" s="3179">
        <f t="shared" ref="Z28:Z46" si="15">Q28</f>
        <v>111</v>
      </c>
      <c r="AA28" s="3180">
        <f t="shared" si="3"/>
        <v>1</v>
      </c>
      <c r="AB28" s="3180">
        <f t="shared" si="4"/>
        <v>1</v>
      </c>
      <c r="AC28" s="3180">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6"/>
      <c r="Q29" s="3178">
        <f t="shared" si="11"/>
        <v>111</v>
      </c>
      <c r="R29" s="1573" t="s">
        <v>11</v>
      </c>
      <c r="S29" s="1574">
        <f t="shared" si="12"/>
        <v>100</v>
      </c>
      <c r="T29" s="1573" t="s">
        <v>11</v>
      </c>
      <c r="U29" s="1574">
        <f t="shared" si="13"/>
        <v>100</v>
      </c>
      <c r="V29" s="1573" t="s">
        <v>11</v>
      </c>
      <c r="W29" s="1574">
        <f t="shared" si="14"/>
        <v>100</v>
      </c>
      <c r="X29" s="3177"/>
      <c r="Y29" s="3426"/>
      <c r="Z29" s="3179">
        <f t="shared" si="15"/>
        <v>111</v>
      </c>
      <c r="AA29" s="3180">
        <f t="shared" si="3"/>
        <v>1</v>
      </c>
      <c r="AB29" s="3180">
        <f t="shared" si="4"/>
        <v>1</v>
      </c>
      <c r="AC29" s="3180">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6"/>
      <c r="Q30" s="3178">
        <f t="shared" si="11"/>
        <v>111</v>
      </c>
      <c r="R30" s="1573" t="s">
        <v>11</v>
      </c>
      <c r="S30" s="1574">
        <f t="shared" si="12"/>
        <v>100</v>
      </c>
      <c r="T30" s="1573" t="s">
        <v>11</v>
      </c>
      <c r="U30" s="1574">
        <f t="shared" si="13"/>
        <v>100</v>
      </c>
      <c r="V30" s="1573" t="s">
        <v>11</v>
      </c>
      <c r="W30" s="1574">
        <f t="shared" si="14"/>
        <v>100</v>
      </c>
      <c r="X30" s="3177"/>
      <c r="Y30" s="3426"/>
      <c r="Z30" s="3179">
        <f t="shared" si="15"/>
        <v>111</v>
      </c>
      <c r="AA30" s="3180">
        <f t="shared" si="3"/>
        <v>1</v>
      </c>
      <c r="AB30" s="3180">
        <f t="shared" si="4"/>
        <v>1</v>
      </c>
      <c r="AC30" s="318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6"/>
      <c r="Q31" s="3178">
        <f t="shared" si="11"/>
        <v>111</v>
      </c>
      <c r="R31" s="1573" t="s">
        <v>11</v>
      </c>
      <c r="S31" s="1574">
        <f t="shared" si="12"/>
        <v>100</v>
      </c>
      <c r="T31" s="1573" t="s">
        <v>11</v>
      </c>
      <c r="U31" s="1574">
        <f t="shared" si="13"/>
        <v>100</v>
      </c>
      <c r="V31" s="1573" t="s">
        <v>11</v>
      </c>
      <c r="W31" s="1574">
        <f t="shared" si="14"/>
        <v>100</v>
      </c>
      <c r="X31" s="3177"/>
      <c r="Y31" s="3426"/>
      <c r="Z31" s="3179">
        <f t="shared" si="15"/>
        <v>111</v>
      </c>
      <c r="AA31" s="3180">
        <f t="shared" si="3"/>
        <v>1</v>
      </c>
      <c r="AB31" s="3180">
        <f t="shared" si="4"/>
        <v>1</v>
      </c>
      <c r="AC31" s="3180">
        <f t="shared" si="5"/>
        <v>1</v>
      </c>
    </row>
    <row r="32" spans="1:29" ht="15">
      <c r="A32" s="2907" t="s">
        <v>2749</v>
      </c>
      <c r="B32" s="172" t="s">
        <v>723</v>
      </c>
      <c r="C32" s="878" t="s">
        <v>3127</v>
      </c>
      <c r="D32" s="597">
        <v>100</v>
      </c>
      <c r="E32" s="879" t="s">
        <v>3127</v>
      </c>
      <c r="F32" s="575">
        <f>SUMIF(100:100,E32,101:101)-SUMIF(100:100,C32,101:101)+100</f>
        <v>100</v>
      </c>
      <c r="G32" s="878" t="s">
        <v>3127</v>
      </c>
      <c r="H32" s="597">
        <f>SUMIF(100:100,G32,101:101)-SUMIF(100:100,C32,101:101)+100</f>
        <v>100</v>
      </c>
      <c r="I32" s="879" t="s">
        <v>3127</v>
      </c>
      <c r="J32" s="540">
        <f>SUMIF(100:100,I32,101:101)-SUMIF(100:100,C32,101:101)+100</f>
        <v>100</v>
      </c>
      <c r="K32" s="864">
        <v>10</v>
      </c>
      <c r="L32" s="2142"/>
      <c r="M32" s="2134"/>
      <c r="N32" s="2134"/>
      <c r="O32" s="2141"/>
      <c r="P32" s="3427" t="s">
        <v>548</v>
      </c>
      <c r="Q32" s="3178" t="str">
        <f t="shared" si="11"/>
        <v>建筑类型</v>
      </c>
      <c r="R32" s="1573" t="s">
        <v>11</v>
      </c>
      <c r="S32" s="1574">
        <f t="shared" si="12"/>
        <v>100</v>
      </c>
      <c r="T32" s="1573" t="s">
        <v>11</v>
      </c>
      <c r="U32" s="1574">
        <f t="shared" si="13"/>
        <v>100</v>
      </c>
      <c r="V32" s="1573" t="s">
        <v>11</v>
      </c>
      <c r="W32" s="1574">
        <f t="shared" si="14"/>
        <v>100</v>
      </c>
      <c r="X32" s="3177"/>
      <c r="Y32" s="3428" t="s">
        <v>548</v>
      </c>
      <c r="Z32" s="3179" t="str">
        <f t="shared" si="15"/>
        <v>建筑类型</v>
      </c>
      <c r="AA32" s="3180">
        <f t="shared" si="3"/>
        <v>1</v>
      </c>
      <c r="AB32" s="3180">
        <f t="shared" si="4"/>
        <v>1</v>
      </c>
      <c r="AC32" s="3180">
        <f t="shared" si="5"/>
        <v>1</v>
      </c>
    </row>
    <row r="33" spans="1:29" s="1339" customFormat="1" ht="15">
      <c r="A33" s="603"/>
      <c r="B33" s="527" t="s">
        <v>724</v>
      </c>
      <c r="C33" s="880">
        <v>500000</v>
      </c>
      <c r="D33" s="255">
        <v>100</v>
      </c>
      <c r="E33" s="534">
        <v>500000</v>
      </c>
      <c r="F33" s="863">
        <f>LOOKUP(E33,103:103,104:104)-LOOKUP(C33,103:103,104:104)+100</f>
        <v>100</v>
      </c>
      <c r="G33" s="533">
        <v>140000</v>
      </c>
      <c r="H33" s="255">
        <f>LOOKUP(G33,103:103,104:104)-LOOKUP(C33,103:103,104:104)+100</f>
        <v>96</v>
      </c>
      <c r="I33" s="533">
        <v>110000</v>
      </c>
      <c r="J33" s="255">
        <f>LOOKUP(I33,103:103,104:104)-LOOKUP(C33,103:103,104:104)+100</f>
        <v>96</v>
      </c>
      <c r="K33" s="865"/>
      <c r="L33" s="2140"/>
      <c r="M33" s="2171"/>
      <c r="N33" s="2171"/>
      <c r="O33" s="2143"/>
      <c r="P33" s="3428"/>
      <c r="Q33" s="1605" t="str">
        <f t="shared" si="11"/>
        <v>项目建筑规模</v>
      </c>
      <c r="R33" s="1577" t="s">
        <v>11</v>
      </c>
      <c r="S33" s="1578">
        <f t="shared" si="12"/>
        <v>100</v>
      </c>
      <c r="T33" s="1577" t="s">
        <v>11</v>
      </c>
      <c r="U33" s="1578">
        <f t="shared" si="13"/>
        <v>96</v>
      </c>
      <c r="V33" s="1577" t="s">
        <v>11</v>
      </c>
      <c r="W33" s="1578">
        <f t="shared" si="14"/>
        <v>96</v>
      </c>
      <c r="X33" s="1579"/>
      <c r="Y33" s="3428"/>
      <c r="Z33" s="1580" t="str">
        <f t="shared" si="15"/>
        <v>项目建筑规模</v>
      </c>
      <c r="AA33" s="3180">
        <f t="shared" si="3"/>
        <v>1</v>
      </c>
      <c r="AB33" s="3180">
        <f t="shared" si="4"/>
        <v>1.0416666666666667</v>
      </c>
      <c r="AC33" s="3180">
        <f t="shared" si="5"/>
        <v>1.0416666666666667</v>
      </c>
    </row>
    <row r="34" spans="1:29" ht="15">
      <c r="A34" s="594"/>
      <c r="B34" s="527" t="s">
        <v>725</v>
      </c>
      <c r="C34" s="881" t="s">
        <v>3104</v>
      </c>
      <c r="D34" s="540">
        <v>100</v>
      </c>
      <c r="E34" s="882" t="s">
        <v>3104</v>
      </c>
      <c r="F34" s="575">
        <f>SUMIF(105:105,E34,106:106)-SUMIF(105:105,C34,106:106)+100</f>
        <v>100</v>
      </c>
      <c r="G34" s="882" t="s">
        <v>3104</v>
      </c>
      <c r="H34" s="540">
        <f>SUMIF(105:105,G34,106:106)-SUMIF(105:105,C34,106:106)+100</f>
        <v>100</v>
      </c>
      <c r="I34" s="882" t="s">
        <v>3104</v>
      </c>
      <c r="J34" s="540">
        <f>SUMIF(105:105,I34,106:106)-SUMIF(105:105,C34,106:106)+100</f>
        <v>100</v>
      </c>
      <c r="K34" s="864">
        <v>2</v>
      </c>
      <c r="L34" s="2142"/>
      <c r="M34" s="2134"/>
      <c r="N34" s="2134"/>
      <c r="O34" s="2141"/>
      <c r="P34" s="3428"/>
      <c r="Q34" s="3178" t="str">
        <f t="shared" si="11"/>
        <v>建筑结构</v>
      </c>
      <c r="R34" s="1573" t="s">
        <v>11</v>
      </c>
      <c r="S34" s="1574">
        <f t="shared" si="12"/>
        <v>100</v>
      </c>
      <c r="T34" s="1573" t="s">
        <v>11</v>
      </c>
      <c r="U34" s="1574">
        <f t="shared" si="13"/>
        <v>100</v>
      </c>
      <c r="V34" s="1573" t="s">
        <v>11</v>
      </c>
      <c r="W34" s="1574">
        <f t="shared" si="14"/>
        <v>100</v>
      </c>
      <c r="X34" s="3177"/>
      <c r="Y34" s="3428"/>
      <c r="Z34" s="3179" t="str">
        <f t="shared" si="15"/>
        <v>建筑结构</v>
      </c>
      <c r="AA34" s="3180">
        <f t="shared" si="3"/>
        <v>1</v>
      </c>
      <c r="AB34" s="3180">
        <f t="shared" si="4"/>
        <v>1</v>
      </c>
      <c r="AC34" s="3180">
        <f t="shared" si="5"/>
        <v>1</v>
      </c>
    </row>
    <row r="35" spans="1:29" ht="15">
      <c r="A35" s="594"/>
      <c r="B35" s="527" t="s">
        <v>726</v>
      </c>
      <c r="C35" s="599" t="s">
        <v>3414</v>
      </c>
      <c r="D35" s="540">
        <v>100</v>
      </c>
      <c r="E35" s="874" t="s">
        <v>3414</v>
      </c>
      <c r="F35" s="575">
        <f>SUMIF(107:107,E35,108:108)-SUMIF(107:107,C35,108:108)+100</f>
        <v>100</v>
      </c>
      <c r="G35" s="874" t="s">
        <v>3414</v>
      </c>
      <c r="H35" s="540">
        <f>SUMIF(107:107,G35,108:108)-SUMIF(107:107,C35,108:108)+100</f>
        <v>100</v>
      </c>
      <c r="I35" s="874" t="s">
        <v>3414</v>
      </c>
      <c r="J35" s="540">
        <f>SUMIF(107:107,I35,108:108)-SUMIF(107:107,C35,108:108)+100</f>
        <v>100</v>
      </c>
      <c r="K35" s="864">
        <v>2</v>
      </c>
      <c r="L35" s="2142"/>
      <c r="M35" s="2134"/>
      <c r="N35" s="2134"/>
      <c r="O35" s="2141"/>
      <c r="P35" s="3428"/>
      <c r="Q35" s="3178" t="str">
        <f t="shared" si="11"/>
        <v>建筑品质</v>
      </c>
      <c r="R35" s="1573" t="s">
        <v>11</v>
      </c>
      <c r="S35" s="1574">
        <f t="shared" si="12"/>
        <v>100</v>
      </c>
      <c r="T35" s="1573" t="s">
        <v>11</v>
      </c>
      <c r="U35" s="1574">
        <f t="shared" si="13"/>
        <v>100</v>
      </c>
      <c r="V35" s="1573" t="s">
        <v>11</v>
      </c>
      <c r="W35" s="1574">
        <f t="shared" si="14"/>
        <v>100</v>
      </c>
      <c r="X35" s="3177"/>
      <c r="Y35" s="3428"/>
      <c r="Z35" s="3179" t="str">
        <f t="shared" si="15"/>
        <v>建筑品质</v>
      </c>
      <c r="AA35" s="3180">
        <f t="shared" si="3"/>
        <v>1</v>
      </c>
      <c r="AB35" s="3180">
        <f t="shared" si="4"/>
        <v>1</v>
      </c>
      <c r="AC35" s="3180">
        <f t="shared" si="5"/>
        <v>1</v>
      </c>
    </row>
    <row r="36" spans="1:29" ht="15">
      <c r="A36" s="594"/>
      <c r="B36" s="527" t="s">
        <v>727</v>
      </c>
      <c r="C36" s="599" t="s">
        <v>3417</v>
      </c>
      <c r="D36" s="540">
        <v>100</v>
      </c>
      <c r="E36" s="874" t="s">
        <v>3417</v>
      </c>
      <c r="F36" s="575">
        <f>SUMIF(109:109,E36,110:110)-SUMIF(109:109,C36,110:110)+100</f>
        <v>100</v>
      </c>
      <c r="G36" s="874" t="s">
        <v>3417</v>
      </c>
      <c r="H36" s="540">
        <f>SUMIF(109:109,G36,110:110)-SUMIF(109:109,C36,110:110)+100</f>
        <v>100</v>
      </c>
      <c r="I36" s="874" t="s">
        <v>3417</v>
      </c>
      <c r="J36" s="540">
        <f>SUMIF(109:109,I36,110:110)-SUMIF(109:109,C36,110:110)+100</f>
        <v>100</v>
      </c>
      <c r="K36" s="864">
        <v>2</v>
      </c>
      <c r="L36" s="2142"/>
      <c r="M36" s="2134"/>
      <c r="N36" s="2134"/>
      <c r="O36" s="2141"/>
      <c r="P36" s="3428"/>
      <c r="Q36" s="3178" t="str">
        <f t="shared" si="11"/>
        <v>公共部分装修</v>
      </c>
      <c r="R36" s="1573" t="s">
        <v>11</v>
      </c>
      <c r="S36" s="1574">
        <f t="shared" si="12"/>
        <v>100</v>
      </c>
      <c r="T36" s="1573" t="s">
        <v>11</v>
      </c>
      <c r="U36" s="1574">
        <f t="shared" si="13"/>
        <v>100</v>
      </c>
      <c r="V36" s="1573" t="s">
        <v>11</v>
      </c>
      <c r="W36" s="1574">
        <f t="shared" si="14"/>
        <v>100</v>
      </c>
      <c r="X36" s="3177"/>
      <c r="Y36" s="3428"/>
      <c r="Z36" s="3179" t="str">
        <f t="shared" si="15"/>
        <v>公共部分装修</v>
      </c>
      <c r="AA36" s="3180">
        <f t="shared" si="3"/>
        <v>1</v>
      </c>
      <c r="AB36" s="3180">
        <f t="shared" si="4"/>
        <v>1</v>
      </c>
      <c r="AC36" s="3180">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35"/>
      <c r="M37" s="2136"/>
      <c r="N37" s="2136"/>
      <c r="O37" s="2137"/>
      <c r="P37" s="3428"/>
      <c r="Q37" s="3176" t="str">
        <f t="shared" si="11"/>
        <v>成新度</v>
      </c>
      <c r="R37" s="1568" t="s">
        <v>11</v>
      </c>
      <c r="S37" s="1569">
        <f t="shared" si="12"/>
        <v>100</v>
      </c>
      <c r="T37" s="1568" t="s">
        <v>11</v>
      </c>
      <c r="U37" s="1569">
        <f t="shared" si="13"/>
        <v>100</v>
      </c>
      <c r="V37" s="1568" t="s">
        <v>11</v>
      </c>
      <c r="W37" s="1569">
        <f t="shared" si="14"/>
        <v>100</v>
      </c>
      <c r="X37" s="1570"/>
      <c r="Y37" s="3428"/>
      <c r="Z37" s="3175" t="str">
        <f t="shared" si="15"/>
        <v>成新度</v>
      </c>
      <c r="AA37" s="1571">
        <f t="shared" si="3"/>
        <v>1</v>
      </c>
      <c r="AB37" s="1571">
        <f t="shared" si="4"/>
        <v>1</v>
      </c>
      <c r="AC37" s="1571">
        <f t="shared" si="5"/>
        <v>1</v>
      </c>
    </row>
    <row r="38" spans="1:29" ht="15">
      <c r="A38" s="594"/>
      <c r="B38" s="527" t="s">
        <v>729</v>
      </c>
      <c r="C38" s="599" t="s">
        <v>3423</v>
      </c>
      <c r="D38" s="540">
        <v>100</v>
      </c>
      <c r="E38" s="874" t="s">
        <v>3423</v>
      </c>
      <c r="F38" s="575">
        <f>SUMIF(114:114,E38,115:115)-SUMIF(114:114,C38,115:115)+100</f>
        <v>100</v>
      </c>
      <c r="G38" s="874" t="s">
        <v>3423</v>
      </c>
      <c r="H38" s="540">
        <f>SUMIF(114:114,G38,115:115)-SUMIF(114:114,C38,115:115)+100</f>
        <v>100</v>
      </c>
      <c r="I38" s="874" t="s">
        <v>3423</v>
      </c>
      <c r="J38" s="540">
        <f>SUMIF(114:114,I38,115:115)-SUMIF(114:114,C38,115:115)+100</f>
        <v>100</v>
      </c>
      <c r="K38" s="864">
        <v>2</v>
      </c>
      <c r="L38" s="2142"/>
      <c r="M38" s="2134"/>
      <c r="N38" s="2134"/>
      <c r="O38" s="2141"/>
      <c r="P38" s="3428" t="s">
        <v>548</v>
      </c>
      <c r="Q38" s="3178" t="str">
        <f t="shared" si="11"/>
        <v>物业管理</v>
      </c>
      <c r="R38" s="1573" t="s">
        <v>11</v>
      </c>
      <c r="S38" s="1574">
        <f t="shared" si="12"/>
        <v>100</v>
      </c>
      <c r="T38" s="1573" t="s">
        <v>11</v>
      </c>
      <c r="U38" s="1574">
        <f t="shared" si="13"/>
        <v>100</v>
      </c>
      <c r="V38" s="1573" t="s">
        <v>11</v>
      </c>
      <c r="W38" s="1574">
        <f t="shared" si="14"/>
        <v>100</v>
      </c>
      <c r="X38" s="3177"/>
      <c r="Y38" s="3428" t="s">
        <v>548</v>
      </c>
      <c r="Z38" s="3179" t="str">
        <f t="shared" si="15"/>
        <v>物业管理</v>
      </c>
      <c r="AA38" s="3180">
        <f t="shared" si="3"/>
        <v>1</v>
      </c>
      <c r="AB38" s="3180">
        <f t="shared" si="4"/>
        <v>1</v>
      </c>
      <c r="AC38" s="3180">
        <f t="shared" si="5"/>
        <v>1</v>
      </c>
    </row>
    <row r="39" spans="1:29" ht="15">
      <c r="A39" s="594"/>
      <c r="B39" s="1895" t="s">
        <v>2558</v>
      </c>
      <c r="C39" s="599" t="s">
        <v>3002</v>
      </c>
      <c r="D39" s="540">
        <v>100</v>
      </c>
      <c r="E39" s="874" t="s">
        <v>3002</v>
      </c>
      <c r="F39" s="575">
        <f>SUMIF(116:116,E39,117:117)-SUMIF(116:116,C39,117:117)+100</f>
        <v>100</v>
      </c>
      <c r="G39" s="874" t="s">
        <v>3002</v>
      </c>
      <c r="H39" s="540">
        <f>SUMIF(116:116,G39,117:117)-SUMIF(116:116,C39,117:117)+100</f>
        <v>100</v>
      </c>
      <c r="I39" s="874" t="s">
        <v>3002</v>
      </c>
      <c r="J39" s="540">
        <f>SUMIF(116:116,I39,117:117)-SUMIF(116:116,C39,117:117)+100</f>
        <v>100</v>
      </c>
      <c r="K39" s="864">
        <v>1</v>
      </c>
      <c r="L39" s="2142"/>
      <c r="M39" s="2134"/>
      <c r="N39" s="2134"/>
      <c r="O39" s="2141"/>
      <c r="P39" s="3428"/>
      <c r="Q39" s="3178" t="str">
        <f t="shared" si="11"/>
        <v>市政基础设施</v>
      </c>
      <c r="R39" s="1573" t="s">
        <v>11</v>
      </c>
      <c r="S39" s="1574">
        <f t="shared" si="12"/>
        <v>100</v>
      </c>
      <c r="T39" s="1573" t="s">
        <v>11</v>
      </c>
      <c r="U39" s="1574">
        <f t="shared" si="13"/>
        <v>100</v>
      </c>
      <c r="V39" s="1573" t="s">
        <v>11</v>
      </c>
      <c r="W39" s="1574">
        <f t="shared" si="14"/>
        <v>100</v>
      </c>
      <c r="X39" s="3177"/>
      <c r="Y39" s="3428"/>
      <c r="Z39" s="3179" t="str">
        <f t="shared" si="15"/>
        <v>市政基础设施</v>
      </c>
      <c r="AA39" s="3180">
        <f t="shared" si="3"/>
        <v>1</v>
      </c>
      <c r="AB39" s="3180">
        <f t="shared" si="4"/>
        <v>1</v>
      </c>
      <c r="AC39" s="3180">
        <f t="shared" si="5"/>
        <v>1</v>
      </c>
    </row>
    <row r="40" spans="1:29" ht="15" hidden="1">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8"/>
      <c r="Q40" s="3178" t="str">
        <f t="shared" si="11"/>
        <v>房型</v>
      </c>
      <c r="R40" s="1573" t="s">
        <v>11</v>
      </c>
      <c r="S40" s="1574">
        <f t="shared" si="12"/>
        <v>100</v>
      </c>
      <c r="T40" s="1573" t="s">
        <v>11</v>
      </c>
      <c r="U40" s="1574">
        <f t="shared" si="13"/>
        <v>100</v>
      </c>
      <c r="V40" s="1573" t="s">
        <v>11</v>
      </c>
      <c r="W40" s="1574">
        <f t="shared" si="14"/>
        <v>100</v>
      </c>
      <c r="X40" s="3177"/>
      <c r="Y40" s="3428"/>
      <c r="Z40" s="3179" t="str">
        <f t="shared" si="15"/>
        <v>房型</v>
      </c>
      <c r="AA40" s="3180">
        <f t="shared" si="3"/>
        <v>1</v>
      </c>
      <c r="AB40" s="3180">
        <f t="shared" si="4"/>
        <v>1</v>
      </c>
      <c r="AC40" s="3180">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28"/>
      <c r="Q41" s="1605" t="str">
        <f t="shared" si="11"/>
        <v>单套/主力户型建筑面积</v>
      </c>
      <c r="R41" s="1577" t="s">
        <v>11</v>
      </c>
      <c r="S41" s="1578">
        <f t="shared" si="12"/>
        <v>100</v>
      </c>
      <c r="T41" s="1577" t="s">
        <v>11</v>
      </c>
      <c r="U41" s="1578">
        <f t="shared" si="13"/>
        <v>100</v>
      </c>
      <c r="V41" s="1577" t="s">
        <v>11</v>
      </c>
      <c r="W41" s="1578">
        <f t="shared" si="14"/>
        <v>100</v>
      </c>
      <c r="X41" s="1579"/>
      <c r="Y41" s="3428"/>
      <c r="Z41" s="1580" t="str">
        <f t="shared" si="15"/>
        <v>单套/主力户型建筑面积</v>
      </c>
      <c r="AA41" s="3180">
        <f t="shared" si="3"/>
        <v>1</v>
      </c>
      <c r="AB41" s="3180">
        <f t="shared" si="4"/>
        <v>1</v>
      </c>
      <c r="AC41" s="3180">
        <f t="shared" si="5"/>
        <v>1</v>
      </c>
    </row>
    <row r="42" spans="1:29" ht="15">
      <c r="A42" s="594"/>
      <c r="B42" s="527" t="s">
        <v>732</v>
      </c>
      <c r="C42" s="599" t="s">
        <v>3421</v>
      </c>
      <c r="D42" s="540">
        <v>100</v>
      </c>
      <c r="E42" s="874" t="s">
        <v>3421</v>
      </c>
      <c r="F42" s="575">
        <f>SUMIF(122:122,E42,123:123)-SUMIF(122:122,C42,123:123)+100</f>
        <v>100</v>
      </c>
      <c r="G42" s="874" t="s">
        <v>3421</v>
      </c>
      <c r="H42" s="540">
        <f>SUMIF(122:122,G42,123:123)-SUMIF(122:122,C42,123:123)+100</f>
        <v>100</v>
      </c>
      <c r="I42" s="874" t="s">
        <v>3421</v>
      </c>
      <c r="J42" s="540">
        <f>SUMIF(122:122,I42,123:123)-SUMIF(122:122,C42,123:123)+100</f>
        <v>100</v>
      </c>
      <c r="K42" s="864">
        <v>2</v>
      </c>
      <c r="L42" s="2142"/>
      <c r="M42" s="2134"/>
      <c r="N42" s="2134"/>
      <c r="O42" s="2141"/>
      <c r="P42" s="3428"/>
      <c r="Q42" s="3178" t="str">
        <f t="shared" si="11"/>
        <v>内部装修</v>
      </c>
      <c r="R42" s="1573" t="s">
        <v>11</v>
      </c>
      <c r="S42" s="1574">
        <f t="shared" si="12"/>
        <v>100</v>
      </c>
      <c r="T42" s="1573" t="s">
        <v>11</v>
      </c>
      <c r="U42" s="1574">
        <f t="shared" si="13"/>
        <v>100</v>
      </c>
      <c r="V42" s="1573" t="s">
        <v>11</v>
      </c>
      <c r="W42" s="1574">
        <f t="shared" si="14"/>
        <v>100</v>
      </c>
      <c r="X42" s="3177"/>
      <c r="Y42" s="3428"/>
      <c r="Z42" s="3179" t="str">
        <f t="shared" si="15"/>
        <v>内部装修</v>
      </c>
      <c r="AA42" s="3180">
        <f t="shared" si="3"/>
        <v>1</v>
      </c>
      <c r="AB42" s="3180">
        <f t="shared" si="4"/>
        <v>1</v>
      </c>
      <c r="AC42" s="3180">
        <f t="shared" si="5"/>
        <v>1</v>
      </c>
    </row>
    <row r="43" spans="1:29" ht="27.75" thickBot="1">
      <c r="A43" s="594"/>
      <c r="B43" s="527" t="s">
        <v>733</v>
      </c>
      <c r="C43" s="599" t="s">
        <v>2997</v>
      </c>
      <c r="D43" s="540">
        <v>100</v>
      </c>
      <c r="E43" s="874" t="s">
        <v>2997</v>
      </c>
      <c r="F43" s="575">
        <f>SUMIF(124:124,E43,125:125)-SUMIF(124:124,C43,125:125)+100</f>
        <v>100</v>
      </c>
      <c r="G43" s="874" t="s">
        <v>2997</v>
      </c>
      <c r="H43" s="540">
        <f>SUMIF(124:124,G43,125:125)-SUMIF(124:124,C43,125:125)+100</f>
        <v>100</v>
      </c>
      <c r="I43" s="874" t="s">
        <v>2997</v>
      </c>
      <c r="J43" s="540">
        <f>SUMIF(124:124,I43,125:125)-SUMIF(124:124,C43,125:125)+100</f>
        <v>100</v>
      </c>
      <c r="K43" s="864">
        <v>2</v>
      </c>
      <c r="L43" s="2142"/>
      <c r="M43" s="2134"/>
      <c r="N43" s="2134"/>
      <c r="O43" s="2141"/>
      <c r="P43" s="3428"/>
      <c r="Q43" s="3178" t="str">
        <f t="shared" si="11"/>
        <v>内部装修维护情况</v>
      </c>
      <c r="R43" s="1573" t="s">
        <v>11</v>
      </c>
      <c r="S43" s="1574">
        <f t="shared" si="12"/>
        <v>100</v>
      </c>
      <c r="T43" s="1573" t="s">
        <v>11</v>
      </c>
      <c r="U43" s="1574">
        <f t="shared" si="13"/>
        <v>100</v>
      </c>
      <c r="V43" s="1573" t="s">
        <v>11</v>
      </c>
      <c r="W43" s="1574">
        <f t="shared" si="14"/>
        <v>100</v>
      </c>
      <c r="X43" s="3177"/>
      <c r="Y43" s="3428"/>
      <c r="Z43" s="3179" t="str">
        <f t="shared" si="15"/>
        <v>内部装修维护情况</v>
      </c>
      <c r="AA43" s="3180">
        <f t="shared" si="3"/>
        <v>1</v>
      </c>
      <c r="AB43" s="3180">
        <f t="shared" si="4"/>
        <v>1</v>
      </c>
      <c r="AC43" s="3180">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8"/>
      <c r="Q44" s="3176">
        <f t="shared" si="11"/>
        <v>111</v>
      </c>
      <c r="R44" s="1568" t="s">
        <v>11</v>
      </c>
      <c r="S44" s="1569">
        <f t="shared" si="12"/>
        <v>100</v>
      </c>
      <c r="T44" s="1568" t="s">
        <v>11</v>
      </c>
      <c r="U44" s="1569">
        <f t="shared" si="13"/>
        <v>100</v>
      </c>
      <c r="V44" s="1568" t="s">
        <v>11</v>
      </c>
      <c r="W44" s="1569">
        <f t="shared" si="14"/>
        <v>100</v>
      </c>
      <c r="X44" s="1570"/>
      <c r="Y44" s="3428"/>
      <c r="Z44" s="3175">
        <f t="shared" si="15"/>
        <v>111</v>
      </c>
      <c r="AA44" s="1571">
        <f t="shared" si="3"/>
        <v>1</v>
      </c>
      <c r="AB44" s="1571">
        <f t="shared" si="4"/>
        <v>1</v>
      </c>
      <c r="AC44" s="1571">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8"/>
      <c r="Q45" s="3178">
        <f t="shared" si="11"/>
        <v>111</v>
      </c>
      <c r="R45" s="1573" t="s">
        <v>11</v>
      </c>
      <c r="S45" s="1574">
        <f t="shared" si="12"/>
        <v>100</v>
      </c>
      <c r="T45" s="1573" t="s">
        <v>11</v>
      </c>
      <c r="U45" s="1574">
        <f t="shared" si="13"/>
        <v>100</v>
      </c>
      <c r="V45" s="1573" t="s">
        <v>11</v>
      </c>
      <c r="W45" s="1574">
        <f t="shared" si="14"/>
        <v>100</v>
      </c>
      <c r="X45" s="3177"/>
      <c r="Y45" s="3428"/>
      <c r="Z45" s="3179">
        <f t="shared" si="15"/>
        <v>111</v>
      </c>
      <c r="AA45" s="3180">
        <f t="shared" si="3"/>
        <v>1</v>
      </c>
      <c r="AB45" s="3180">
        <f t="shared" si="4"/>
        <v>1</v>
      </c>
      <c r="AC45" s="3180">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5"/>
      <c r="Q46" s="3178">
        <f t="shared" si="11"/>
        <v>111</v>
      </c>
      <c r="R46" s="1573" t="s">
        <v>10</v>
      </c>
      <c r="S46" s="1574">
        <f t="shared" si="12"/>
        <v>100</v>
      </c>
      <c r="T46" s="1573" t="s">
        <v>10</v>
      </c>
      <c r="U46" s="1574">
        <f t="shared" si="13"/>
        <v>100</v>
      </c>
      <c r="V46" s="1573" t="s">
        <v>10</v>
      </c>
      <c r="W46" s="1574">
        <f t="shared" si="14"/>
        <v>100</v>
      </c>
      <c r="X46" s="3177"/>
      <c r="Y46" s="3505"/>
      <c r="Z46" s="3179">
        <f t="shared" si="15"/>
        <v>111</v>
      </c>
      <c r="AA46" s="3180">
        <f t="shared" si="3"/>
        <v>1</v>
      </c>
      <c r="AB46" s="3180">
        <f t="shared" si="4"/>
        <v>1</v>
      </c>
      <c r="AC46" s="3180">
        <f t="shared" si="5"/>
        <v>1</v>
      </c>
    </row>
    <row r="47" spans="1:29" ht="15">
      <c r="A47" s="607" t="s">
        <v>734</v>
      </c>
      <c r="B47" s="887"/>
      <c r="C47" s="2627" t="s">
        <v>9</v>
      </c>
      <c r="D47" s="2628"/>
      <c r="E47" s="2629">
        <v>22000</v>
      </c>
      <c r="F47" s="2630"/>
      <c r="G47" s="2631">
        <v>21000</v>
      </c>
      <c r="H47" s="2632"/>
      <c r="I47" s="2629">
        <f>ROUND(27000*L47,0)</f>
        <v>24000</v>
      </c>
      <c r="J47" s="2632"/>
      <c r="K47" s="1606"/>
      <c r="L47" s="2144">
        <v>0.88890000000000002</v>
      </c>
      <c r="M47" s="2145"/>
      <c r="N47" s="2134"/>
      <c r="O47" s="2145"/>
      <c r="P47" s="3390" t="str">
        <f>A47</f>
        <v>成交单价（元/平方米）</v>
      </c>
      <c r="Q47" s="3390"/>
      <c r="R47" s="3504">
        <f>E47</f>
        <v>22000</v>
      </c>
      <c r="S47" s="3504"/>
      <c r="T47" s="3504">
        <f>G47</f>
        <v>21000</v>
      </c>
      <c r="U47" s="3504"/>
      <c r="V47" s="3504">
        <f>I47</f>
        <v>24000</v>
      </c>
      <c r="W47" s="3504"/>
      <c r="X47" s="1559"/>
      <c r="Y47" s="1581"/>
      <c r="Z47" s="1559"/>
      <c r="AA47" s="1559"/>
      <c r="AB47" s="1559"/>
      <c r="AC47" s="1559"/>
    </row>
    <row r="48" spans="1:29" ht="15.75" thickBot="1">
      <c r="A48" s="615" t="s">
        <v>2687</v>
      </c>
      <c r="B48" s="888"/>
      <c r="C48" s="2633">
        <f>R49</f>
        <v>22574</v>
      </c>
      <c r="D48" s="2634"/>
      <c r="E48" s="2635">
        <f>R48</f>
        <v>22222</v>
      </c>
      <c r="F48" s="2635"/>
      <c r="G48" s="2633">
        <f>T48</f>
        <v>21234</v>
      </c>
      <c r="H48" s="2634"/>
      <c r="I48" s="2635">
        <f>V48</f>
        <v>24267</v>
      </c>
      <c r="J48" s="2634"/>
      <c r="K48" s="1607"/>
      <c r="L48" s="2144"/>
      <c r="M48" s="2145"/>
      <c r="N48" s="2145"/>
      <c r="O48" s="2145"/>
      <c r="P48" s="3390" t="str">
        <f>A48</f>
        <v>比较价格（元/平方米）</v>
      </c>
      <c r="Q48" s="3390"/>
      <c r="R48" s="3504">
        <f>IF(F1="售价",ROUND(PRODUCT(R47,AA7:AA46),0),ROUND(PRODUCT(R47,AA7:AA46),1))</f>
        <v>22222</v>
      </c>
      <c r="S48" s="3504"/>
      <c r="T48" s="3504">
        <f>IF(F1="售价",ROUND(PRODUCT(T47,AB7:AB46),0),ROUND(PRODUCT(T47,AB7:AB46),1))</f>
        <v>21234</v>
      </c>
      <c r="U48" s="3504"/>
      <c r="V48" s="3504">
        <f>IF(F1="售价",ROUND(PRODUCT(V47,AC7:AC46),0),ROUND(PRODUCT(V47,AC7:AC46),1))</f>
        <v>24267</v>
      </c>
      <c r="W48" s="3504"/>
      <c r="X48" s="1559"/>
      <c r="Y48" s="1559"/>
      <c r="Z48" s="1559"/>
      <c r="AA48" s="1559"/>
      <c r="AB48" s="1559"/>
      <c r="AC48" s="1559"/>
    </row>
    <row r="49" spans="1:29" ht="15.75" thickBot="1">
      <c r="A49" s="621" t="s">
        <v>2922</v>
      </c>
      <c r="B49" s="622"/>
      <c r="C49" s="2636">
        <f>R49</f>
        <v>22574</v>
      </c>
      <c r="D49" s="2636"/>
      <c r="E49" s="2636"/>
      <c r="F49" s="2636"/>
      <c r="G49" s="2636"/>
      <c r="H49" s="2636"/>
      <c r="I49" s="2636"/>
      <c r="J49" s="2636"/>
      <c r="K49" s="1608"/>
      <c r="L49" s="2144"/>
      <c r="M49" s="2145"/>
      <c r="N49" s="2145"/>
      <c r="O49" s="2145"/>
      <c r="P49" s="3387" t="str">
        <f>A49</f>
        <v>估价对象XX用房的比较价格（楼面单价，元/平方米）</v>
      </c>
      <c r="Q49" s="3388"/>
      <c r="R49" s="3503">
        <f>IF(F1="售价",ROUND(AVERAGE(R48:V48),0),ROUND(AVERAGE(R48:V48),1))</f>
        <v>22574</v>
      </c>
      <c r="S49" s="3503"/>
      <c r="T49" s="3503"/>
      <c r="U49" s="3503"/>
      <c r="V49" s="3503"/>
      <c r="W49" s="350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1.009090909090915E-2</v>
      </c>
      <c r="F52" s="627" t="str">
        <f>IF(OR(E52&gt;=0.3,E52&lt;=-0.3),"超过30%","")</f>
        <v/>
      </c>
      <c r="G52" s="626">
        <f>IF(G47&lt;G48,G48/G47-1,G47/G48-1)</f>
        <v>1.1142857142857121E-2</v>
      </c>
      <c r="H52" s="627" t="str">
        <f>IF(OR(G52&gt;=0.3,G52&lt;=-0.3),"超过30%","")</f>
        <v/>
      </c>
      <c r="I52" s="626">
        <f>IF(I47&lt;I48,I48/I47-1,I47/I48-1)</f>
        <v>1.1125000000000052E-2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4.6529151361024867E-2</v>
      </c>
      <c r="F53" s="627" t="str">
        <f>IF(OR(E53&gt;=0.2,E53&lt;=-0.2),"超过20%","")</f>
        <v/>
      </c>
      <c r="G53" s="626">
        <f>IF(G48&lt;I48,I48/G48-1,G48/I48-1)</f>
        <v>0.14283695959310538</v>
      </c>
      <c r="H53" s="627" t="str">
        <f>IF(OR(G53&gt;=0.2,G53&lt;=-0.2),"超过20%","")</f>
        <v/>
      </c>
      <c r="I53" s="626">
        <f>IF(I48&lt;E48,E48/I48-1,I48/E48-1)</f>
        <v>9.2025920259202643E-2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4.7619047619047672E-2</v>
      </c>
      <c r="F54" s="627" t="str">
        <f>IF(OR(E54&gt;=0.3,E54&lt;=-0.3),"超过30%","")</f>
        <v/>
      </c>
      <c r="G54" s="626">
        <f>IF(G47&lt;I47,I47/G47-1,G47/I47-1)</f>
        <v>0.14285714285714279</v>
      </c>
      <c r="H54" s="627" t="str">
        <f>IF(OR(G54&gt;=0.3,G54&lt;=-0.3),"超过30%","")</f>
        <v/>
      </c>
      <c r="I54" s="626">
        <f>IF(I47&lt;E47,E47/I47-1,I47/E47-1)</f>
        <v>9.0909090909090828E-2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527</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99</v>
      </c>
      <c r="F59" s="650">
        <v>99</v>
      </c>
      <c r="G59" s="650">
        <v>99</v>
      </c>
      <c r="H59" s="650">
        <v>98</v>
      </c>
      <c r="I59" s="650">
        <v>98</v>
      </c>
      <c r="J59" s="650">
        <v>98</v>
      </c>
      <c r="K59" s="650">
        <v>97</v>
      </c>
      <c r="L59" s="650">
        <v>97</v>
      </c>
      <c r="M59" s="650">
        <v>97</v>
      </c>
      <c r="N59" s="650">
        <v>96</v>
      </c>
      <c r="O59" s="650">
        <v>96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575</v>
      </c>
      <c r="B63" s="665" t="s">
        <v>532</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5">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2315</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2541</v>
      </c>
      <c r="C82" s="2598" t="s">
        <v>2553</v>
      </c>
      <c r="D82" s="2598" t="s">
        <v>2554</v>
      </c>
      <c r="E82" s="2598" t="s">
        <v>2555</v>
      </c>
      <c r="F82" s="2598" t="s">
        <v>2556</v>
      </c>
      <c r="G82" s="2598" t="s">
        <v>2557</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744</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745</v>
      </c>
      <c r="C100" s="3190" t="s">
        <v>3410</v>
      </c>
      <c r="D100" s="3190" t="s">
        <v>3411</v>
      </c>
      <c r="E100" s="3190" t="s">
        <v>3412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746</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500000(含)-1000000</v>
      </c>
      <c r="I102" s="708" t="str">
        <f t="shared" si="23"/>
        <v>1000000(含)-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v>500000</v>
      </c>
      <c r="I103" s="730">
        <v>1000000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f>C104+1</f>
        <v>101</v>
      </c>
      <c r="E104" s="671">
        <f t="shared" ref="E104:I104" si="24">D104+1</f>
        <v>102</v>
      </c>
      <c r="F104" s="671">
        <f t="shared" si="24"/>
        <v>103</v>
      </c>
      <c r="G104" s="671">
        <f t="shared" si="24"/>
        <v>104</v>
      </c>
      <c r="H104" s="671">
        <f t="shared" si="24"/>
        <v>105</v>
      </c>
      <c r="I104" s="671">
        <f t="shared" si="24"/>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191" t="s">
        <v>3413</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3192" t="s">
        <v>3415</v>
      </c>
      <c r="D107" s="3192" t="s">
        <v>3416</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3191" t="s">
        <v>3418</v>
      </c>
      <c r="D109" s="3191" t="s">
        <v>3419</v>
      </c>
      <c r="E109" s="3191" t="s">
        <v>3420</v>
      </c>
      <c r="F109" s="3192" t="s">
        <v>3422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751</v>
      </c>
      <c r="C114" s="3191" t="s">
        <v>3424</v>
      </c>
      <c r="D114" s="3191" t="s">
        <v>3425</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2550</v>
      </c>
      <c r="C116" s="688" t="s">
        <v>3002</v>
      </c>
      <c r="D116" s="688" t="s">
        <v>3095</v>
      </c>
      <c r="E116" s="688" t="s">
        <v>3082</v>
      </c>
      <c r="F116" s="688" t="s">
        <v>3096</v>
      </c>
      <c r="G116" s="688" t="s">
        <v>3097</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752</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731</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191" t="s">
        <v>3418</v>
      </c>
      <c r="D122" s="3191" t="s">
        <v>3419</v>
      </c>
      <c r="E122" s="3191" t="s">
        <v>3420</v>
      </c>
      <c r="F122" s="3192" t="s">
        <v>3422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37" sqref="C3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0" t="s">
        <v>3429</v>
      </c>
      <c r="E1" s="506"/>
      <c r="F1" s="2807" t="s">
        <v>3407</v>
      </c>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465</v>
      </c>
      <c r="B2" s="850">
        <f>ROUND(B3*D3/10000,0)</f>
        <v>515</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517</v>
      </c>
      <c r="B3" s="510">
        <f>C49</f>
        <v>31912</v>
      </c>
      <c r="C3" s="852" t="s">
        <v>720</v>
      </c>
      <c r="D3" s="851">
        <f>SUMIF('数据-汇总表'!$C19:$C33,D1,'数据-汇总表'!$E19:$E33)</f>
        <v>161.38</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519</v>
      </c>
      <c r="B4" s="513"/>
      <c r="C4" s="3396" t="s">
        <v>520</v>
      </c>
      <c r="D4" s="3397"/>
      <c r="E4" s="3431" t="s">
        <v>521</v>
      </c>
      <c r="F4" s="3432"/>
      <c r="G4" s="3396" t="s">
        <v>522</v>
      </c>
      <c r="H4" s="3397"/>
      <c r="I4" s="3396" t="s">
        <v>523</v>
      </c>
      <c r="J4" s="3397"/>
      <c r="K4" s="514" t="s">
        <v>524</v>
      </c>
      <c r="L4" s="2133"/>
      <c r="M4" s="2134"/>
      <c r="N4" s="2134"/>
      <c r="O4" s="2134"/>
      <c r="P4" s="3398" t="s">
        <v>525</v>
      </c>
      <c r="Q4" s="3399"/>
      <c r="R4" s="3404" t="s">
        <v>521</v>
      </c>
      <c r="S4" s="3405"/>
      <c r="T4" s="3404" t="s">
        <v>522</v>
      </c>
      <c r="U4" s="3405"/>
      <c r="V4" s="3391" t="s">
        <v>523</v>
      </c>
      <c r="W4" s="3391"/>
      <c r="X4" s="1567"/>
      <c r="Y4" s="3404" t="s">
        <v>525</v>
      </c>
      <c r="Z4" s="3405"/>
      <c r="AA4" s="3393" t="s">
        <v>521</v>
      </c>
      <c r="AB4" s="3391" t="s">
        <v>522</v>
      </c>
      <c r="AC4" s="3393" t="s">
        <v>523</v>
      </c>
    </row>
    <row r="5" spans="1:29" ht="15">
      <c r="A5" s="515"/>
      <c r="B5" s="516"/>
      <c r="C5" s="3414" t="s">
        <v>3431</v>
      </c>
      <c r="D5" s="3413"/>
      <c r="E5" s="3506" t="s">
        <v>3431</v>
      </c>
      <c r="F5" s="3434"/>
      <c r="G5" s="3414" t="s">
        <v>3432</v>
      </c>
      <c r="H5" s="3413"/>
      <c r="I5" s="3414" t="s">
        <v>3433</v>
      </c>
      <c r="J5" s="3413"/>
      <c r="K5" s="514"/>
      <c r="L5" s="2133"/>
      <c r="M5" s="2134"/>
      <c r="N5" s="2134"/>
      <c r="O5" s="2134"/>
      <c r="P5" s="3400"/>
      <c r="Q5" s="3401"/>
      <c r="R5" s="3406"/>
      <c r="S5" s="3407"/>
      <c r="T5" s="3406"/>
      <c r="U5" s="3407"/>
      <c r="V5" s="3391"/>
      <c r="W5" s="3391"/>
      <c r="X5" s="1567"/>
      <c r="Y5" s="3406"/>
      <c r="Z5" s="3407"/>
      <c r="AA5" s="3394"/>
      <c r="AB5" s="3391"/>
      <c r="AC5" s="3394"/>
    </row>
    <row r="6" spans="1:29" ht="15.75" thickBot="1">
      <c r="A6" s="517"/>
      <c r="B6" s="518"/>
      <c r="C6" s="3410" t="s">
        <v>2920</v>
      </c>
      <c r="D6" s="3411"/>
      <c r="E6" s="3429" t="s">
        <v>2920</v>
      </c>
      <c r="F6" s="3430"/>
      <c r="G6" s="3410" t="s">
        <v>2920</v>
      </c>
      <c r="H6" s="3411"/>
      <c r="I6" s="3410" t="s">
        <v>2920</v>
      </c>
      <c r="J6" s="3411"/>
      <c r="K6" s="514" t="s">
        <v>526</v>
      </c>
      <c r="L6" s="2133"/>
      <c r="M6" s="2134"/>
      <c r="N6" s="2134"/>
      <c r="O6" s="2134"/>
      <c r="P6" s="3402"/>
      <c r="Q6" s="3403"/>
      <c r="R6" s="3406"/>
      <c r="S6" s="3407"/>
      <c r="T6" s="3408"/>
      <c r="U6" s="3409"/>
      <c r="V6" s="3391"/>
      <c r="W6" s="3391"/>
      <c r="X6" s="1567"/>
      <c r="Y6" s="3408"/>
      <c r="Z6" s="3409"/>
      <c r="AA6" s="3395"/>
      <c r="AB6" s="3391"/>
      <c r="AC6" s="3395"/>
    </row>
    <row r="7" spans="1:29" s="1220" customFormat="1" ht="15.75" thickBot="1">
      <c r="A7" s="2911"/>
      <c r="B7" s="2918" t="s">
        <v>527</v>
      </c>
      <c r="C7" s="519">
        <f>'数据-取费表'!B2</f>
        <v>43325</v>
      </c>
      <c r="D7" s="520">
        <v>100</v>
      </c>
      <c r="E7" s="521">
        <v>43290</v>
      </c>
      <c r="F7" s="522">
        <f>SUMIF(58:58,YEAR(E7)&amp;"-"&amp;MONTH(E7),59:59)</f>
        <v>100</v>
      </c>
      <c r="G7" s="521">
        <v>43107</v>
      </c>
      <c r="H7" s="520">
        <f>SUMIF(58:58,YEAR(G7)&amp;"-"&amp;MONTH(G7),59:59)</f>
        <v>98</v>
      </c>
      <c r="I7" s="521">
        <v>43325</v>
      </c>
      <c r="J7" s="520">
        <f>SUMIF(58:58,YEAR(I7)&amp;"-"&amp;MONTH(I7),59:59)</f>
        <v>100</v>
      </c>
      <c r="K7" s="524"/>
      <c r="L7" s="2135"/>
      <c r="M7" s="2136"/>
      <c r="N7" s="2136"/>
      <c r="O7" s="2136"/>
      <c r="P7" s="3422" t="s">
        <v>528</v>
      </c>
      <c r="Q7" s="3424"/>
      <c r="R7" s="1568" t="s">
        <v>8</v>
      </c>
      <c r="S7" s="1569">
        <f t="shared" ref="S7:S15" si="0">F7</f>
        <v>100</v>
      </c>
      <c r="T7" s="1568" t="s">
        <v>8</v>
      </c>
      <c r="U7" s="1569">
        <f t="shared" ref="U7:U15" si="1">H7</f>
        <v>98</v>
      </c>
      <c r="V7" s="1568" t="s">
        <v>8</v>
      </c>
      <c r="W7" s="1569">
        <f t="shared" ref="W7:W15" si="2">J7</f>
        <v>100</v>
      </c>
      <c r="X7" s="1570"/>
      <c r="Y7" s="3422" t="s">
        <v>528</v>
      </c>
      <c r="Z7" s="3423"/>
      <c r="AA7" s="1571">
        <f>D7/F7</f>
        <v>1</v>
      </c>
      <c r="AB7" s="1571">
        <f>D7/H7</f>
        <v>1.0204081632653061</v>
      </c>
      <c r="AC7" s="1571">
        <f>D7/J7</f>
        <v>1</v>
      </c>
    </row>
    <row r="8" spans="1:29" s="1220" customFormat="1" ht="15.75" thickBot="1">
      <c r="A8" s="2912"/>
      <c r="B8" s="2919" t="s">
        <v>529</v>
      </c>
      <c r="C8" s="525" t="s">
        <v>3434</v>
      </c>
      <c r="D8" s="520">
        <v>100</v>
      </c>
      <c r="E8" s="525" t="s">
        <v>3434</v>
      </c>
      <c r="F8" s="522">
        <f>SUMIF(61:61,E8,62:62)-SUMIF(61:61,C8,62:62)+100</f>
        <v>100</v>
      </c>
      <c r="G8" s="525" t="s">
        <v>3434</v>
      </c>
      <c r="H8" s="520">
        <f>SUMIF(61:61,G8,62:62)-SUMIF(61:61,C8,62:62)+100</f>
        <v>100</v>
      </c>
      <c r="I8" s="525" t="s">
        <v>3434</v>
      </c>
      <c r="J8" s="520">
        <f>SUMIF(61:61,I8,62:62)-SUMIF(61:61,C8,62:62)+100</f>
        <v>100</v>
      </c>
      <c r="K8" s="524"/>
      <c r="L8" s="2135"/>
      <c r="M8" s="2136"/>
      <c r="N8" s="2136"/>
      <c r="O8" s="2136"/>
      <c r="P8" s="3422" t="s">
        <v>531</v>
      </c>
      <c r="Q8" s="3423"/>
      <c r="R8" s="1568" t="s">
        <v>8</v>
      </c>
      <c r="S8" s="1569">
        <f t="shared" si="0"/>
        <v>100</v>
      </c>
      <c r="T8" s="1568" t="s">
        <v>8</v>
      </c>
      <c r="U8" s="1569">
        <f t="shared" si="1"/>
        <v>100</v>
      </c>
      <c r="V8" s="1568" t="s">
        <v>8</v>
      </c>
      <c r="W8" s="1569">
        <f t="shared" si="2"/>
        <v>100</v>
      </c>
      <c r="X8" s="1570"/>
      <c r="Y8" s="3422" t="s">
        <v>531</v>
      </c>
      <c r="Z8" s="3423"/>
      <c r="AA8" s="1571">
        <f t="shared" ref="AA8:AA46" si="3">D8/F8</f>
        <v>1</v>
      </c>
      <c r="AB8" s="1571">
        <f t="shared" ref="AB8:AB46" si="4">D8/H8</f>
        <v>1</v>
      </c>
      <c r="AC8" s="1571">
        <f t="shared" ref="AC8:AC46" si="5">D8/J8</f>
        <v>1</v>
      </c>
    </row>
    <row r="9" spans="1:29" s="1220" customFormat="1" ht="15">
      <c r="A9" s="2913"/>
      <c r="B9" s="2920" t="s">
        <v>2750</v>
      </c>
      <c r="C9" s="3203" t="s">
        <v>3435</v>
      </c>
      <c r="D9" s="254">
        <v>100</v>
      </c>
      <c r="E9" s="860" t="s">
        <v>2981</v>
      </c>
      <c r="F9" s="254">
        <f>SUMIF(63:63,E9,64:64)-SUMIF(63:63,C9,64:64)+100</f>
        <v>100</v>
      </c>
      <c r="G9" s="860" t="s">
        <v>2981</v>
      </c>
      <c r="H9" s="254">
        <f>SUMIF(63:63,G9,64:64)-SUMIF(63:63,C9,64:64)+100</f>
        <v>100</v>
      </c>
      <c r="I9" s="860" t="s">
        <v>2981</v>
      </c>
      <c r="J9" s="254">
        <f>SUMIF(63:63,I9,64:64)-SUMIF(63:63,C9,64:64)+100</f>
        <v>100</v>
      </c>
      <c r="K9" s="524"/>
      <c r="L9" s="2135"/>
      <c r="M9" s="2136"/>
      <c r="N9" s="2136"/>
      <c r="O9" s="2137"/>
      <c r="P9" s="3390" t="s">
        <v>533</v>
      </c>
      <c r="Q9" s="1151" t="str">
        <f t="shared" ref="Q9:Q15" si="6">B9</f>
        <v>用途</v>
      </c>
      <c r="R9" s="1568" t="s">
        <v>8</v>
      </c>
      <c r="S9" s="1569">
        <f t="shared" si="0"/>
        <v>100</v>
      </c>
      <c r="T9" s="1568" t="s">
        <v>8</v>
      </c>
      <c r="U9" s="1569">
        <f t="shared" si="1"/>
        <v>100</v>
      </c>
      <c r="V9" s="1568" t="s">
        <v>8</v>
      </c>
      <c r="W9" s="1569">
        <f t="shared" si="2"/>
        <v>100</v>
      </c>
      <c r="X9" s="1570"/>
      <c r="Y9" s="3336" t="s">
        <v>534</v>
      </c>
      <c r="Z9" s="1150" t="str">
        <f t="shared" ref="Z9:Z15" si="7">Q9</f>
        <v>用途</v>
      </c>
      <c r="AA9" s="1571">
        <f t="shared" si="3"/>
        <v>1</v>
      </c>
      <c r="AB9" s="1571">
        <f t="shared" si="4"/>
        <v>1</v>
      </c>
      <c r="AC9" s="1571">
        <f t="shared" si="5"/>
        <v>1</v>
      </c>
    </row>
    <row r="10" spans="1:29" s="1338" customFormat="1" ht="27.75" thickBot="1">
      <c r="A10" s="2914"/>
      <c r="B10" s="2919" t="s">
        <v>2751</v>
      </c>
      <c r="C10" s="861" t="s">
        <v>3436</v>
      </c>
      <c r="D10" s="255">
        <v>100</v>
      </c>
      <c r="E10" s="861" t="s">
        <v>3436</v>
      </c>
      <c r="F10" s="255">
        <f>SUMIF(65:65,E10,66:66)-SUMIF(65:65,C10,66:66)+100</f>
        <v>100</v>
      </c>
      <c r="G10" s="862" t="s">
        <v>3444</v>
      </c>
      <c r="H10" s="255">
        <f>SUMIF(65:65,G10,66:66)-SUMIF(65:65,C10,66:66)+100</f>
        <v>102</v>
      </c>
      <c r="I10" s="862" t="s">
        <v>3444</v>
      </c>
      <c r="J10" s="255">
        <f>SUMIF(65:65,I10,66:66)-SUMIF(65:65,C10,66:66)+100</f>
        <v>102</v>
      </c>
      <c r="K10" s="584">
        <f>'[1]不动产比较法-商业'!K10</f>
        <v>2</v>
      </c>
      <c r="L10" s="2138"/>
      <c r="M10" s="2178"/>
      <c r="N10" s="2178"/>
      <c r="O10" s="2139"/>
      <c r="P10" s="3390"/>
      <c r="Q10" s="1151" t="str">
        <f t="shared" si="6"/>
        <v>土地使用年限（年）</v>
      </c>
      <c r="R10" s="1568" t="s">
        <v>8</v>
      </c>
      <c r="S10" s="1569">
        <f t="shared" si="0"/>
        <v>100</v>
      </c>
      <c r="T10" s="1568" t="s">
        <v>8</v>
      </c>
      <c r="U10" s="1569">
        <f t="shared" si="1"/>
        <v>102</v>
      </c>
      <c r="V10" s="1568" t="s">
        <v>8</v>
      </c>
      <c r="W10" s="1569">
        <f t="shared" si="2"/>
        <v>102</v>
      </c>
      <c r="X10" s="1570"/>
      <c r="Y10" s="3336"/>
      <c r="Z10" s="1150" t="str">
        <f t="shared" si="7"/>
        <v>土地使用年限（年）</v>
      </c>
      <c r="AA10" s="1571">
        <f t="shared" si="3"/>
        <v>1</v>
      </c>
      <c r="AB10" s="1571">
        <f t="shared" si="4"/>
        <v>0.98039215686274506</v>
      </c>
      <c r="AC10" s="1571">
        <f t="shared" si="5"/>
        <v>0.98039215686274506</v>
      </c>
    </row>
    <row r="11" spans="1:29" ht="15" hidden="1">
      <c r="A11" s="2915"/>
      <c r="B11" s="2919" t="s">
        <v>2752</v>
      </c>
      <c r="C11" s="533">
        <v>0</v>
      </c>
      <c r="D11" s="255">
        <v>100</v>
      </c>
      <c r="E11" s="533">
        <v>0</v>
      </c>
      <c r="F11" s="255">
        <f>LOOKUP(E11,68:68,69:69)-LOOKUP(C11,68:68,69:69)+100</f>
        <v>100</v>
      </c>
      <c r="G11" s="534">
        <v>0</v>
      </c>
      <c r="H11" s="255">
        <f>LOOKUP(G11,68:68,69:69)-LOOKUP(C11,68:68,69:69)+100</f>
        <v>100</v>
      </c>
      <c r="I11" s="533">
        <v>0</v>
      </c>
      <c r="J11" s="255">
        <f>LOOKUP(I11,68:68,69:69)-LOOKUP(C11,68:68,69:69)+100</f>
        <v>100</v>
      </c>
      <c r="K11" s="584"/>
      <c r="L11" s="2140"/>
      <c r="M11" s="2134"/>
      <c r="N11" s="2134"/>
      <c r="O11" s="2141"/>
      <c r="P11" s="3390"/>
      <c r="Q11" s="1151" t="str">
        <f t="shared" si="6"/>
        <v>容积率</v>
      </c>
      <c r="R11" s="1568" t="s">
        <v>8</v>
      </c>
      <c r="S11" s="1569">
        <f t="shared" si="0"/>
        <v>100</v>
      </c>
      <c r="T11" s="1568" t="s">
        <v>8</v>
      </c>
      <c r="U11" s="1569">
        <f t="shared" si="1"/>
        <v>100</v>
      </c>
      <c r="V11" s="1568" t="s">
        <v>8</v>
      </c>
      <c r="W11" s="1569">
        <f t="shared" si="2"/>
        <v>100</v>
      </c>
      <c r="X11" s="1570"/>
      <c r="Y11" s="3336"/>
      <c r="Z11" s="1150" t="str">
        <f t="shared" si="7"/>
        <v>容积率</v>
      </c>
      <c r="AA11" s="1571">
        <f t="shared" si="3"/>
        <v>1</v>
      </c>
      <c r="AB11" s="1571">
        <f t="shared" si="4"/>
        <v>1</v>
      </c>
      <c r="AC11" s="1571">
        <f t="shared" si="5"/>
        <v>1</v>
      </c>
    </row>
    <row r="12" spans="1:29" s="1220" customFormat="1" ht="15" hidden="1">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0"/>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hidden="1">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0"/>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hidden="1"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0"/>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15">
      <c r="A15" s="2909" t="s">
        <v>2748</v>
      </c>
      <c r="B15" s="166" t="s">
        <v>539</v>
      </c>
      <c r="C15" s="867" t="str">
        <f>估价对象房地状况!C4</f>
        <v>一般</v>
      </c>
      <c r="D15" s="549">
        <v>100</v>
      </c>
      <c r="E15" s="550"/>
      <c r="F15" s="551">
        <f>SUMIF(76:76,E16,77:77)-SUMIF(76:76,C16,77:77)+100</f>
        <v>100</v>
      </c>
      <c r="G15" s="552"/>
      <c r="H15" s="549">
        <f>SUMIF(76:76,G16,77:77)-SUMIF(76:76,C16,77:77)+100</f>
        <v>102</v>
      </c>
      <c r="I15" s="550"/>
      <c r="J15" s="549">
        <f>SUMIF(76:76,I16,77:77)-SUMIF(76:76,C16,77:77)+100</f>
        <v>102</v>
      </c>
      <c r="K15" s="584">
        <f>'[1]不动产比较法-商业'!K15</f>
        <v>2</v>
      </c>
      <c r="L15" s="2142"/>
      <c r="M15" s="2134"/>
      <c r="N15" s="2134"/>
      <c r="O15" s="2141"/>
      <c r="P15" s="3425" t="s">
        <v>538</v>
      </c>
      <c r="Q15" s="1572" t="str">
        <f t="shared" si="6"/>
        <v>商业繁华度</v>
      </c>
      <c r="R15" s="1573" t="s">
        <v>8</v>
      </c>
      <c r="S15" s="1574">
        <f t="shared" si="0"/>
        <v>100</v>
      </c>
      <c r="T15" s="1573" t="s">
        <v>8</v>
      </c>
      <c r="U15" s="1574">
        <f t="shared" si="1"/>
        <v>102</v>
      </c>
      <c r="V15" s="1573" t="s">
        <v>8</v>
      </c>
      <c r="W15" s="1574">
        <f t="shared" si="2"/>
        <v>102</v>
      </c>
      <c r="X15" s="1567"/>
      <c r="Y15" s="3425" t="s">
        <v>538</v>
      </c>
      <c r="Z15" s="1575" t="str">
        <f t="shared" si="7"/>
        <v>商业繁华度</v>
      </c>
      <c r="AA15" s="1576">
        <f t="shared" si="3"/>
        <v>1</v>
      </c>
      <c r="AB15" s="1576">
        <f t="shared" si="4"/>
        <v>0.98039215686274506</v>
      </c>
      <c r="AC15" s="1576">
        <f t="shared" si="5"/>
        <v>0.98039215686274506</v>
      </c>
    </row>
    <row r="16" spans="1:29" ht="15">
      <c r="A16" s="532"/>
      <c r="B16" s="869"/>
      <c r="C16" s="576" t="s">
        <v>2999</v>
      </c>
      <c r="D16" s="555"/>
      <c r="E16" s="576" t="s">
        <v>2999</v>
      </c>
      <c r="F16" s="557"/>
      <c r="G16" s="576" t="s">
        <v>2997</v>
      </c>
      <c r="H16" s="559"/>
      <c r="I16" s="576" t="s">
        <v>2997</v>
      </c>
      <c r="J16" s="555"/>
      <c r="K16" s="899"/>
      <c r="L16" s="2142"/>
      <c r="M16" s="2134"/>
      <c r="N16" s="2134"/>
      <c r="O16" s="2141"/>
      <c r="P16" s="3426"/>
      <c r="Q16" s="1572"/>
      <c r="R16" s="1573"/>
      <c r="S16" s="1574"/>
      <c r="T16" s="1573"/>
      <c r="U16" s="1574"/>
      <c r="V16" s="1573"/>
      <c r="W16" s="1574"/>
      <c r="X16" s="1567"/>
      <c r="Y16" s="3426"/>
      <c r="Z16" s="1575"/>
      <c r="AA16" s="1576">
        <v>1</v>
      </c>
      <c r="AB16" s="1576">
        <v>1</v>
      </c>
      <c r="AC16" s="1576">
        <v>1</v>
      </c>
    </row>
    <row r="17" spans="1:29" ht="15">
      <c r="A17" s="532"/>
      <c r="B17" s="871" t="s">
        <v>294</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584">
        <f>'[1]不动产比较法-商业'!K17</f>
        <v>2</v>
      </c>
      <c r="L17" s="2142"/>
      <c r="M17" s="2134"/>
      <c r="N17" s="2134"/>
      <c r="O17" s="2141"/>
      <c r="P17" s="3426"/>
      <c r="Q17" s="1572" t="str">
        <f>B17</f>
        <v>交通便捷度</v>
      </c>
      <c r="R17" s="1573" t="s">
        <v>8</v>
      </c>
      <c r="S17" s="1574">
        <f>F17</f>
        <v>100</v>
      </c>
      <c r="T17" s="1573" t="s">
        <v>8</v>
      </c>
      <c r="U17" s="1574">
        <f>H17</f>
        <v>100</v>
      </c>
      <c r="V17" s="1573" t="s">
        <v>8</v>
      </c>
      <c r="W17" s="1574">
        <f>J17</f>
        <v>100</v>
      </c>
      <c r="X17" s="1567"/>
      <c r="Y17" s="3426"/>
      <c r="Z17" s="1575" t="str">
        <f>Q17</f>
        <v>交通便捷度</v>
      </c>
      <c r="AA17" s="1576">
        <f t="shared" si="3"/>
        <v>1</v>
      </c>
      <c r="AB17" s="1576">
        <f t="shared" si="4"/>
        <v>1</v>
      </c>
      <c r="AC17" s="1576">
        <f t="shared" si="5"/>
        <v>1</v>
      </c>
    </row>
    <row r="18" spans="1:29" ht="15">
      <c r="A18" s="532"/>
      <c r="B18" s="595"/>
      <c r="C18" s="873" t="s">
        <v>2997</v>
      </c>
      <c r="D18" s="559"/>
      <c r="E18" s="873" t="s">
        <v>2997</v>
      </c>
      <c r="F18" s="563"/>
      <c r="G18" s="873" t="s">
        <v>2997</v>
      </c>
      <c r="H18" s="555"/>
      <c r="I18" s="873" t="s">
        <v>2997</v>
      </c>
      <c r="J18" s="555"/>
      <c r="K18" s="899"/>
      <c r="L18" s="2142"/>
      <c r="M18" s="2134"/>
      <c r="N18" s="2134"/>
      <c r="O18" s="2141"/>
      <c r="P18" s="3426"/>
      <c r="Q18" s="1572"/>
      <c r="R18" s="1573"/>
      <c r="S18" s="1574"/>
      <c r="T18" s="1573"/>
      <c r="U18" s="1574"/>
      <c r="V18" s="1573"/>
      <c r="W18" s="1574"/>
      <c r="X18" s="1567"/>
      <c r="Y18" s="3426"/>
      <c r="Z18" s="1575"/>
      <c r="AA18" s="1576">
        <v>1</v>
      </c>
      <c r="AB18" s="1576">
        <v>1</v>
      </c>
      <c r="AC18" s="1576">
        <v>1</v>
      </c>
    </row>
    <row r="19" spans="1:29" ht="15">
      <c r="A19" s="532"/>
      <c r="B19" s="2600" t="s">
        <v>2540</v>
      </c>
      <c r="C19" s="872" t="str">
        <f>估价对象房地状况!C7</f>
        <v>一般</v>
      </c>
      <c r="D19" s="565">
        <v>100</v>
      </c>
      <c r="E19" s="570"/>
      <c r="F19" s="571">
        <f>SUMIF(80:80,E20,81:81)-SUMIF(80:80,C20,81:81)+100</f>
        <v>100</v>
      </c>
      <c r="G19" s="572"/>
      <c r="H19" s="559">
        <f>SUMIF(80:80,G20,81:81)-SUMIF(80:80,C20,81:81)+100</f>
        <v>102</v>
      </c>
      <c r="I19" s="570"/>
      <c r="J19" s="559">
        <f>SUMIF(80:80,I20,81:81)-SUMIF(80:80,C20,81:81)+100</f>
        <v>102</v>
      </c>
      <c r="K19" s="584">
        <f>'[1]不动产比较法-商业'!K19</f>
        <v>2</v>
      </c>
      <c r="L19" s="2142"/>
      <c r="M19" s="2134"/>
      <c r="N19" s="2134"/>
      <c r="O19" s="2141"/>
      <c r="P19" s="3426"/>
      <c r="Q19" s="1572" t="str">
        <f>B19</f>
        <v>公共配套设施</v>
      </c>
      <c r="R19" s="1573" t="s">
        <v>8</v>
      </c>
      <c r="S19" s="1574">
        <f>F19</f>
        <v>100</v>
      </c>
      <c r="T19" s="1573" t="s">
        <v>8</v>
      </c>
      <c r="U19" s="1574">
        <f>H19</f>
        <v>102</v>
      </c>
      <c r="V19" s="1573" t="s">
        <v>8</v>
      </c>
      <c r="W19" s="1574">
        <f>J19</f>
        <v>102</v>
      </c>
      <c r="X19" s="1567"/>
      <c r="Y19" s="3426"/>
      <c r="Z19" s="1575" t="str">
        <f>Q19</f>
        <v>公共配套设施</v>
      </c>
      <c r="AA19" s="1576">
        <f t="shared" si="3"/>
        <v>1</v>
      </c>
      <c r="AB19" s="1576">
        <f t="shared" si="4"/>
        <v>0.98039215686274506</v>
      </c>
      <c r="AC19" s="1576">
        <f t="shared" si="5"/>
        <v>0.98039215686274506</v>
      </c>
    </row>
    <row r="20" spans="1:29" ht="15">
      <c r="A20" s="532"/>
      <c r="B20" s="595"/>
      <c r="C20" s="576" t="s">
        <v>2999</v>
      </c>
      <c r="D20" s="555"/>
      <c r="E20" s="576" t="s">
        <v>2999</v>
      </c>
      <c r="F20" s="557"/>
      <c r="G20" s="576" t="s">
        <v>2997</v>
      </c>
      <c r="H20" s="555"/>
      <c r="I20" s="576" t="s">
        <v>2997</v>
      </c>
      <c r="J20" s="555"/>
      <c r="K20" s="899"/>
      <c r="L20" s="2142"/>
      <c r="M20" s="2134"/>
      <c r="N20" s="2134"/>
      <c r="O20" s="2141"/>
      <c r="P20" s="3426"/>
      <c r="Q20" s="1572"/>
      <c r="R20" s="1573"/>
      <c r="S20" s="1574"/>
      <c r="T20" s="1573"/>
      <c r="U20" s="1574"/>
      <c r="V20" s="1573"/>
      <c r="W20" s="1574"/>
      <c r="X20" s="1567"/>
      <c r="Y20" s="3426"/>
      <c r="Z20" s="1575"/>
      <c r="AA20" s="1576">
        <v>1</v>
      </c>
      <c r="AB20" s="1576">
        <v>1</v>
      </c>
      <c r="AC20" s="1576">
        <v>1</v>
      </c>
    </row>
    <row r="21" spans="1:29" ht="15">
      <c r="A21" s="532"/>
      <c r="B21" s="2593" t="s">
        <v>2552</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584">
        <f>'[1]不动产比较法-商业'!K21</f>
        <v>1</v>
      </c>
      <c r="L21" s="2142"/>
      <c r="M21" s="2134"/>
      <c r="N21" s="2134"/>
      <c r="O21" s="2141"/>
      <c r="P21" s="3426"/>
      <c r="Q21" s="2579" t="str">
        <f>B21</f>
        <v>基础设施水平</v>
      </c>
      <c r="R21" s="1573" t="s">
        <v>8</v>
      </c>
      <c r="S21" s="1574">
        <f>F21</f>
        <v>100</v>
      </c>
      <c r="T21" s="1573" t="s">
        <v>8</v>
      </c>
      <c r="U21" s="1574">
        <f>H21</f>
        <v>100</v>
      </c>
      <c r="V21" s="1573" t="s">
        <v>8</v>
      </c>
      <c r="W21" s="1574">
        <f>J21</f>
        <v>100</v>
      </c>
      <c r="X21" s="2581"/>
      <c r="Y21" s="3426"/>
      <c r="Z21" s="2580" t="str">
        <f>Q21</f>
        <v>基础设施水平</v>
      </c>
      <c r="AA21" s="1576">
        <f t="shared" ref="AA21" si="8">D21/F21</f>
        <v>1</v>
      </c>
      <c r="AB21" s="1576">
        <f t="shared" ref="AB21" si="9">D21/H21</f>
        <v>1</v>
      </c>
      <c r="AC21" s="1576">
        <f t="shared" ref="AC21" si="10">D21/J21</f>
        <v>1</v>
      </c>
    </row>
    <row r="22" spans="1:29" ht="15">
      <c r="A22" s="532"/>
      <c r="B22" s="922"/>
      <c r="C22" s="873" t="s">
        <v>3002</v>
      </c>
      <c r="D22" s="555"/>
      <c r="E22" s="873" t="s">
        <v>3002</v>
      </c>
      <c r="F22" s="557"/>
      <c r="G22" s="873" t="s">
        <v>3002</v>
      </c>
      <c r="H22" s="555"/>
      <c r="I22" s="873" t="s">
        <v>3002</v>
      </c>
      <c r="J22" s="555"/>
      <c r="K22" s="2602"/>
      <c r="L22" s="2142"/>
      <c r="M22" s="2134"/>
      <c r="N22" s="2134"/>
      <c r="O22" s="2141"/>
      <c r="P22" s="3426"/>
      <c r="Q22" s="2579"/>
      <c r="R22" s="1573"/>
      <c r="S22" s="1574"/>
      <c r="T22" s="1573"/>
      <c r="U22" s="1574"/>
      <c r="V22" s="1573"/>
      <c r="W22" s="1574"/>
      <c r="X22" s="2581"/>
      <c r="Y22" s="3426"/>
      <c r="Z22" s="2580"/>
      <c r="AA22" s="1576">
        <v>1</v>
      </c>
      <c r="AB22" s="1576">
        <v>1</v>
      </c>
      <c r="AC22" s="1576">
        <v>1</v>
      </c>
    </row>
    <row r="23" spans="1:29" ht="15">
      <c r="A23" s="532"/>
      <c r="B23" s="871" t="s">
        <v>295</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584">
        <f>'[1]不动产比较法-商业'!K23</f>
        <v>2</v>
      </c>
      <c r="L23" s="2142"/>
      <c r="M23" s="2134"/>
      <c r="N23" s="2134"/>
      <c r="O23" s="2141"/>
      <c r="P23" s="3426"/>
      <c r="Q23" s="1572" t="str">
        <f>B23</f>
        <v>自然及人文环境</v>
      </c>
      <c r="R23" s="1573" t="s">
        <v>8</v>
      </c>
      <c r="S23" s="1574">
        <f>F23</f>
        <v>100</v>
      </c>
      <c r="T23" s="1573" t="s">
        <v>8</v>
      </c>
      <c r="U23" s="1574">
        <f>H23</f>
        <v>100</v>
      </c>
      <c r="V23" s="1573" t="s">
        <v>8</v>
      </c>
      <c r="W23" s="1574">
        <f>J23</f>
        <v>100</v>
      </c>
      <c r="X23" s="1567"/>
      <c r="Y23" s="3426"/>
      <c r="Z23" s="1575" t="str">
        <f>Q23</f>
        <v>自然及人文环境</v>
      </c>
      <c r="AA23" s="1576">
        <f t="shared" si="3"/>
        <v>1</v>
      </c>
      <c r="AB23" s="1576">
        <f t="shared" si="4"/>
        <v>1</v>
      </c>
      <c r="AC23" s="1576">
        <f t="shared" si="5"/>
        <v>1</v>
      </c>
    </row>
    <row r="24" spans="1:29" ht="15">
      <c r="A24" s="532"/>
      <c r="B24" s="595"/>
      <c r="C24" s="576" t="s">
        <v>2997</v>
      </c>
      <c r="D24" s="555"/>
      <c r="E24" s="576" t="s">
        <v>2997</v>
      </c>
      <c r="F24" s="557"/>
      <c r="G24" s="576" t="s">
        <v>2997</v>
      </c>
      <c r="H24" s="555"/>
      <c r="I24" s="576" t="s">
        <v>2997</v>
      </c>
      <c r="J24" s="555"/>
      <c r="K24" s="899"/>
      <c r="L24" s="2142"/>
      <c r="M24" s="2134"/>
      <c r="N24" s="2134"/>
      <c r="O24" s="2141"/>
      <c r="P24" s="3426"/>
      <c r="Q24" s="1572"/>
      <c r="R24" s="1573"/>
      <c r="S24" s="1574"/>
      <c r="T24" s="1573"/>
      <c r="U24" s="1574"/>
      <c r="V24" s="1573"/>
      <c r="W24" s="1574"/>
      <c r="X24" s="1567"/>
      <c r="Y24" s="3426"/>
      <c r="Z24" s="1575"/>
      <c r="AA24" s="1576">
        <v>1</v>
      </c>
      <c r="AB24" s="1576">
        <v>1</v>
      </c>
      <c r="AC24" s="1576">
        <v>1</v>
      </c>
    </row>
    <row r="25" spans="1:29" ht="15">
      <c r="A25" s="532"/>
      <c r="B25" s="527" t="s">
        <v>545</v>
      </c>
      <c r="C25" s="583" t="s">
        <v>3437</v>
      </c>
      <c r="D25" s="540">
        <v>100</v>
      </c>
      <c r="E25" s="583" t="s">
        <v>3437</v>
      </c>
      <c r="F25" s="575">
        <f>SUMIF(86:86,E25,87:87)-SUMIF(86:86,C25,87:87)+100</f>
        <v>100</v>
      </c>
      <c r="G25" s="583" t="s">
        <v>3437</v>
      </c>
      <c r="H25" s="540">
        <f>SUMIF(86:86,G25,87:87)-SUMIF(86:86,C25,87:87)+100</f>
        <v>100</v>
      </c>
      <c r="I25" s="583" t="s">
        <v>3437</v>
      </c>
      <c r="J25" s="540">
        <f>SUMIF(86:86,I25,87:87)-SUMIF(86:86,C25,87:87)+100</f>
        <v>100</v>
      </c>
      <c r="K25" s="584">
        <f>'[1]不动产比较法-商业'!K25</f>
        <v>2</v>
      </c>
      <c r="L25" s="2142"/>
      <c r="M25" s="2134"/>
      <c r="N25" s="2134"/>
      <c r="O25" s="2141"/>
      <c r="P25" s="3426"/>
      <c r="Q25" s="1572" t="str">
        <f t="shared" ref="Q25:Q46" si="11">B25</f>
        <v>临街状况</v>
      </c>
      <c r="R25" s="1573" t="s">
        <v>8</v>
      </c>
      <c r="S25" s="1574">
        <f>F25</f>
        <v>100</v>
      </c>
      <c r="T25" s="1573" t="s">
        <v>8</v>
      </c>
      <c r="U25" s="1574">
        <f>H25</f>
        <v>100</v>
      </c>
      <c r="V25" s="1573" t="s">
        <v>8</v>
      </c>
      <c r="W25" s="1574">
        <f>J25</f>
        <v>100</v>
      </c>
      <c r="X25" s="1567"/>
      <c r="Y25" s="3426"/>
      <c r="Z25" s="1575" t="str">
        <f>Q25</f>
        <v>临街状况</v>
      </c>
      <c r="AA25" s="1576">
        <f t="shared" si="3"/>
        <v>1</v>
      </c>
      <c r="AB25" s="1576">
        <f t="shared" si="4"/>
        <v>1</v>
      </c>
      <c r="AC25" s="1576">
        <f t="shared" si="5"/>
        <v>1</v>
      </c>
    </row>
    <row r="26" spans="1:29" ht="15">
      <c r="A26" s="532"/>
      <c r="B26" s="877" t="s">
        <v>756</v>
      </c>
      <c r="C26" s="3209" t="s">
        <v>3438</v>
      </c>
      <c r="D26" s="540">
        <v>100</v>
      </c>
      <c r="E26" s="3209" t="s">
        <v>3441</v>
      </c>
      <c r="F26" s="575">
        <f>SUMIF(88:88,E26,89:89)-SUMIF(88:88,C26,89:89)+100</f>
        <v>100</v>
      </c>
      <c r="G26" s="3209" t="s">
        <v>3441</v>
      </c>
      <c r="H26" s="540">
        <f>SUMIF(88:88,G26,89:89)-SUMIF(88:88,C26,89:89)+100</f>
        <v>100</v>
      </c>
      <c r="I26" s="3209" t="s">
        <v>3441</v>
      </c>
      <c r="J26" s="540">
        <f>SUMIF(88:88,I26,89:89)-SUMIF(88:88,C26,89:89)+100</f>
        <v>100</v>
      </c>
      <c r="K26" s="581"/>
      <c r="L26" s="2142"/>
      <c r="M26" s="2134"/>
      <c r="N26" s="2134"/>
      <c r="O26" s="2141"/>
      <c r="P26" s="3426"/>
      <c r="Q26" s="1572" t="str">
        <f t="shared" si="11"/>
        <v>平面位置/可视性</v>
      </c>
      <c r="R26" s="1573" t="s">
        <v>8</v>
      </c>
      <c r="S26" s="1574">
        <f>F26</f>
        <v>100</v>
      </c>
      <c r="T26" s="1573" t="s">
        <v>8</v>
      </c>
      <c r="U26" s="1574">
        <f>H26</f>
        <v>100</v>
      </c>
      <c r="V26" s="1573" t="s">
        <v>8</v>
      </c>
      <c r="W26" s="1574">
        <f>J26</f>
        <v>100</v>
      </c>
      <c r="X26" s="1567"/>
      <c r="Y26" s="3426"/>
      <c r="Z26" s="1575" t="str">
        <f>Q26</f>
        <v>平面位置/可视性</v>
      </c>
      <c r="AA26" s="1576">
        <f t="shared" si="3"/>
        <v>1</v>
      </c>
      <c r="AB26" s="1576">
        <f t="shared" si="4"/>
        <v>1</v>
      </c>
      <c r="AC26" s="1576">
        <f t="shared" si="5"/>
        <v>1</v>
      </c>
    </row>
    <row r="27" spans="1:29" s="1220" customFormat="1" ht="15">
      <c r="A27" s="536"/>
      <c r="B27" s="871" t="s">
        <v>757</v>
      </c>
      <c r="C27" s="901" t="s">
        <v>2999</v>
      </c>
      <c r="D27" s="875">
        <v>100</v>
      </c>
      <c r="E27" s="901" t="s">
        <v>2999</v>
      </c>
      <c r="F27" s="876">
        <f>SUMIF(90:90,E27,91:91)-SUMIF(90:90,C27,91:91)+100</f>
        <v>100</v>
      </c>
      <c r="G27" s="901" t="s">
        <v>3445</v>
      </c>
      <c r="H27" s="875">
        <f>SUMIF(90:90,G27,91:91)-SUMIF(90:90,C27,91:91)+100</f>
        <v>105</v>
      </c>
      <c r="I27" s="901" t="s">
        <v>3445</v>
      </c>
      <c r="J27" s="875">
        <f>SUMIF(90:90,I27,91:91)-SUMIF(90:90,C27,91:91)+100</f>
        <v>105</v>
      </c>
      <c r="K27" s="584">
        <f>'[1]不动产比较法-商业'!K27</f>
        <v>5</v>
      </c>
      <c r="L27" s="2135"/>
      <c r="M27" s="2136"/>
      <c r="N27" s="2136"/>
      <c r="O27" s="2137"/>
      <c r="P27" s="3426"/>
      <c r="Q27" s="1151" t="str">
        <f t="shared" si="11"/>
        <v>人流量</v>
      </c>
      <c r="R27" s="1568" t="s">
        <v>8</v>
      </c>
      <c r="S27" s="1569">
        <f>F27</f>
        <v>100</v>
      </c>
      <c r="T27" s="1568" t="s">
        <v>8</v>
      </c>
      <c r="U27" s="1569">
        <f>H27</f>
        <v>105</v>
      </c>
      <c r="V27" s="1568" t="s">
        <v>8</v>
      </c>
      <c r="W27" s="1569">
        <f>J27</f>
        <v>105</v>
      </c>
      <c r="X27" s="1570"/>
      <c r="Y27" s="3426"/>
      <c r="Z27" s="1150" t="str">
        <f>Q27</f>
        <v>人流量</v>
      </c>
      <c r="AA27" s="1576">
        <f>D27/F27</f>
        <v>1</v>
      </c>
      <c r="AB27" s="1576">
        <f>D27/H27</f>
        <v>0.95238095238095233</v>
      </c>
      <c r="AC27" s="1576">
        <f>D27/J27</f>
        <v>0.95238095238095233</v>
      </c>
    </row>
    <row r="28" spans="1:29" ht="15.75" thickBot="1">
      <c r="A28" s="532"/>
      <c r="B28" s="527" t="s">
        <v>759</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2"/>
      <c r="M28" s="2134"/>
      <c r="N28" s="2134"/>
      <c r="O28" s="2141"/>
      <c r="P28" s="342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6"/>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6"/>
      <c r="Q29" s="1572">
        <f t="shared" si="11"/>
        <v>111</v>
      </c>
      <c r="R29" s="1573" t="s">
        <v>8</v>
      </c>
      <c r="S29" s="1574">
        <f t="shared" si="12"/>
        <v>100</v>
      </c>
      <c r="T29" s="1573" t="s">
        <v>8</v>
      </c>
      <c r="U29" s="1574">
        <f t="shared" si="13"/>
        <v>100</v>
      </c>
      <c r="V29" s="1573" t="s">
        <v>8</v>
      </c>
      <c r="W29" s="1574">
        <f t="shared" si="14"/>
        <v>100</v>
      </c>
      <c r="X29" s="1567"/>
      <c r="Y29" s="342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6"/>
      <c r="Q30" s="1572">
        <f t="shared" si="11"/>
        <v>111</v>
      </c>
      <c r="R30" s="1573" t="s">
        <v>8</v>
      </c>
      <c r="S30" s="1574">
        <f t="shared" si="12"/>
        <v>100</v>
      </c>
      <c r="T30" s="1573" t="s">
        <v>8</v>
      </c>
      <c r="U30" s="1574">
        <f t="shared" si="13"/>
        <v>100</v>
      </c>
      <c r="V30" s="1573" t="s">
        <v>8</v>
      </c>
      <c r="W30" s="1574">
        <f t="shared" si="14"/>
        <v>100</v>
      </c>
      <c r="X30" s="1567"/>
      <c r="Y30" s="3426"/>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6"/>
      <c r="Q31" s="1572">
        <f t="shared" si="11"/>
        <v>111</v>
      </c>
      <c r="R31" s="1573" t="s">
        <v>8</v>
      </c>
      <c r="S31" s="1574">
        <f t="shared" si="12"/>
        <v>100</v>
      </c>
      <c r="T31" s="1573" t="s">
        <v>8</v>
      </c>
      <c r="U31" s="1574">
        <f t="shared" si="13"/>
        <v>100</v>
      </c>
      <c r="V31" s="1573" t="s">
        <v>8</v>
      </c>
      <c r="W31" s="1574">
        <f t="shared" si="14"/>
        <v>100</v>
      </c>
      <c r="X31" s="1567"/>
      <c r="Y31" s="3426"/>
      <c r="Z31" s="1575">
        <f t="shared" si="15"/>
        <v>111</v>
      </c>
      <c r="AA31" s="1576">
        <f t="shared" si="3"/>
        <v>1</v>
      </c>
      <c r="AB31" s="1576">
        <f t="shared" si="4"/>
        <v>1</v>
      </c>
      <c r="AC31" s="1576">
        <f t="shared" si="5"/>
        <v>1</v>
      </c>
    </row>
    <row r="32" spans="1:29" ht="15">
      <c r="A32" s="2907" t="s">
        <v>2749</v>
      </c>
      <c r="B32" s="172" t="s">
        <v>760</v>
      </c>
      <c r="C32" s="878" t="s">
        <v>3442</v>
      </c>
      <c r="D32" s="597">
        <v>100</v>
      </c>
      <c r="E32" s="878" t="s">
        <v>3442</v>
      </c>
      <c r="F32" s="575">
        <f>SUMIF(100:100,E32,101:101)-SUMIF(100:100,C32,101:101)+100</f>
        <v>100</v>
      </c>
      <c r="G32" s="878" t="s">
        <v>3442</v>
      </c>
      <c r="H32" s="540">
        <f>SUMIF(100:100,G32,101:101)-SUMIF(100:100,C32,101:101)+100</f>
        <v>100</v>
      </c>
      <c r="I32" s="878" t="s">
        <v>3442</v>
      </c>
      <c r="J32" s="597">
        <f>SUMIF(100:100,I32,101:101)-SUMIF(100:100,C32,101:101)+100</f>
        <v>100</v>
      </c>
      <c r="K32" s="584">
        <f>'[1]不动产比较法-商业'!K32</f>
        <v>2</v>
      </c>
      <c r="L32" s="2142"/>
      <c r="M32" s="2134"/>
      <c r="N32" s="2134"/>
      <c r="O32" s="2141"/>
      <c r="P32" s="3427" t="s">
        <v>548</v>
      </c>
      <c r="Q32" s="1572" t="str">
        <f t="shared" si="11"/>
        <v>商业类型</v>
      </c>
      <c r="R32" s="1573" t="s">
        <v>8</v>
      </c>
      <c r="S32" s="1574">
        <f t="shared" si="12"/>
        <v>100</v>
      </c>
      <c r="T32" s="1573" t="s">
        <v>8</v>
      </c>
      <c r="U32" s="1574">
        <f t="shared" si="13"/>
        <v>100</v>
      </c>
      <c r="V32" s="1573" t="s">
        <v>8</v>
      </c>
      <c r="W32" s="1574">
        <f t="shared" si="14"/>
        <v>100</v>
      </c>
      <c r="X32" s="1567"/>
      <c r="Y32" s="3428" t="s">
        <v>548</v>
      </c>
      <c r="Z32" s="1575" t="str">
        <f t="shared" si="15"/>
        <v>商业类型</v>
      </c>
      <c r="AA32" s="1576">
        <f t="shared" si="3"/>
        <v>1</v>
      </c>
      <c r="AB32" s="1576">
        <f t="shared" si="4"/>
        <v>1</v>
      </c>
      <c r="AC32" s="1576">
        <f t="shared" si="5"/>
        <v>1</v>
      </c>
    </row>
    <row r="33" spans="1:29" s="1339" customFormat="1" ht="15">
      <c r="A33" s="603"/>
      <c r="B33" s="527" t="s">
        <v>724</v>
      </c>
      <c r="C33" s="880">
        <v>0</v>
      </c>
      <c r="D33" s="255">
        <v>100</v>
      </c>
      <c r="E33" s="534">
        <v>0</v>
      </c>
      <c r="F33" s="863">
        <f>LOOKUP(E33,103:103,104:104)-LOOKUP(C33,103:103,104:104)+100</f>
        <v>100</v>
      </c>
      <c r="G33" s="533">
        <v>0</v>
      </c>
      <c r="H33" s="255">
        <f>LOOKUP(G33,103:103,104:104)-LOOKUP(C33,103:103,104:104)+100</f>
        <v>100</v>
      </c>
      <c r="I33" s="533">
        <v>0</v>
      </c>
      <c r="J33" s="255">
        <f>LOOKUP(I33,103:103,104:104)-LOOKUP(C33,103:103,104:104)+100</f>
        <v>100</v>
      </c>
      <c r="K33" s="581"/>
      <c r="L33" s="2140"/>
      <c r="M33" s="2171"/>
      <c r="N33" s="2171"/>
      <c r="O33" s="2143"/>
      <c r="P33" s="3428"/>
      <c r="Q33" s="1605" t="str">
        <f t="shared" si="11"/>
        <v>项目建筑规模</v>
      </c>
      <c r="R33" s="1577" t="s">
        <v>8</v>
      </c>
      <c r="S33" s="1578">
        <f t="shared" si="12"/>
        <v>100</v>
      </c>
      <c r="T33" s="1577" t="s">
        <v>8</v>
      </c>
      <c r="U33" s="1578">
        <f t="shared" si="13"/>
        <v>100</v>
      </c>
      <c r="V33" s="1577" t="s">
        <v>8</v>
      </c>
      <c r="W33" s="1578">
        <f t="shared" si="14"/>
        <v>100</v>
      </c>
      <c r="X33" s="1579"/>
      <c r="Y33" s="3428"/>
      <c r="Z33" s="1580" t="str">
        <f t="shared" si="15"/>
        <v>项目建筑规模</v>
      </c>
      <c r="AA33" s="1576">
        <f t="shared" si="3"/>
        <v>1</v>
      </c>
      <c r="AB33" s="1576">
        <f t="shared" si="4"/>
        <v>1</v>
      </c>
      <c r="AC33" s="1576">
        <f t="shared" si="5"/>
        <v>1</v>
      </c>
    </row>
    <row r="34" spans="1:29" ht="15">
      <c r="A34" s="594"/>
      <c r="B34" s="527" t="s">
        <v>725</v>
      </c>
      <c r="C34" s="881" t="s">
        <v>3104</v>
      </c>
      <c r="D34" s="540">
        <v>100</v>
      </c>
      <c r="E34" s="881" t="s">
        <v>3104</v>
      </c>
      <c r="F34" s="575">
        <f>SUMIF(105:105,E34,106:106)-SUMIF(105:105,C34,106:106)+100</f>
        <v>100</v>
      </c>
      <c r="G34" s="881" t="s">
        <v>3104</v>
      </c>
      <c r="H34" s="540">
        <f>SUMIF(105:105,G34,106:106)-SUMIF(105:105,C34,106:106)+100</f>
        <v>100</v>
      </c>
      <c r="I34" s="881" t="s">
        <v>3104</v>
      </c>
      <c r="J34" s="540">
        <f>SUMIF(105:105,I34,106:106)-SUMIF(105:105,C34,106:106)+100</f>
        <v>100</v>
      </c>
      <c r="K34" s="584">
        <f>'[1]不动产比较法-商业'!K34</f>
        <v>2</v>
      </c>
      <c r="L34" s="2142"/>
      <c r="M34" s="2134"/>
      <c r="N34" s="2134"/>
      <c r="O34" s="2141"/>
      <c r="P34" s="3428"/>
      <c r="Q34" s="1572" t="str">
        <f t="shared" si="11"/>
        <v>建筑结构</v>
      </c>
      <c r="R34" s="1573" t="s">
        <v>8</v>
      </c>
      <c r="S34" s="1574">
        <f t="shared" si="12"/>
        <v>100</v>
      </c>
      <c r="T34" s="1573" t="s">
        <v>8</v>
      </c>
      <c r="U34" s="1574">
        <f t="shared" si="13"/>
        <v>100</v>
      </c>
      <c r="V34" s="1573" t="s">
        <v>8</v>
      </c>
      <c r="W34" s="1574">
        <f t="shared" si="14"/>
        <v>100</v>
      </c>
      <c r="X34" s="1567"/>
      <c r="Y34" s="3428"/>
      <c r="Z34" s="1575" t="str">
        <f t="shared" si="15"/>
        <v>建筑结构</v>
      </c>
      <c r="AA34" s="1576">
        <f t="shared" si="3"/>
        <v>1</v>
      </c>
      <c r="AB34" s="1576">
        <f t="shared" si="4"/>
        <v>1</v>
      </c>
      <c r="AC34" s="1576">
        <f t="shared" si="5"/>
        <v>1</v>
      </c>
    </row>
    <row r="35" spans="1:29" ht="15">
      <c r="A35" s="594"/>
      <c r="B35" s="527" t="s">
        <v>761</v>
      </c>
      <c r="C35" s="599" t="s">
        <v>3417</v>
      </c>
      <c r="D35" s="540">
        <v>100</v>
      </c>
      <c r="E35" s="599" t="s">
        <v>3417</v>
      </c>
      <c r="F35" s="575">
        <f>SUMIF(107:107,E35,108:108)-SUMIF(107:107,C35,108:108)+100</f>
        <v>100</v>
      </c>
      <c r="G35" s="599" t="s">
        <v>3417</v>
      </c>
      <c r="H35" s="540">
        <f>SUMIF(107:107,G35,108:108)-SUMIF(107:107,C35,108:108)+100</f>
        <v>100</v>
      </c>
      <c r="I35" s="599" t="s">
        <v>3417</v>
      </c>
      <c r="J35" s="540">
        <f>SUMIF(107:107,I35,108:108)-SUMIF(107:107,C35,108:108)+100</f>
        <v>100</v>
      </c>
      <c r="K35" s="584">
        <f>'[1]不动产比较法-商业'!K35</f>
        <v>2</v>
      </c>
      <c r="L35" s="2142"/>
      <c r="M35" s="2134"/>
      <c r="N35" s="2134"/>
      <c r="O35" s="2141"/>
      <c r="P35" s="3428"/>
      <c r="Q35" s="1572" t="str">
        <f t="shared" si="11"/>
        <v>公共部分装修</v>
      </c>
      <c r="R35" s="1573" t="s">
        <v>8</v>
      </c>
      <c r="S35" s="1574">
        <f t="shared" si="12"/>
        <v>100</v>
      </c>
      <c r="T35" s="1573" t="s">
        <v>8</v>
      </c>
      <c r="U35" s="1574">
        <f t="shared" si="13"/>
        <v>100</v>
      </c>
      <c r="V35" s="1573" t="s">
        <v>8</v>
      </c>
      <c r="W35" s="1574">
        <f t="shared" si="14"/>
        <v>100</v>
      </c>
      <c r="X35" s="1567"/>
      <c r="Y35" s="3428"/>
      <c r="Z35" s="1575" t="str">
        <f t="shared" si="15"/>
        <v>公共部分装修</v>
      </c>
      <c r="AA35" s="1576">
        <f t="shared" si="3"/>
        <v>1</v>
      </c>
      <c r="AB35" s="1576">
        <f t="shared" si="4"/>
        <v>1</v>
      </c>
      <c r="AC35" s="1576">
        <f t="shared" si="5"/>
        <v>1</v>
      </c>
    </row>
    <row r="36" spans="1:29" ht="15">
      <c r="A36" s="594"/>
      <c r="B36" s="527" t="s">
        <v>762</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f>'[1]不动产比较法-商业'!K36</f>
        <v>2</v>
      </c>
      <c r="L36" s="2142"/>
      <c r="M36" s="2134"/>
      <c r="N36" s="2134"/>
      <c r="O36" s="2141"/>
      <c r="P36" s="3428"/>
      <c r="Q36" s="1572" t="str">
        <f t="shared" si="11"/>
        <v>成新度</v>
      </c>
      <c r="R36" s="1573" t="s">
        <v>8</v>
      </c>
      <c r="S36" s="1574">
        <f t="shared" si="12"/>
        <v>100</v>
      </c>
      <c r="T36" s="1573" t="s">
        <v>8</v>
      </c>
      <c r="U36" s="1574">
        <f t="shared" si="13"/>
        <v>100</v>
      </c>
      <c r="V36" s="1573" t="s">
        <v>8</v>
      </c>
      <c r="W36" s="1574">
        <f t="shared" si="14"/>
        <v>100</v>
      </c>
      <c r="X36" s="1567"/>
      <c r="Y36" s="3428"/>
      <c r="Z36" s="1575" t="str">
        <f t="shared" si="15"/>
        <v>成新度</v>
      </c>
      <c r="AA36" s="1576">
        <f t="shared" si="3"/>
        <v>1</v>
      </c>
      <c r="AB36" s="1576">
        <f t="shared" si="4"/>
        <v>1</v>
      </c>
      <c r="AC36" s="1576">
        <f t="shared" si="5"/>
        <v>1</v>
      </c>
    </row>
    <row r="37" spans="1:29" s="1220" customFormat="1" ht="15">
      <c r="A37" s="600"/>
      <c r="B37" s="1895" t="s">
        <v>2559</v>
      </c>
      <c r="C37" s="599" t="s">
        <v>3082</v>
      </c>
      <c r="D37" s="255">
        <v>100</v>
      </c>
      <c r="E37" s="599" t="s">
        <v>3082</v>
      </c>
      <c r="F37" s="575">
        <f>SUMIF(112:112,E37,113:113)-SUMIF(112:112,C37,113:113)+100</f>
        <v>100</v>
      </c>
      <c r="G37" s="599" t="s">
        <v>3082</v>
      </c>
      <c r="H37" s="540">
        <f>SUMIF(112:112,G37,113:113)-SUMIF(112:112,C37,113:113)+100</f>
        <v>100</v>
      </c>
      <c r="I37" s="599" t="s">
        <v>3082</v>
      </c>
      <c r="J37" s="540">
        <f>SUMIF(112:112,I37,113:113)-SUMIF(112:112,C37,113:113)+100</f>
        <v>100</v>
      </c>
      <c r="K37" s="584">
        <f>'[1]不动产比较法-商业'!K37</f>
        <v>1</v>
      </c>
      <c r="L37" s="2135"/>
      <c r="M37" s="2136"/>
      <c r="N37" s="2136"/>
      <c r="O37" s="2137"/>
      <c r="P37" s="3428"/>
      <c r="Q37" s="1151" t="str">
        <f t="shared" si="11"/>
        <v>市政基础设施</v>
      </c>
      <c r="R37" s="1568" t="s">
        <v>8</v>
      </c>
      <c r="S37" s="1569">
        <f t="shared" si="12"/>
        <v>100</v>
      </c>
      <c r="T37" s="1568" t="s">
        <v>8</v>
      </c>
      <c r="U37" s="1569">
        <f t="shared" si="13"/>
        <v>100</v>
      </c>
      <c r="V37" s="1568" t="s">
        <v>8</v>
      </c>
      <c r="W37" s="1569">
        <f t="shared" si="14"/>
        <v>100</v>
      </c>
      <c r="X37" s="1570"/>
      <c r="Y37" s="3428"/>
      <c r="Z37" s="1150" t="str">
        <f t="shared" si="15"/>
        <v>市政基础设施</v>
      </c>
      <c r="AA37" s="1571">
        <f t="shared" si="3"/>
        <v>1</v>
      </c>
      <c r="AB37" s="1571">
        <f t="shared" si="4"/>
        <v>1</v>
      </c>
      <c r="AC37" s="1571">
        <f t="shared" si="5"/>
        <v>1</v>
      </c>
    </row>
    <row r="38" spans="1:29" ht="15">
      <c r="A38" s="594"/>
      <c r="B38" s="527" t="s">
        <v>763</v>
      </c>
      <c r="C38" s="599" t="s">
        <v>3443</v>
      </c>
      <c r="D38" s="540">
        <v>100</v>
      </c>
      <c r="E38" s="599" t="s">
        <v>3443</v>
      </c>
      <c r="F38" s="575">
        <f>SUMIF(114:114,E38,115:115)-SUMIF(114:114,C38,115:115)+100</f>
        <v>100</v>
      </c>
      <c r="G38" s="599" t="s">
        <v>3443</v>
      </c>
      <c r="H38" s="540">
        <f>SUMIF(114:114,G38,115:115)-SUMIF(114:114,C38,115:115)+100</f>
        <v>100</v>
      </c>
      <c r="I38" s="599" t="s">
        <v>3443</v>
      </c>
      <c r="J38" s="540">
        <f>SUMIF(114:114,I38,115:115)-SUMIF(114:114,C38,115:115)+100</f>
        <v>100</v>
      </c>
      <c r="K38" s="584">
        <f>'[1]不动产比较法-商业'!K38</f>
        <v>2</v>
      </c>
      <c r="L38" s="2142"/>
      <c r="M38" s="2134"/>
      <c r="N38" s="2134"/>
      <c r="O38" s="2141"/>
      <c r="P38" s="3428" t="s">
        <v>764</v>
      </c>
      <c r="Q38" s="1572" t="str">
        <f t="shared" si="11"/>
        <v>业态</v>
      </c>
      <c r="R38" s="1573" t="s">
        <v>8</v>
      </c>
      <c r="S38" s="1574">
        <f t="shared" si="12"/>
        <v>100</v>
      </c>
      <c r="T38" s="1573" t="s">
        <v>8</v>
      </c>
      <c r="U38" s="1574">
        <f t="shared" si="13"/>
        <v>100</v>
      </c>
      <c r="V38" s="1573" t="s">
        <v>8</v>
      </c>
      <c r="W38" s="1574">
        <f t="shared" si="14"/>
        <v>100</v>
      </c>
      <c r="X38" s="1567"/>
      <c r="Y38" s="3428" t="s">
        <v>764</v>
      </c>
      <c r="Z38" s="1575" t="str">
        <f t="shared" si="15"/>
        <v>业态</v>
      </c>
      <c r="AA38" s="1576">
        <f t="shared" si="3"/>
        <v>1</v>
      </c>
      <c r="AB38" s="1576">
        <f t="shared" si="4"/>
        <v>1</v>
      </c>
      <c r="AC38" s="1576">
        <f t="shared" si="5"/>
        <v>1</v>
      </c>
    </row>
    <row r="39" spans="1:29" ht="15">
      <c r="A39" s="594"/>
      <c r="B39" s="527" t="s">
        <v>765</v>
      </c>
      <c r="C39" s="599" t="s">
        <v>3439</v>
      </c>
      <c r="D39" s="540">
        <v>100</v>
      </c>
      <c r="E39" s="599" t="s">
        <v>3439</v>
      </c>
      <c r="F39" s="575">
        <f>SUMIF(116:116,E39,117:117)-SUMIF(116:116,C39,117:117)+100</f>
        <v>100</v>
      </c>
      <c r="G39" s="599" t="s">
        <v>3439</v>
      </c>
      <c r="H39" s="540">
        <f>SUMIF(116:116,G39,117:117)-SUMIF(116:116,C39,117:117)+100</f>
        <v>100</v>
      </c>
      <c r="I39" s="599" t="s">
        <v>3439</v>
      </c>
      <c r="J39" s="540">
        <f>SUMIF(116:116,I39,117:117)-SUMIF(116:116,C39,117:117)+100</f>
        <v>100</v>
      </c>
      <c r="K39" s="584">
        <f>'[1]不动产比较法-商业'!K39</f>
        <v>2</v>
      </c>
      <c r="L39" s="2142"/>
      <c r="M39" s="2134"/>
      <c r="N39" s="2134"/>
      <c r="O39" s="2141"/>
      <c r="P39" s="3428"/>
      <c r="Q39" s="1572" t="str">
        <f t="shared" si="11"/>
        <v>层高</v>
      </c>
      <c r="R39" s="1573" t="s">
        <v>8</v>
      </c>
      <c r="S39" s="1574">
        <f t="shared" si="12"/>
        <v>100</v>
      </c>
      <c r="T39" s="1573" t="s">
        <v>8</v>
      </c>
      <c r="U39" s="1574">
        <f t="shared" si="13"/>
        <v>100</v>
      </c>
      <c r="V39" s="1573" t="s">
        <v>8</v>
      </c>
      <c r="W39" s="1574">
        <f t="shared" si="14"/>
        <v>100</v>
      </c>
      <c r="X39" s="1567"/>
      <c r="Y39" s="3428"/>
      <c r="Z39" s="1575" t="str">
        <f t="shared" si="15"/>
        <v>层高</v>
      </c>
      <c r="AA39" s="1576">
        <f t="shared" si="3"/>
        <v>1</v>
      </c>
      <c r="AB39" s="1576">
        <f t="shared" si="4"/>
        <v>1</v>
      </c>
      <c r="AC39" s="1576">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8"/>
      <c r="Q40" s="1572" t="str">
        <f t="shared" si="11"/>
        <v>单套建筑面积</v>
      </c>
      <c r="R40" s="1573" t="s">
        <v>8</v>
      </c>
      <c r="S40" s="1574">
        <f t="shared" si="12"/>
        <v>100</v>
      </c>
      <c r="T40" s="1573" t="s">
        <v>8</v>
      </c>
      <c r="U40" s="1574">
        <f t="shared" si="13"/>
        <v>100</v>
      </c>
      <c r="V40" s="1573" t="s">
        <v>8</v>
      </c>
      <c r="W40" s="1574">
        <f t="shared" si="14"/>
        <v>100</v>
      </c>
      <c r="X40" s="1567"/>
      <c r="Y40" s="3428"/>
      <c r="Z40" s="1575" t="str">
        <f t="shared" si="15"/>
        <v>单套建筑面积</v>
      </c>
      <c r="AA40" s="1576">
        <f t="shared" si="3"/>
        <v>1</v>
      </c>
      <c r="AB40" s="1576">
        <f t="shared" si="4"/>
        <v>1</v>
      </c>
      <c r="AC40" s="1576">
        <f t="shared" si="5"/>
        <v>1</v>
      </c>
    </row>
    <row r="41" spans="1:29" s="1339" customFormat="1" ht="15">
      <c r="A41" s="603"/>
      <c r="B41" s="904" t="s">
        <v>767</v>
      </c>
      <c r="C41" s="583" t="s">
        <v>3440</v>
      </c>
      <c r="D41" s="540">
        <v>100</v>
      </c>
      <c r="E41" s="583" t="s">
        <v>3440</v>
      </c>
      <c r="F41" s="575">
        <f>SUMIF(120:120,E41,121:121)-SUMIF(120:120,C41,121:121)+100</f>
        <v>100</v>
      </c>
      <c r="G41" s="583" t="s">
        <v>3440</v>
      </c>
      <c r="H41" s="540">
        <f>SUMIF(120:120,G41,121:121)-SUMIF(120:120,C41,121:121)+100</f>
        <v>100</v>
      </c>
      <c r="I41" s="583" t="s">
        <v>3440</v>
      </c>
      <c r="J41" s="540">
        <f>SUMIF(120:120,I41,121:121)-SUMIF(120:120,C41,121:121)+100</f>
        <v>100</v>
      </c>
      <c r="K41" s="584">
        <f>'[1]不动产比较法-商业'!K41</f>
        <v>2</v>
      </c>
      <c r="L41" s="2140"/>
      <c r="M41" s="2171"/>
      <c r="N41" s="2171"/>
      <c r="O41" s="2143"/>
      <c r="P41" s="3428"/>
      <c r="Q41" s="1605" t="str">
        <f t="shared" si="11"/>
        <v>进深比</v>
      </c>
      <c r="R41" s="1577" t="s">
        <v>8</v>
      </c>
      <c r="S41" s="1578">
        <f t="shared" si="12"/>
        <v>100</v>
      </c>
      <c r="T41" s="1577" t="s">
        <v>8</v>
      </c>
      <c r="U41" s="1578">
        <f t="shared" si="13"/>
        <v>100</v>
      </c>
      <c r="V41" s="1577" t="s">
        <v>8</v>
      </c>
      <c r="W41" s="1578">
        <f t="shared" si="14"/>
        <v>100</v>
      </c>
      <c r="X41" s="1579"/>
      <c r="Y41" s="3428"/>
      <c r="Z41" s="1580" t="str">
        <f t="shared" si="15"/>
        <v>进深比</v>
      </c>
      <c r="AA41" s="1576">
        <f t="shared" si="3"/>
        <v>1</v>
      </c>
      <c r="AB41" s="1576">
        <f t="shared" si="4"/>
        <v>1</v>
      </c>
      <c r="AC41" s="1576">
        <f t="shared" si="5"/>
        <v>1</v>
      </c>
    </row>
    <row r="42" spans="1:29" ht="15">
      <c r="A42" s="594"/>
      <c r="B42" s="527" t="s">
        <v>768</v>
      </c>
      <c r="C42" s="599" t="s">
        <v>3421</v>
      </c>
      <c r="D42" s="540">
        <v>100</v>
      </c>
      <c r="E42" s="599" t="s">
        <v>3421</v>
      </c>
      <c r="F42" s="575">
        <f>SUMIF(122:122,E42,123:123)-SUMIF(122:122,C42,123:123)+100</f>
        <v>100</v>
      </c>
      <c r="G42" s="599" t="s">
        <v>3421</v>
      </c>
      <c r="H42" s="540">
        <f>SUMIF(122:122,G42,123:123)-SUMIF(122:122,C42,123:123)+100</f>
        <v>100</v>
      </c>
      <c r="I42" s="599" t="s">
        <v>3421</v>
      </c>
      <c r="J42" s="540">
        <f>SUMIF(122:122,I42,123:123)-SUMIF(122:122,C42,123:123)+100</f>
        <v>100</v>
      </c>
      <c r="K42" s="584">
        <f>'[1]不动产比较法-商业'!K42</f>
        <v>1</v>
      </c>
      <c r="L42" s="2142"/>
      <c r="M42" s="2134"/>
      <c r="N42" s="2134"/>
      <c r="O42" s="2141"/>
      <c r="P42" s="3428"/>
      <c r="Q42" s="1572" t="str">
        <f t="shared" si="11"/>
        <v>内部装修</v>
      </c>
      <c r="R42" s="1573" t="s">
        <v>8</v>
      </c>
      <c r="S42" s="1574">
        <f t="shared" si="12"/>
        <v>100</v>
      </c>
      <c r="T42" s="1573" t="s">
        <v>8</v>
      </c>
      <c r="U42" s="1574">
        <f t="shared" si="13"/>
        <v>100</v>
      </c>
      <c r="V42" s="1573" t="s">
        <v>8</v>
      </c>
      <c r="W42" s="1574">
        <f t="shared" si="14"/>
        <v>100</v>
      </c>
      <c r="X42" s="1567"/>
      <c r="Y42" s="3428"/>
      <c r="Z42" s="1575" t="str">
        <f t="shared" si="15"/>
        <v>内部装修</v>
      </c>
      <c r="AA42" s="1576">
        <f t="shared" si="3"/>
        <v>1</v>
      </c>
      <c r="AB42" s="1576">
        <f t="shared" si="4"/>
        <v>1</v>
      </c>
      <c r="AC42" s="1576">
        <f t="shared" si="5"/>
        <v>1</v>
      </c>
    </row>
    <row r="43" spans="1:29" ht="27.75" thickBot="1">
      <c r="A43" s="594"/>
      <c r="B43" s="527" t="s">
        <v>733</v>
      </c>
      <c r="C43" s="599" t="s">
        <v>2997</v>
      </c>
      <c r="D43" s="540">
        <v>100</v>
      </c>
      <c r="E43" s="599" t="s">
        <v>2997</v>
      </c>
      <c r="F43" s="575">
        <f>SUMIF(124:124,E43,125:125)-SUMIF(124:124,C43,125:125)+100</f>
        <v>100</v>
      </c>
      <c r="G43" s="599" t="s">
        <v>2997</v>
      </c>
      <c r="H43" s="540">
        <f>SUMIF(124:124,G43,125:125)-SUMIF(124:124,C43,125:125)+100</f>
        <v>100</v>
      </c>
      <c r="I43" s="599" t="s">
        <v>2997</v>
      </c>
      <c r="J43" s="540">
        <f>SUMIF(124:124,I43,125:125)-SUMIF(124:124,C43,125:125)+100</f>
        <v>100</v>
      </c>
      <c r="K43" s="584">
        <f>'[1]不动产比较法-商业'!K43</f>
        <v>2</v>
      </c>
      <c r="L43" s="2142"/>
      <c r="M43" s="2134"/>
      <c r="N43" s="2134"/>
      <c r="O43" s="2141"/>
      <c r="P43" s="3428"/>
      <c r="Q43" s="1572" t="str">
        <f t="shared" si="11"/>
        <v>内部装修维护情况</v>
      </c>
      <c r="R43" s="1573" t="s">
        <v>8</v>
      </c>
      <c r="S43" s="1574">
        <f t="shared" si="12"/>
        <v>100</v>
      </c>
      <c r="T43" s="1573" t="s">
        <v>8</v>
      </c>
      <c r="U43" s="1574">
        <f t="shared" si="13"/>
        <v>100</v>
      </c>
      <c r="V43" s="1573" t="s">
        <v>8</v>
      </c>
      <c r="W43" s="1574">
        <f t="shared" si="14"/>
        <v>100</v>
      </c>
      <c r="X43" s="1567"/>
      <c r="Y43" s="3428"/>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8"/>
      <c r="Q44" s="1151">
        <f t="shared" si="11"/>
        <v>111</v>
      </c>
      <c r="R44" s="1568" t="s">
        <v>8</v>
      </c>
      <c r="S44" s="1569">
        <f t="shared" si="12"/>
        <v>100</v>
      </c>
      <c r="T44" s="1568" t="s">
        <v>8</v>
      </c>
      <c r="U44" s="1569">
        <f t="shared" si="13"/>
        <v>100</v>
      </c>
      <c r="V44" s="1568" t="s">
        <v>8</v>
      </c>
      <c r="W44" s="1569">
        <f t="shared" si="14"/>
        <v>100</v>
      </c>
      <c r="X44" s="1570"/>
      <c r="Y44" s="3428"/>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8"/>
      <c r="Q45" s="1572">
        <f t="shared" si="11"/>
        <v>111</v>
      </c>
      <c r="R45" s="1573" t="s">
        <v>8</v>
      </c>
      <c r="S45" s="1574">
        <f t="shared" si="12"/>
        <v>100</v>
      </c>
      <c r="T45" s="1573" t="s">
        <v>8</v>
      </c>
      <c r="U45" s="1574">
        <f t="shared" si="13"/>
        <v>100</v>
      </c>
      <c r="V45" s="1573" t="s">
        <v>8</v>
      </c>
      <c r="W45" s="1574">
        <f t="shared" si="14"/>
        <v>100</v>
      </c>
      <c r="X45" s="1567"/>
      <c r="Y45" s="3428"/>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5"/>
      <c r="Q46" s="1572">
        <f t="shared" si="11"/>
        <v>111</v>
      </c>
      <c r="R46" s="1573" t="s">
        <v>8</v>
      </c>
      <c r="S46" s="1574">
        <f t="shared" si="12"/>
        <v>100</v>
      </c>
      <c r="T46" s="1573" t="s">
        <v>8</v>
      </c>
      <c r="U46" s="1574">
        <f t="shared" si="13"/>
        <v>100</v>
      </c>
      <c r="V46" s="1573" t="s">
        <v>8</v>
      </c>
      <c r="W46" s="1574">
        <f t="shared" si="14"/>
        <v>100</v>
      </c>
      <c r="X46" s="1567"/>
      <c r="Y46" s="3505"/>
      <c r="Z46" s="1575">
        <f t="shared" si="15"/>
        <v>111</v>
      </c>
      <c r="AA46" s="1576">
        <f t="shared" si="3"/>
        <v>1</v>
      </c>
      <c r="AB46" s="1576">
        <f t="shared" si="4"/>
        <v>1</v>
      </c>
      <c r="AC46" s="1576">
        <f t="shared" si="5"/>
        <v>1</v>
      </c>
    </row>
    <row r="47" spans="1:29" ht="15">
      <c r="A47" s="607" t="s">
        <v>734</v>
      </c>
      <c r="B47" s="887"/>
      <c r="C47" s="2627" t="s">
        <v>1</v>
      </c>
      <c r="D47" s="2628"/>
      <c r="E47" s="2629">
        <f>ROUND(36000*L47,0)</f>
        <v>32400</v>
      </c>
      <c r="F47" s="2630"/>
      <c r="G47" s="2631">
        <v>33000</v>
      </c>
      <c r="H47" s="2632"/>
      <c r="I47" s="2629">
        <f>ROUND(41000*L47,0)</f>
        <v>36900</v>
      </c>
      <c r="J47" s="2632"/>
      <c r="K47" s="1611"/>
      <c r="L47" s="2144">
        <f>'[1]不动产比较法-商业'!$L$47</f>
        <v>0.9</v>
      </c>
      <c r="M47" s="2145"/>
      <c r="N47" s="2134"/>
      <c r="O47" s="2145"/>
      <c r="P47" s="3390" t="str">
        <f>A47</f>
        <v>成交单价（元/平方米）</v>
      </c>
      <c r="Q47" s="3390"/>
      <c r="R47" s="3504">
        <f>E47</f>
        <v>32400</v>
      </c>
      <c r="S47" s="3504"/>
      <c r="T47" s="3504">
        <f>G47</f>
        <v>33000</v>
      </c>
      <c r="U47" s="3504"/>
      <c r="V47" s="3504">
        <f>I47</f>
        <v>36900</v>
      </c>
      <c r="W47" s="3504"/>
      <c r="X47" s="1559"/>
      <c r="Y47" s="1581"/>
      <c r="Z47" s="1559"/>
      <c r="AA47" s="1559"/>
      <c r="AB47" s="1559"/>
      <c r="AC47" s="1559"/>
    </row>
    <row r="48" spans="1:29" ht="15.75" thickBot="1">
      <c r="A48" s="615" t="s">
        <v>2754</v>
      </c>
      <c r="B48" s="888"/>
      <c r="C48" s="2633">
        <f>R49</f>
        <v>31912</v>
      </c>
      <c r="D48" s="2634"/>
      <c r="E48" s="2635">
        <f>R48</f>
        <v>32400</v>
      </c>
      <c r="F48" s="2635"/>
      <c r="G48" s="2633">
        <f>T48</f>
        <v>30220</v>
      </c>
      <c r="H48" s="2634"/>
      <c r="I48" s="2635">
        <f>V48</f>
        <v>33116</v>
      </c>
      <c r="J48" s="2634"/>
      <c r="K48" s="1612"/>
      <c r="L48" s="2144"/>
      <c r="M48" s="2145"/>
      <c r="N48" s="2134"/>
      <c r="O48" s="2145"/>
      <c r="P48" s="3390" t="str">
        <f>A48</f>
        <v>比较价格（元/平方米）</v>
      </c>
      <c r="Q48" s="3390"/>
      <c r="R48" s="3504">
        <f>IF(F1="售价",ROUND(PRODUCT(R47,AA7:AA46),0),ROUND(PRODUCT(R47,AA7:AA46),1))</f>
        <v>32400</v>
      </c>
      <c r="S48" s="3504"/>
      <c r="T48" s="3504">
        <f>IF(F1="售价",ROUND(PRODUCT(T47,AB7:AB46),0),ROUND(PRODUCT(T47,AB7:AB46),1))</f>
        <v>30220</v>
      </c>
      <c r="U48" s="3504"/>
      <c r="V48" s="3504">
        <f>IF(F1="售价",ROUND(PRODUCT(V47,AC7:AC46),0),ROUND(PRODUCT(V47,AC7:AC46),1))</f>
        <v>33116</v>
      </c>
      <c r="W48" s="3504"/>
      <c r="X48" s="1559"/>
      <c r="Y48" s="1559"/>
      <c r="Z48" s="1559"/>
      <c r="AA48" s="1559"/>
      <c r="AB48" s="1559"/>
      <c r="AC48" s="1559"/>
    </row>
    <row r="49" spans="1:29" ht="15.75" thickBot="1">
      <c r="A49" s="621" t="s">
        <v>2922</v>
      </c>
      <c r="B49" s="622"/>
      <c r="C49" s="2636">
        <f>R49</f>
        <v>31912</v>
      </c>
      <c r="D49" s="2636"/>
      <c r="E49" s="2636"/>
      <c r="F49" s="2636"/>
      <c r="G49" s="2636"/>
      <c r="H49" s="2636"/>
      <c r="I49" s="2636"/>
      <c r="J49" s="2636"/>
      <c r="K49" s="1613"/>
      <c r="L49" s="2144"/>
      <c r="M49" s="2145"/>
      <c r="N49" s="2134"/>
      <c r="O49" s="2145"/>
      <c r="P49" s="3387" t="str">
        <f>A49</f>
        <v>估价对象XX用房的比较价格（楼面单价，元/平方米）</v>
      </c>
      <c r="Q49" s="3388"/>
      <c r="R49" s="3503">
        <f>IF(F1="售价",ROUND(AVERAGE(R48:V48),0),ROUND(AVERAGE(R48:V48),1))</f>
        <v>31912</v>
      </c>
      <c r="S49" s="3503"/>
      <c r="T49" s="3503"/>
      <c r="U49" s="3503"/>
      <c r="V49" s="3503"/>
      <c r="W49" s="350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555</v>
      </c>
      <c r="D52" s="625"/>
      <c r="E52" s="626">
        <f>IF(E47&lt;E48,E48/E47-1,E47/E48-1)</f>
        <v>0</v>
      </c>
      <c r="F52" s="627" t="str">
        <f>IF(OR(E52&gt;=0.3,E52&lt;=-0.3),"超过30%","")</f>
        <v/>
      </c>
      <c r="G52" s="626">
        <f>IF(G47&lt;G48,G48/G47-1,G47/G48-1)</f>
        <v>9.1992058239576346E-2</v>
      </c>
      <c r="H52" s="627" t="str">
        <f>IF(OR(G52&gt;=0.3,G52&lt;=-0.3),"超过30%","")</f>
        <v/>
      </c>
      <c r="I52" s="626">
        <f>IF(I47&lt;I48,I48/I47-1,I47/I48-1)</f>
        <v>0.11426500785118976</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556</v>
      </c>
      <c r="D53" s="628"/>
      <c r="E53" s="626">
        <f>IF(E48&lt;G48,G48/E48-1,E48/G48-1)</f>
        <v>7.2137657180675108E-2</v>
      </c>
      <c r="F53" s="627" t="str">
        <f>IF(OR(E53&gt;=0.2,E53&lt;=-0.2),"超过20%","")</f>
        <v/>
      </c>
      <c r="G53" s="626">
        <f>IF(G48&lt;I48,I48/G48-1,G48/I48-1)</f>
        <v>9.5830575777630767E-2</v>
      </c>
      <c r="H53" s="627" t="str">
        <f>IF(OR(G53&gt;=0.2,G53&lt;=-0.2),"超过20%","")</f>
        <v/>
      </c>
      <c r="I53" s="626">
        <f>IF(I48&lt;E48,E48/I48-1,I48/E48-1)</f>
        <v>2.2098765432098766E-2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557</v>
      </c>
      <c r="D54" s="628"/>
      <c r="E54" s="626">
        <f>IF(E47&lt;G47,G47/E47-1,E47/G47-1)</f>
        <v>1.8518518518518601E-2</v>
      </c>
      <c r="F54" s="627" t="str">
        <f>IF(OR(E54&gt;=0.3,E54&lt;=-0.3),"超过30%","")</f>
        <v/>
      </c>
      <c r="G54" s="626">
        <f>IF(G47&lt;I47,I47/G47-1,G47/I47-1)</f>
        <v>0.11818181818181817</v>
      </c>
      <c r="H54" s="627" t="str">
        <f>IF(OR(G54&gt;=0.3,G54&lt;=-0.3),"超过30%","")</f>
        <v/>
      </c>
      <c r="I54" s="626">
        <f>IF(I47&lt;E47,E47/I47-1,I47/E47-1)</f>
        <v>0.13888888888888884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572</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527</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99</v>
      </c>
      <c r="F59" s="650">
        <v>99</v>
      </c>
      <c r="G59" s="650">
        <v>99</v>
      </c>
      <c r="H59" s="650">
        <v>98</v>
      </c>
      <c r="I59" s="650">
        <v>98</v>
      </c>
      <c r="J59" s="650">
        <v>98</v>
      </c>
      <c r="K59" s="650">
        <v>97</v>
      </c>
      <c r="L59" s="650">
        <v>97</v>
      </c>
      <c r="M59" s="651">
        <v>97</v>
      </c>
      <c r="N59" s="650">
        <v>96</v>
      </c>
      <c r="O59" s="652">
        <v>96</v>
      </c>
      <c r="P59" s="2158"/>
      <c r="Q59" s="1993"/>
      <c r="R59" s="1993"/>
      <c r="S59" s="1993"/>
      <c r="T59" s="1993"/>
      <c r="U59" s="1993"/>
      <c r="V59" s="1993"/>
      <c r="W59" s="1993"/>
      <c r="X59" s="1993"/>
      <c r="Y59" s="1993"/>
      <c r="Z59" s="1993"/>
      <c r="AA59" s="1993"/>
      <c r="AB59" s="1993"/>
      <c r="AC59" s="1993"/>
    </row>
    <row r="60" spans="1:29" s="1220" customFormat="1" ht="15.75" thickBot="1">
      <c r="A60" s="653" t="s">
        <v>573</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529</v>
      </c>
      <c r="B61" s="648"/>
      <c r="C61" s="660" t="s">
        <v>574</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575</v>
      </c>
      <c r="B63" s="665" t="s">
        <v>532</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536</v>
      </c>
      <c r="C67" s="682" t="str">
        <f>C68&amp;"（含）"&amp;"-"&amp;D68</f>
        <v>0（含）-1</v>
      </c>
      <c r="D67" s="682" t="str">
        <f t="shared" ref="D67:L67" si="17">D68&amp;"（含）"&amp;"-"&amp;E68</f>
        <v>1（含）-2</v>
      </c>
      <c r="E67" s="682" t="str">
        <f t="shared" si="17"/>
        <v>2（含）-3</v>
      </c>
      <c r="F67" s="682" t="str">
        <f t="shared" si="17"/>
        <v>3（含）-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537</v>
      </c>
      <c r="B76" s="665" t="s">
        <v>576</v>
      </c>
      <c r="C76" s="703" t="s">
        <v>577</v>
      </c>
      <c r="D76" s="703" t="s">
        <v>578</v>
      </c>
      <c r="E76" s="703" t="s">
        <v>579</v>
      </c>
      <c r="F76" s="703" t="s">
        <v>580</v>
      </c>
      <c r="G76" s="703" t="s">
        <v>581</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584</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2551</v>
      </c>
      <c r="C80" s="708" t="s">
        <v>577</v>
      </c>
      <c r="D80" s="708" t="s">
        <v>578</v>
      </c>
      <c r="E80" s="708" t="s">
        <v>579</v>
      </c>
      <c r="F80" s="708" t="s">
        <v>580</v>
      </c>
      <c r="G80" s="708" t="s">
        <v>581</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2552</v>
      </c>
      <c r="C82" s="2598" t="s">
        <v>2553</v>
      </c>
      <c r="D82" s="2598" t="s">
        <v>2554</v>
      </c>
      <c r="E82" s="2598" t="s">
        <v>2555</v>
      </c>
      <c r="F82" s="2598" t="s">
        <v>2556</v>
      </c>
      <c r="G82" s="2598" t="s">
        <v>2557</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742</v>
      </c>
      <c r="C84" s="708" t="s">
        <v>577</v>
      </c>
      <c r="D84" s="708" t="s">
        <v>578</v>
      </c>
      <c r="E84" s="708" t="s">
        <v>579</v>
      </c>
      <c r="F84" s="708" t="s">
        <v>580</v>
      </c>
      <c r="G84" s="708" t="s">
        <v>581</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769</v>
      </c>
      <c r="C86" s="3191" t="s">
        <v>3446</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3191" t="s">
        <v>3441</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v>100</v>
      </c>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191" t="s">
        <v>3447</v>
      </c>
      <c r="D90" s="3191" t="s">
        <v>3448</v>
      </c>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v>1</v>
      </c>
      <c r="D92" s="688">
        <v>2</v>
      </c>
      <c r="E92" s="688">
        <v>3</v>
      </c>
      <c r="F92" s="688">
        <v>4</v>
      </c>
      <c r="G92" s="3210" t="s">
        <v>3449</v>
      </c>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60</v>
      </c>
      <c r="E93" s="671">
        <v>50</v>
      </c>
      <c r="F93" s="671">
        <v>40</v>
      </c>
      <c r="G93" s="671">
        <f>ROUND((C93+D93+E93+F93)/4,0)</f>
        <v>63</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549</v>
      </c>
      <c r="B100" s="665" t="s">
        <v>770</v>
      </c>
      <c r="C100" s="3190" t="s">
        <v>3450</v>
      </c>
      <c r="D100" s="3190" t="s">
        <v>3451</v>
      </c>
      <c r="E100" s="3190" t="s">
        <v>3452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746</v>
      </c>
      <c r="C102" s="708" t="str">
        <f>C103&amp;"(含)"&amp;"-"&amp;D103</f>
        <v>0(含)-1000</v>
      </c>
      <c r="D102" s="708" t="str">
        <f t="shared" ref="D102:L102" si="22">D103&amp;"(含)"&amp;"-"&amp;E103</f>
        <v>1000(含)-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v>
      </c>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100</v>
      </c>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747</v>
      </c>
      <c r="C105" s="3191" t="s">
        <v>3453</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91" t="s">
        <v>3454</v>
      </c>
      <c r="D107" s="3191" t="s">
        <v>3455</v>
      </c>
      <c r="E107" s="3191" t="s">
        <v>3456</v>
      </c>
      <c r="F107" s="3192" t="s">
        <v>3457</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2550</v>
      </c>
      <c r="C112" s="688" t="s">
        <v>3002</v>
      </c>
      <c r="D112" s="688" t="s">
        <v>3095</v>
      </c>
      <c r="E112" s="688" t="s">
        <v>3082</v>
      </c>
      <c r="F112" s="688" t="s">
        <v>3096</v>
      </c>
      <c r="G112" s="688" t="s">
        <v>3097</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771</v>
      </c>
      <c r="C114" s="3191" t="s">
        <v>3458</v>
      </c>
      <c r="D114" s="3191" t="s">
        <v>3459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772</v>
      </c>
      <c r="C116" s="3191" t="s">
        <v>3460</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773</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774</v>
      </c>
      <c r="C120" s="3192" t="s">
        <v>3461</v>
      </c>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753</v>
      </c>
      <c r="C122" s="3191" t="s">
        <v>3454</v>
      </c>
      <c r="D122" s="3191" t="s">
        <v>3455</v>
      </c>
      <c r="E122" s="3191" t="s">
        <v>3456</v>
      </c>
      <c r="F122" s="3192" t="s">
        <v>3457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07"/>
      <c r="G1" s="1601" t="s">
        <v>719</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465</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517</v>
      </c>
      <c r="B3" s="510" t="e">
        <f>C50</f>
        <v>#DIV/0!</v>
      </c>
      <c r="C3" s="852" t="s">
        <v>720</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519</v>
      </c>
      <c r="B4" s="513"/>
      <c r="C4" s="3396" t="s">
        <v>520</v>
      </c>
      <c r="D4" s="3397"/>
      <c r="E4" s="3431" t="s">
        <v>521</v>
      </c>
      <c r="F4" s="3432"/>
      <c r="G4" s="3396" t="s">
        <v>522</v>
      </c>
      <c r="H4" s="3397"/>
      <c r="I4" s="3396" t="s">
        <v>523</v>
      </c>
      <c r="J4" s="3397"/>
      <c r="K4" s="514" t="s">
        <v>524</v>
      </c>
      <c r="L4" s="2133"/>
      <c r="M4" s="2134"/>
      <c r="N4" s="2134"/>
      <c r="O4" s="2134"/>
      <c r="P4" s="3508" t="s">
        <v>525</v>
      </c>
      <c r="Q4" s="3399"/>
      <c r="R4" s="3404" t="s">
        <v>521</v>
      </c>
      <c r="S4" s="3405"/>
      <c r="T4" s="3404" t="s">
        <v>522</v>
      </c>
      <c r="U4" s="3405"/>
      <c r="V4" s="3391" t="s">
        <v>523</v>
      </c>
      <c r="W4" s="3391"/>
      <c r="X4" s="1567"/>
      <c r="Y4" s="3404" t="s">
        <v>525</v>
      </c>
      <c r="Z4" s="3405"/>
      <c r="AA4" s="3393" t="s">
        <v>521</v>
      </c>
      <c r="AB4" s="3393" t="s">
        <v>522</v>
      </c>
      <c r="AC4" s="3393" t="s">
        <v>523</v>
      </c>
    </row>
    <row r="5" spans="1:29" ht="15">
      <c r="A5" s="515"/>
      <c r="B5" s="516"/>
      <c r="C5" s="3412" t="s">
        <v>2916</v>
      </c>
      <c r="D5" s="3413"/>
      <c r="E5" s="3433" t="s">
        <v>2917</v>
      </c>
      <c r="F5" s="3434"/>
      <c r="G5" s="3412" t="s">
        <v>2918</v>
      </c>
      <c r="H5" s="3413"/>
      <c r="I5" s="3412" t="s">
        <v>2919</v>
      </c>
      <c r="J5" s="3413"/>
      <c r="K5" s="514"/>
      <c r="L5" s="2133"/>
      <c r="M5" s="2134"/>
      <c r="N5" s="2134"/>
      <c r="O5" s="2134"/>
      <c r="P5" s="3509"/>
      <c r="Q5" s="3401"/>
      <c r="R5" s="3406"/>
      <c r="S5" s="3407"/>
      <c r="T5" s="3406"/>
      <c r="U5" s="3407"/>
      <c r="V5" s="3391"/>
      <c r="W5" s="3391"/>
      <c r="X5" s="1567"/>
      <c r="Y5" s="3406"/>
      <c r="Z5" s="3407"/>
      <c r="AA5" s="3394"/>
      <c r="AB5" s="3394"/>
      <c r="AC5" s="3394"/>
    </row>
    <row r="6" spans="1:29" ht="15.75" thickBot="1">
      <c r="A6" s="517"/>
      <c r="B6" s="518"/>
      <c r="C6" s="3410" t="s">
        <v>2920</v>
      </c>
      <c r="D6" s="3411"/>
      <c r="E6" s="3429" t="s">
        <v>2920</v>
      </c>
      <c r="F6" s="3430"/>
      <c r="G6" s="3410" t="s">
        <v>2920</v>
      </c>
      <c r="H6" s="3411"/>
      <c r="I6" s="3410" t="s">
        <v>2920</v>
      </c>
      <c r="J6" s="3411"/>
      <c r="K6" s="514" t="s">
        <v>526</v>
      </c>
      <c r="L6" s="2133"/>
      <c r="M6" s="2134"/>
      <c r="N6" s="2134"/>
      <c r="O6" s="2134"/>
      <c r="P6" s="3510"/>
      <c r="Q6" s="3403"/>
      <c r="R6" s="3406"/>
      <c r="S6" s="3407"/>
      <c r="T6" s="3408"/>
      <c r="U6" s="3409"/>
      <c r="V6" s="3391"/>
      <c r="W6" s="3391"/>
      <c r="X6" s="1567"/>
      <c r="Y6" s="3408"/>
      <c r="Z6" s="3409"/>
      <c r="AA6" s="3395"/>
      <c r="AB6" s="3395"/>
      <c r="AC6" s="3395"/>
    </row>
    <row r="7" spans="1:29" s="1220" customFormat="1" ht="15.75" thickBot="1">
      <c r="A7" s="2911"/>
      <c r="B7" s="2918" t="s">
        <v>527</v>
      </c>
      <c r="C7" s="519">
        <f>'数据-取费表'!B2</f>
        <v>43325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4" t="s">
        <v>528</v>
      </c>
      <c r="Q7" s="3424"/>
      <c r="R7" s="1568" t="s">
        <v>8</v>
      </c>
      <c r="S7" s="1569">
        <f t="shared" ref="S7:S15" si="0">F7</f>
        <v>0</v>
      </c>
      <c r="T7" s="1568" t="s">
        <v>8</v>
      </c>
      <c r="U7" s="1569">
        <f t="shared" ref="U7:U15" si="1">H7</f>
        <v>0</v>
      </c>
      <c r="V7" s="1568" t="s">
        <v>8</v>
      </c>
      <c r="W7" s="1569">
        <f t="shared" ref="W7:W15" si="2">J7</f>
        <v>0</v>
      </c>
      <c r="X7" s="1570"/>
      <c r="Y7" s="3422" t="s">
        <v>528</v>
      </c>
      <c r="Z7" s="3423"/>
      <c r="AA7" s="1571" t="e">
        <f>D7/F7</f>
        <v>#DIV/0!</v>
      </c>
      <c r="AB7" s="1571" t="e">
        <f>D7/H7</f>
        <v>#DIV/0!</v>
      </c>
      <c r="AC7" s="1571" t="e">
        <f>D7/J7</f>
        <v>#DIV/0!</v>
      </c>
    </row>
    <row r="8" spans="1:29" s="1220" customFormat="1" ht="15.75" thickBot="1">
      <c r="A8" s="2912"/>
      <c r="B8" s="2919" t="s">
        <v>529</v>
      </c>
      <c r="C8" s="525" t="s">
        <v>574</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4" t="s">
        <v>531</v>
      </c>
      <c r="Q8" s="3423"/>
      <c r="R8" s="1568" t="s">
        <v>8</v>
      </c>
      <c r="S8" s="1569">
        <f t="shared" si="0"/>
        <v>0</v>
      </c>
      <c r="T8" s="1568" t="s">
        <v>8</v>
      </c>
      <c r="U8" s="1569">
        <f t="shared" si="1"/>
        <v>0</v>
      </c>
      <c r="V8" s="1568" t="s">
        <v>8</v>
      </c>
      <c r="W8" s="1569">
        <f t="shared" si="2"/>
        <v>0</v>
      </c>
      <c r="X8" s="1570"/>
      <c r="Y8" s="3422" t="s">
        <v>531</v>
      </c>
      <c r="Z8" s="3423"/>
      <c r="AA8" s="1571" t="e">
        <f t="shared" ref="AA8:AA47" si="3">D8/F8</f>
        <v>#DIV/0!</v>
      </c>
      <c r="AB8" s="1571" t="e">
        <f t="shared" ref="AB8:AB47" si="4">D8/H8</f>
        <v>#DIV/0!</v>
      </c>
      <c r="AC8" s="1571" t="e">
        <f t="shared" ref="AC8:AC47" si="5">D8/J8</f>
        <v>#DIV/0!</v>
      </c>
    </row>
    <row r="9" spans="1:29" s="1220" customFormat="1" ht="15">
      <c r="A9" s="2913"/>
      <c r="B9" s="2920" t="s">
        <v>2750</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0" t="s">
        <v>533</v>
      </c>
      <c r="Q9" s="1151" t="str">
        <f t="shared" ref="Q9:Q15" si="6">B9</f>
        <v>用途</v>
      </c>
      <c r="R9" s="1568" t="s">
        <v>8</v>
      </c>
      <c r="S9" s="1569">
        <f t="shared" si="0"/>
        <v>100</v>
      </c>
      <c r="T9" s="1568" t="s">
        <v>8</v>
      </c>
      <c r="U9" s="1569">
        <f t="shared" si="1"/>
        <v>100</v>
      </c>
      <c r="V9" s="1568" t="s">
        <v>8</v>
      </c>
      <c r="W9" s="1569">
        <f t="shared" si="2"/>
        <v>100</v>
      </c>
      <c r="X9" s="1570"/>
      <c r="Y9" s="3336" t="s">
        <v>534</v>
      </c>
      <c r="Z9" s="1150" t="str">
        <f t="shared" ref="Z9:Z15" si="7">Q9</f>
        <v>用途</v>
      </c>
      <c r="AA9" s="1571">
        <f t="shared" si="3"/>
        <v>1</v>
      </c>
      <c r="AB9" s="1571">
        <f t="shared" si="4"/>
        <v>1</v>
      </c>
      <c r="AC9" s="1571">
        <f t="shared" si="5"/>
        <v>1</v>
      </c>
    </row>
    <row r="10" spans="1:29" s="1338" customFormat="1" ht="27">
      <c r="A10" s="2914"/>
      <c r="B10" s="2919" t="s">
        <v>2751</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0"/>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5"/>
      <c r="B11" s="2919"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0"/>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0"/>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0"/>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0"/>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15">
      <c r="A15" s="2909" t="s">
        <v>2748</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5" t="s">
        <v>538</v>
      </c>
      <c r="Q15" s="1572" t="str">
        <f t="shared" si="6"/>
        <v>办公集聚程度</v>
      </c>
      <c r="R15" s="1573" t="s">
        <v>8</v>
      </c>
      <c r="S15" s="1574">
        <f t="shared" si="0"/>
        <v>100</v>
      </c>
      <c r="T15" s="1573" t="s">
        <v>8</v>
      </c>
      <c r="U15" s="1574">
        <f t="shared" si="1"/>
        <v>100</v>
      </c>
      <c r="V15" s="1573" t="s">
        <v>8</v>
      </c>
      <c r="W15" s="1574">
        <f t="shared" si="2"/>
        <v>100</v>
      </c>
      <c r="X15" s="1567"/>
      <c r="Y15" s="3425" t="s">
        <v>538</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426"/>
      <c r="Q16" s="1572"/>
      <c r="R16" s="1573"/>
      <c r="S16" s="1574"/>
      <c r="T16" s="1573"/>
      <c r="U16" s="1574"/>
      <c r="V16" s="1573"/>
      <c r="W16" s="1574"/>
      <c r="X16" s="1567"/>
      <c r="Y16" s="3426"/>
      <c r="Z16" s="1575"/>
      <c r="AA16" s="1576">
        <v>1</v>
      </c>
      <c r="AB16" s="1576">
        <v>1</v>
      </c>
      <c r="AC16" s="1576">
        <v>1</v>
      </c>
    </row>
    <row r="17" spans="1:29" ht="15">
      <c r="A17" s="532"/>
      <c r="B17" s="560" t="s">
        <v>294</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6"/>
      <c r="Q17" s="1572" t="str">
        <f>B17</f>
        <v>交通便捷度</v>
      </c>
      <c r="R17" s="1573" t="s">
        <v>8</v>
      </c>
      <c r="S17" s="1574">
        <f>F17</f>
        <v>100</v>
      </c>
      <c r="T17" s="1573" t="s">
        <v>8</v>
      </c>
      <c r="U17" s="1574">
        <f>H17</f>
        <v>100</v>
      </c>
      <c r="V17" s="1573" t="s">
        <v>8</v>
      </c>
      <c r="W17" s="1574">
        <f>J17</f>
        <v>100</v>
      </c>
      <c r="X17" s="1567"/>
      <c r="Y17" s="342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426"/>
      <c r="Q18" s="1572"/>
      <c r="R18" s="1573"/>
      <c r="S18" s="1574"/>
      <c r="T18" s="1573"/>
      <c r="U18" s="1574"/>
      <c r="V18" s="1573"/>
      <c r="W18" s="1574"/>
      <c r="X18" s="1567"/>
      <c r="Y18" s="3426"/>
      <c r="Z18" s="1575"/>
      <c r="AA18" s="1576">
        <v>1</v>
      </c>
      <c r="AB18" s="1576">
        <v>1</v>
      </c>
      <c r="AC18" s="1576">
        <v>1</v>
      </c>
    </row>
    <row r="19" spans="1:29" ht="15">
      <c r="A19" s="532"/>
      <c r="B19" s="2603" t="s">
        <v>2540</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6"/>
      <c r="Q19" s="1572" t="str">
        <f>B19</f>
        <v>公共配套设施</v>
      </c>
      <c r="R19" s="1573" t="s">
        <v>8</v>
      </c>
      <c r="S19" s="1574">
        <f>F19</f>
        <v>100</v>
      </c>
      <c r="T19" s="1573" t="s">
        <v>8</v>
      </c>
      <c r="U19" s="1574">
        <f>H19</f>
        <v>100</v>
      </c>
      <c r="V19" s="1573" t="s">
        <v>8</v>
      </c>
      <c r="W19" s="1574">
        <f>J19</f>
        <v>100</v>
      </c>
      <c r="X19" s="1567"/>
      <c r="Y19" s="342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426"/>
      <c r="Q20" s="1572"/>
      <c r="R20" s="1573"/>
      <c r="S20" s="1574"/>
      <c r="T20" s="1573"/>
      <c r="U20" s="1574"/>
      <c r="V20" s="1573"/>
      <c r="W20" s="1574"/>
      <c r="X20" s="1567"/>
      <c r="Y20" s="3426"/>
      <c r="Z20" s="1575"/>
      <c r="AA20" s="1576">
        <v>1</v>
      </c>
      <c r="AB20" s="1576">
        <v>1</v>
      </c>
      <c r="AC20" s="1576">
        <v>1</v>
      </c>
    </row>
    <row r="21" spans="1:29" ht="15">
      <c r="A21" s="532"/>
      <c r="B21" s="2591" t="s">
        <v>2552</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6"/>
      <c r="Q21" s="2579" t="str">
        <f>B21</f>
        <v>基础设施水平</v>
      </c>
      <c r="R21" s="1573" t="s">
        <v>8</v>
      </c>
      <c r="S21" s="1574">
        <f>F21</f>
        <v>100</v>
      </c>
      <c r="T21" s="1573" t="s">
        <v>8</v>
      </c>
      <c r="U21" s="1574">
        <f>H21</f>
        <v>100</v>
      </c>
      <c r="V21" s="1573" t="s">
        <v>8</v>
      </c>
      <c r="W21" s="1574">
        <f>J21</f>
        <v>100</v>
      </c>
      <c r="X21" s="2581"/>
      <c r="Y21" s="3426"/>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426"/>
      <c r="Q22" s="2579"/>
      <c r="R22" s="1573"/>
      <c r="S22" s="1574"/>
      <c r="T22" s="1573"/>
      <c r="U22" s="1574"/>
      <c r="V22" s="1573"/>
      <c r="W22" s="1574"/>
      <c r="X22" s="2581"/>
      <c r="Y22" s="3426"/>
      <c r="Z22" s="2580"/>
      <c r="AA22" s="1576">
        <v>1</v>
      </c>
      <c r="AB22" s="1576">
        <v>1</v>
      </c>
      <c r="AC22" s="1576">
        <v>1</v>
      </c>
    </row>
    <row r="23" spans="1:29" ht="15">
      <c r="A23" s="532"/>
      <c r="B23" s="560" t="s">
        <v>776</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6"/>
      <c r="Q23" s="1572" t="str">
        <f>B23</f>
        <v>环境质量</v>
      </c>
      <c r="R23" s="1573" t="s">
        <v>8</v>
      </c>
      <c r="S23" s="1574">
        <f>F23</f>
        <v>100</v>
      </c>
      <c r="T23" s="1573" t="s">
        <v>8</v>
      </c>
      <c r="U23" s="1574">
        <f>H23</f>
        <v>100</v>
      </c>
      <c r="V23" s="1573" t="s">
        <v>8</v>
      </c>
      <c r="W23" s="1574">
        <f>J23</f>
        <v>100</v>
      </c>
      <c r="X23" s="1567"/>
      <c r="Y23" s="342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426"/>
      <c r="Q24" s="1572"/>
      <c r="R24" s="1573"/>
      <c r="S24" s="1574"/>
      <c r="T24" s="1573"/>
      <c r="U24" s="1574"/>
      <c r="V24" s="1573"/>
      <c r="W24" s="1574"/>
      <c r="X24" s="1567"/>
      <c r="Y24" s="3426"/>
      <c r="Z24" s="1575"/>
      <c r="AA24" s="1576">
        <v>1</v>
      </c>
      <c r="AB24" s="1576">
        <v>1</v>
      </c>
      <c r="AC24" s="1576">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6"/>
      <c r="Q25" s="1572" t="str">
        <f>B25</f>
        <v>毗邻道路的类型与等级</v>
      </c>
      <c r="R25" s="1573" t="s">
        <v>8</v>
      </c>
      <c r="S25" s="1574">
        <f>F25</f>
        <v>100</v>
      </c>
      <c r="T25" s="1573" t="s">
        <v>8</v>
      </c>
      <c r="U25" s="1574">
        <f>H25</f>
        <v>100</v>
      </c>
      <c r="V25" s="1573" t="s">
        <v>8</v>
      </c>
      <c r="W25" s="1574">
        <f>J25</f>
        <v>100</v>
      </c>
      <c r="X25" s="1567"/>
      <c r="Y25" s="342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26"/>
      <c r="Q26" s="1572"/>
      <c r="R26" s="1573"/>
      <c r="S26" s="1574"/>
      <c r="T26" s="1573"/>
      <c r="U26" s="1574"/>
      <c r="V26" s="1573"/>
      <c r="W26" s="1574"/>
      <c r="X26" s="1567"/>
      <c r="Y26" s="3426"/>
      <c r="Z26" s="1575"/>
      <c r="AA26" s="1576">
        <v>1</v>
      </c>
      <c r="AB26" s="1576">
        <v>1</v>
      </c>
      <c r="AC26" s="1576">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6"/>
      <c r="Q27" s="1572" t="str">
        <f t="shared" ref="Q27:Q47" si="11">B27</f>
        <v>楼层</v>
      </c>
      <c r="R27" s="1573" t="s">
        <v>8</v>
      </c>
      <c r="S27" s="1574">
        <f>F27</f>
        <v>100</v>
      </c>
      <c r="T27" s="1573" t="s">
        <v>8</v>
      </c>
      <c r="U27" s="1574">
        <f>H27</f>
        <v>100</v>
      </c>
      <c r="V27" s="1573" t="s">
        <v>8</v>
      </c>
      <c r="W27" s="1574">
        <f>J27</f>
        <v>100</v>
      </c>
      <c r="X27" s="1567"/>
      <c r="Y27" s="3426"/>
      <c r="Z27" s="1575" t="str">
        <f>Q27</f>
        <v>楼层</v>
      </c>
      <c r="AA27" s="1576">
        <f t="shared" si="3"/>
        <v>1</v>
      </c>
      <c r="AB27" s="1576">
        <f t="shared" si="4"/>
        <v>1</v>
      </c>
      <c r="AC27" s="1576">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6"/>
      <c r="Q28" s="1151" t="str">
        <f t="shared" si="11"/>
        <v>朝向</v>
      </c>
      <c r="R28" s="1568" t="s">
        <v>8</v>
      </c>
      <c r="S28" s="1569">
        <f>F28</f>
        <v>100</v>
      </c>
      <c r="T28" s="1568" t="s">
        <v>8</v>
      </c>
      <c r="U28" s="1569">
        <f>H28</f>
        <v>100</v>
      </c>
      <c r="V28" s="1568" t="s">
        <v>8</v>
      </c>
      <c r="W28" s="1569">
        <f>J28</f>
        <v>100</v>
      </c>
      <c r="X28" s="1570"/>
      <c r="Y28" s="342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6"/>
      <c r="Q29" s="1572">
        <f t="shared" si="11"/>
        <v>111</v>
      </c>
      <c r="R29" s="1573" t="s">
        <v>8</v>
      </c>
      <c r="S29" s="1574">
        <f t="shared" ref="S29:S47" si="12">F29</f>
        <v>100</v>
      </c>
      <c r="T29" s="1573" t="s">
        <v>8</v>
      </c>
      <c r="U29" s="1574">
        <f t="shared" ref="U29:U47" si="13">H29</f>
        <v>100</v>
      </c>
      <c r="V29" s="1573" t="s">
        <v>8</v>
      </c>
      <c r="W29" s="1574">
        <f t="shared" ref="W29:W47" si="14">J29</f>
        <v>100</v>
      </c>
      <c r="X29" s="1567"/>
      <c r="Y29" s="342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6"/>
      <c r="Q30" s="1572">
        <f t="shared" si="11"/>
        <v>111</v>
      </c>
      <c r="R30" s="1573" t="s">
        <v>8</v>
      </c>
      <c r="S30" s="1574">
        <f t="shared" si="12"/>
        <v>100</v>
      </c>
      <c r="T30" s="1573" t="s">
        <v>8</v>
      </c>
      <c r="U30" s="1574">
        <f t="shared" si="13"/>
        <v>100</v>
      </c>
      <c r="V30" s="1573" t="s">
        <v>8</v>
      </c>
      <c r="W30" s="1574">
        <f t="shared" si="14"/>
        <v>100</v>
      </c>
      <c r="X30" s="1567"/>
      <c r="Y30" s="342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6"/>
      <c r="Q31" s="1572">
        <f t="shared" si="11"/>
        <v>111</v>
      </c>
      <c r="R31" s="1573" t="s">
        <v>8</v>
      </c>
      <c r="S31" s="1574">
        <f t="shared" si="12"/>
        <v>100</v>
      </c>
      <c r="T31" s="1573" t="s">
        <v>8</v>
      </c>
      <c r="U31" s="1574">
        <f t="shared" si="13"/>
        <v>100</v>
      </c>
      <c r="V31" s="1573" t="s">
        <v>8</v>
      </c>
      <c r="W31" s="1574">
        <f t="shared" si="14"/>
        <v>100</v>
      </c>
      <c r="X31" s="1567"/>
      <c r="Y31" s="342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6"/>
      <c r="Q32" s="1572">
        <f t="shared" si="11"/>
        <v>111</v>
      </c>
      <c r="R32" s="1573" t="s">
        <v>8</v>
      </c>
      <c r="S32" s="1574">
        <f t="shared" si="12"/>
        <v>100</v>
      </c>
      <c r="T32" s="1573" t="s">
        <v>8</v>
      </c>
      <c r="U32" s="1574">
        <f t="shared" si="13"/>
        <v>100</v>
      </c>
      <c r="V32" s="1573" t="s">
        <v>8</v>
      </c>
      <c r="W32" s="1574">
        <f t="shared" si="14"/>
        <v>100</v>
      </c>
      <c r="X32" s="1567"/>
      <c r="Y32" s="3426"/>
      <c r="Z32" s="1575">
        <f t="shared" si="15"/>
        <v>111</v>
      </c>
      <c r="AA32" s="1576">
        <f t="shared" si="3"/>
        <v>1</v>
      </c>
      <c r="AB32" s="1576">
        <f t="shared" si="4"/>
        <v>1</v>
      </c>
      <c r="AC32" s="1576">
        <f t="shared" si="5"/>
        <v>1</v>
      </c>
    </row>
    <row r="33" spans="1:29" ht="15">
      <c r="A33" s="2907" t="s">
        <v>2749</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7" t="s">
        <v>548</v>
      </c>
      <c r="Q33" s="1572" t="str">
        <f t="shared" si="11"/>
        <v>建筑类型</v>
      </c>
      <c r="R33" s="1573" t="s">
        <v>8</v>
      </c>
      <c r="S33" s="1574">
        <f t="shared" si="12"/>
        <v>100</v>
      </c>
      <c r="T33" s="1573" t="s">
        <v>8</v>
      </c>
      <c r="U33" s="1574">
        <f t="shared" si="13"/>
        <v>100</v>
      </c>
      <c r="V33" s="1573" t="s">
        <v>8</v>
      </c>
      <c r="W33" s="1574">
        <f t="shared" si="14"/>
        <v>100</v>
      </c>
      <c r="X33" s="1567"/>
      <c r="Y33" s="3428" t="s">
        <v>548</v>
      </c>
      <c r="Z33" s="1575" t="str">
        <f t="shared" si="15"/>
        <v>建筑类型</v>
      </c>
      <c r="AA33" s="1576">
        <f t="shared" si="3"/>
        <v>1</v>
      </c>
      <c r="AB33" s="1576">
        <f t="shared" si="4"/>
        <v>1</v>
      </c>
      <c r="AC33" s="1576">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8"/>
      <c r="Q34" s="1605" t="str">
        <f t="shared" si="11"/>
        <v>项目建筑规模</v>
      </c>
      <c r="R34" s="1577" t="s">
        <v>8</v>
      </c>
      <c r="S34" s="1578" t="e">
        <f t="shared" si="12"/>
        <v>#N/A</v>
      </c>
      <c r="T34" s="1577" t="s">
        <v>8</v>
      </c>
      <c r="U34" s="1578" t="e">
        <f t="shared" si="13"/>
        <v>#N/A</v>
      </c>
      <c r="V34" s="1577" t="s">
        <v>8</v>
      </c>
      <c r="W34" s="1578" t="e">
        <f t="shared" si="14"/>
        <v>#N/A</v>
      </c>
      <c r="X34" s="1579"/>
      <c r="Y34" s="3428"/>
      <c r="Z34" s="1580" t="str">
        <f t="shared" si="15"/>
        <v>项目建筑规模</v>
      </c>
      <c r="AA34" s="1576" t="e">
        <f t="shared" si="3"/>
        <v>#N/A</v>
      </c>
      <c r="AB34" s="1576" t="e">
        <f t="shared" si="4"/>
        <v>#N/A</v>
      </c>
      <c r="AC34" s="1576"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8"/>
      <c r="Q35" s="1572" t="str">
        <f t="shared" si="11"/>
        <v>建筑结构</v>
      </c>
      <c r="R35" s="1573" t="s">
        <v>8</v>
      </c>
      <c r="S35" s="1574">
        <f t="shared" si="12"/>
        <v>100</v>
      </c>
      <c r="T35" s="1573" t="s">
        <v>8</v>
      </c>
      <c r="U35" s="1574">
        <f t="shared" si="13"/>
        <v>100</v>
      </c>
      <c r="V35" s="1573" t="s">
        <v>8</v>
      </c>
      <c r="W35" s="1574">
        <f t="shared" si="14"/>
        <v>100</v>
      </c>
      <c r="X35" s="1567"/>
      <c r="Y35" s="3428"/>
      <c r="Z35" s="1575" t="str">
        <f t="shared" si="15"/>
        <v>建筑结构</v>
      </c>
      <c r="AA35" s="1576">
        <f t="shared" si="3"/>
        <v>1</v>
      </c>
      <c r="AB35" s="1576">
        <f t="shared" si="4"/>
        <v>1</v>
      </c>
      <c r="AC35" s="1576">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8"/>
      <c r="Q36" s="1572" t="str">
        <f t="shared" si="11"/>
        <v>公共部分装修</v>
      </c>
      <c r="R36" s="1573" t="s">
        <v>8</v>
      </c>
      <c r="S36" s="1574">
        <f t="shared" si="12"/>
        <v>100</v>
      </c>
      <c r="T36" s="1573" t="s">
        <v>8</v>
      </c>
      <c r="U36" s="1574">
        <f t="shared" si="13"/>
        <v>100</v>
      </c>
      <c r="V36" s="1573" t="s">
        <v>8</v>
      </c>
      <c r="W36" s="1574">
        <f t="shared" si="14"/>
        <v>100</v>
      </c>
      <c r="X36" s="1567"/>
      <c r="Y36" s="3428"/>
      <c r="Z36" s="1575" t="str">
        <f t="shared" si="15"/>
        <v>公共部分装修</v>
      </c>
      <c r="AA36" s="1576">
        <f t="shared" si="3"/>
        <v>1</v>
      </c>
      <c r="AB36" s="1576">
        <f t="shared" si="4"/>
        <v>1</v>
      </c>
      <c r="AC36" s="1576">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8"/>
      <c r="Q37" s="1572" t="str">
        <f t="shared" si="11"/>
        <v>成新度</v>
      </c>
      <c r="R37" s="1573" t="s">
        <v>8</v>
      </c>
      <c r="S37" s="1574" t="e">
        <f t="shared" si="12"/>
        <v>#N/A</v>
      </c>
      <c r="T37" s="1573" t="s">
        <v>8</v>
      </c>
      <c r="U37" s="1574" t="e">
        <f t="shared" si="13"/>
        <v>#N/A</v>
      </c>
      <c r="V37" s="1573" t="s">
        <v>8</v>
      </c>
      <c r="W37" s="1574" t="e">
        <f t="shared" si="14"/>
        <v>#N/A</v>
      </c>
      <c r="X37" s="1567"/>
      <c r="Y37" s="3428"/>
      <c r="Z37" s="1575" t="str">
        <f t="shared" si="15"/>
        <v>成新度</v>
      </c>
      <c r="AA37" s="1576" t="e">
        <f t="shared" si="3"/>
        <v>#N/A</v>
      </c>
      <c r="AB37" s="1576" t="e">
        <f t="shared" si="4"/>
        <v>#N/A</v>
      </c>
      <c r="AC37" s="1576"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8"/>
      <c r="Q38" s="1151" t="str">
        <f t="shared" si="11"/>
        <v>写字楼等级</v>
      </c>
      <c r="R38" s="1568" t="s">
        <v>8</v>
      </c>
      <c r="S38" s="1569">
        <f t="shared" si="12"/>
        <v>100</v>
      </c>
      <c r="T38" s="1568" t="s">
        <v>8</v>
      </c>
      <c r="U38" s="1569">
        <f t="shared" si="13"/>
        <v>100</v>
      </c>
      <c r="V38" s="1568" t="s">
        <v>8</v>
      </c>
      <c r="W38" s="1569">
        <f t="shared" si="14"/>
        <v>100</v>
      </c>
      <c r="X38" s="1570"/>
      <c r="Y38" s="3428"/>
      <c r="Z38" s="1150" t="str">
        <f t="shared" si="15"/>
        <v>写字楼等级</v>
      </c>
      <c r="AA38" s="1571">
        <f t="shared" si="3"/>
        <v>1</v>
      </c>
      <c r="AB38" s="1571">
        <f t="shared" si="4"/>
        <v>1</v>
      </c>
      <c r="AC38" s="1571">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8" t="s">
        <v>548</v>
      </c>
      <c r="Q39" s="1572" t="str">
        <f t="shared" si="11"/>
        <v>物业管理</v>
      </c>
      <c r="R39" s="1573" t="s">
        <v>8</v>
      </c>
      <c r="S39" s="1574">
        <f t="shared" si="12"/>
        <v>100</v>
      </c>
      <c r="T39" s="1573" t="s">
        <v>8</v>
      </c>
      <c r="U39" s="1574">
        <f t="shared" si="13"/>
        <v>100</v>
      </c>
      <c r="V39" s="1573" t="s">
        <v>8</v>
      </c>
      <c r="W39" s="1574">
        <f t="shared" si="14"/>
        <v>100</v>
      </c>
      <c r="X39" s="1567"/>
      <c r="Y39" s="3428" t="s">
        <v>548</v>
      </c>
      <c r="Z39" s="1575" t="str">
        <f t="shared" si="15"/>
        <v>物业管理</v>
      </c>
      <c r="AA39" s="1576">
        <f t="shared" si="3"/>
        <v>1</v>
      </c>
      <c r="AB39" s="1576">
        <f t="shared" si="4"/>
        <v>1</v>
      </c>
      <c r="AC39" s="1576">
        <f t="shared" si="5"/>
        <v>1</v>
      </c>
    </row>
    <row r="40" spans="1:29" ht="15">
      <c r="A40" s="594"/>
      <c r="B40" s="1895"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8"/>
      <c r="Q40" s="1572" t="str">
        <f t="shared" si="11"/>
        <v>市政基础设施</v>
      </c>
      <c r="R40" s="1573" t="s">
        <v>8</v>
      </c>
      <c r="S40" s="1574">
        <f t="shared" si="12"/>
        <v>100</v>
      </c>
      <c r="T40" s="1573" t="s">
        <v>8</v>
      </c>
      <c r="U40" s="1574">
        <f t="shared" si="13"/>
        <v>100</v>
      </c>
      <c r="V40" s="1573" t="s">
        <v>8</v>
      </c>
      <c r="W40" s="1574">
        <f t="shared" si="14"/>
        <v>100</v>
      </c>
      <c r="X40" s="1567"/>
      <c r="Y40" s="3428"/>
      <c r="Z40" s="1575" t="str">
        <f t="shared" si="15"/>
        <v>市政基础设施</v>
      </c>
      <c r="AA40" s="1576">
        <f t="shared" si="3"/>
        <v>1</v>
      </c>
      <c r="AB40" s="1576">
        <f t="shared" si="4"/>
        <v>1</v>
      </c>
      <c r="AC40" s="1576">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8"/>
      <c r="Q41" s="1572" t="str">
        <f t="shared" si="11"/>
        <v>层高</v>
      </c>
      <c r="R41" s="1573" t="s">
        <v>8</v>
      </c>
      <c r="S41" s="1574">
        <f t="shared" si="12"/>
        <v>100</v>
      </c>
      <c r="T41" s="1573" t="s">
        <v>8</v>
      </c>
      <c r="U41" s="1574">
        <f t="shared" si="13"/>
        <v>100</v>
      </c>
      <c r="V41" s="1573" t="s">
        <v>8</v>
      </c>
      <c r="W41" s="1574">
        <f t="shared" si="14"/>
        <v>100</v>
      </c>
      <c r="X41" s="1567"/>
      <c r="Y41" s="3428"/>
      <c r="Z41" s="1575" t="str">
        <f t="shared" si="15"/>
        <v>层高</v>
      </c>
      <c r="AA41" s="1576">
        <f t="shared" si="3"/>
        <v>1</v>
      </c>
      <c r="AB41" s="1576">
        <f t="shared" si="4"/>
        <v>1</v>
      </c>
      <c r="AC41" s="1576">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8"/>
      <c r="Q42" s="1605" t="str">
        <f t="shared" si="11"/>
        <v>单套建筑面积</v>
      </c>
      <c r="R42" s="1577" t="s">
        <v>8</v>
      </c>
      <c r="S42" s="1578">
        <f t="shared" si="12"/>
        <v>100</v>
      </c>
      <c r="T42" s="1577" t="s">
        <v>8</v>
      </c>
      <c r="U42" s="1578">
        <f t="shared" si="13"/>
        <v>100</v>
      </c>
      <c r="V42" s="1577" t="s">
        <v>8</v>
      </c>
      <c r="W42" s="1578">
        <f t="shared" si="14"/>
        <v>100</v>
      </c>
      <c r="X42" s="1579"/>
      <c r="Y42" s="3428"/>
      <c r="Z42" s="1580" t="str">
        <f t="shared" si="15"/>
        <v>单套建筑面积</v>
      </c>
      <c r="AA42" s="1576">
        <f t="shared" si="3"/>
        <v>1</v>
      </c>
      <c r="AB42" s="1576">
        <f t="shared" si="4"/>
        <v>1</v>
      </c>
      <c r="AC42" s="1576">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8"/>
      <c r="Q43" s="1572" t="str">
        <f t="shared" si="11"/>
        <v>内部装修</v>
      </c>
      <c r="R43" s="1573" t="s">
        <v>8</v>
      </c>
      <c r="S43" s="1574">
        <f t="shared" si="12"/>
        <v>100</v>
      </c>
      <c r="T43" s="1573" t="s">
        <v>8</v>
      </c>
      <c r="U43" s="1574">
        <f t="shared" si="13"/>
        <v>100</v>
      </c>
      <c r="V43" s="1573" t="s">
        <v>8</v>
      </c>
      <c r="W43" s="1574">
        <f t="shared" si="14"/>
        <v>100</v>
      </c>
      <c r="X43" s="1567"/>
      <c r="Y43" s="3428"/>
      <c r="Z43" s="1575" t="str">
        <f t="shared" si="15"/>
        <v>内部装修</v>
      </c>
      <c r="AA43" s="1576">
        <f t="shared" si="3"/>
        <v>1</v>
      </c>
      <c r="AB43" s="1576">
        <f t="shared" si="4"/>
        <v>1</v>
      </c>
      <c r="AC43" s="1576">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8"/>
      <c r="Q44" s="1572" t="str">
        <f t="shared" si="11"/>
        <v>内部装修维护情况</v>
      </c>
      <c r="R44" s="1573" t="s">
        <v>8</v>
      </c>
      <c r="S44" s="1574">
        <f t="shared" si="12"/>
        <v>100</v>
      </c>
      <c r="T44" s="1573" t="s">
        <v>8</v>
      </c>
      <c r="U44" s="1574">
        <f t="shared" si="13"/>
        <v>100</v>
      </c>
      <c r="V44" s="1573" t="s">
        <v>8</v>
      </c>
      <c r="W44" s="1574">
        <f t="shared" si="14"/>
        <v>100</v>
      </c>
      <c r="X44" s="1567"/>
      <c r="Y44" s="342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8"/>
      <c r="Q45" s="1151">
        <f t="shared" si="11"/>
        <v>111</v>
      </c>
      <c r="R45" s="1568" t="s">
        <v>8</v>
      </c>
      <c r="S45" s="1569">
        <f t="shared" si="12"/>
        <v>100</v>
      </c>
      <c r="T45" s="1568" t="s">
        <v>8</v>
      </c>
      <c r="U45" s="1569">
        <f t="shared" si="13"/>
        <v>100</v>
      </c>
      <c r="V45" s="1568" t="s">
        <v>8</v>
      </c>
      <c r="W45" s="1569">
        <f t="shared" si="14"/>
        <v>100</v>
      </c>
      <c r="X45" s="1570"/>
      <c r="Y45" s="342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8"/>
      <c r="Q46" s="1572">
        <f t="shared" si="11"/>
        <v>111</v>
      </c>
      <c r="R46" s="1573" t="s">
        <v>8</v>
      </c>
      <c r="S46" s="1574">
        <f t="shared" si="12"/>
        <v>100</v>
      </c>
      <c r="T46" s="1573" t="s">
        <v>8</v>
      </c>
      <c r="U46" s="1574">
        <f t="shared" si="13"/>
        <v>100</v>
      </c>
      <c r="V46" s="1573" t="s">
        <v>8</v>
      </c>
      <c r="W46" s="1574">
        <f t="shared" si="14"/>
        <v>100</v>
      </c>
      <c r="X46" s="1567"/>
      <c r="Y46" s="342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5"/>
      <c r="Q47" s="1572">
        <f t="shared" si="11"/>
        <v>111</v>
      </c>
      <c r="R47" s="1573" t="s">
        <v>8</v>
      </c>
      <c r="S47" s="1574">
        <f t="shared" si="12"/>
        <v>100</v>
      </c>
      <c r="T47" s="1573" t="s">
        <v>8</v>
      </c>
      <c r="U47" s="1574">
        <f t="shared" si="13"/>
        <v>100</v>
      </c>
      <c r="V47" s="1573" t="s">
        <v>8</v>
      </c>
      <c r="W47" s="1574">
        <f t="shared" si="14"/>
        <v>100</v>
      </c>
      <c r="X47" s="1567"/>
      <c r="Y47" s="3505"/>
      <c r="Z47" s="1575">
        <f t="shared" si="15"/>
        <v>111</v>
      </c>
      <c r="AA47" s="1576">
        <f t="shared" si="3"/>
        <v>1</v>
      </c>
      <c r="AB47" s="1576">
        <f t="shared" si="4"/>
        <v>1</v>
      </c>
      <c r="AC47" s="1576">
        <f t="shared" si="5"/>
        <v>1</v>
      </c>
    </row>
    <row r="48" spans="1:29" ht="15">
      <c r="A48" s="607" t="s">
        <v>734</v>
      </c>
      <c r="B48" s="887"/>
      <c r="C48" s="2627" t="s">
        <v>1</v>
      </c>
      <c r="D48" s="2628"/>
      <c r="E48" s="2629"/>
      <c r="F48" s="2630"/>
      <c r="G48" s="2631"/>
      <c r="H48" s="2632"/>
      <c r="I48" s="2629"/>
      <c r="J48" s="2632"/>
      <c r="K48" s="1611"/>
      <c r="L48" s="2144"/>
      <c r="M48" s="2134"/>
      <c r="N48" s="2134"/>
      <c r="O48" s="2134"/>
      <c r="P48" s="3388" t="str">
        <f>A48</f>
        <v>成交单价（元/平方米）</v>
      </c>
      <c r="Q48" s="3390"/>
      <c r="R48" s="3504">
        <f>E48</f>
        <v>0</v>
      </c>
      <c r="S48" s="3504"/>
      <c r="T48" s="3504">
        <f>G48</f>
        <v>0</v>
      </c>
      <c r="U48" s="3504"/>
      <c r="V48" s="3504">
        <f>I48</f>
        <v>0</v>
      </c>
      <c r="W48" s="3504"/>
      <c r="X48" s="1559"/>
      <c r="Y48" s="1581"/>
      <c r="Z48" s="1559"/>
      <c r="AA48" s="1559"/>
      <c r="AB48" s="1559"/>
      <c r="AC48" s="1559"/>
    </row>
    <row r="49" spans="1:29" ht="15.75" thickBot="1">
      <c r="A49" s="615" t="s">
        <v>2754</v>
      </c>
      <c r="B49" s="888"/>
      <c r="C49" s="2633" t="e">
        <f>R50</f>
        <v>#DIV/0!</v>
      </c>
      <c r="D49" s="2634"/>
      <c r="E49" s="2635" t="e">
        <f>R49</f>
        <v>#DIV/0!</v>
      </c>
      <c r="F49" s="2635"/>
      <c r="G49" s="2633" t="e">
        <f>T49</f>
        <v>#DIV/0!</v>
      </c>
      <c r="H49" s="2634"/>
      <c r="I49" s="2635" t="e">
        <f>V49</f>
        <v>#DIV/0!</v>
      </c>
      <c r="J49" s="2634"/>
      <c r="K49" s="1612"/>
      <c r="L49" s="2144"/>
      <c r="M49" s="2134"/>
      <c r="N49" s="2134"/>
      <c r="O49" s="2134"/>
      <c r="P49" s="3388" t="str">
        <f>A49</f>
        <v>比较价格（元/平方米）</v>
      </c>
      <c r="Q49" s="339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9"/>
      <c r="Y49" s="1559"/>
      <c r="Z49" s="1559"/>
      <c r="AA49" s="1559"/>
      <c r="AB49" s="1559"/>
      <c r="AC49" s="1559"/>
    </row>
    <row r="50" spans="1:29" ht="15.75" thickBot="1">
      <c r="A50" s="621" t="s">
        <v>2922</v>
      </c>
      <c r="B50" s="622"/>
      <c r="C50" s="2636" t="e">
        <f>R50</f>
        <v>#DIV/0!</v>
      </c>
      <c r="D50" s="2636"/>
      <c r="E50" s="2636"/>
      <c r="F50" s="2636"/>
      <c r="G50" s="2636"/>
      <c r="H50" s="2636"/>
      <c r="I50" s="2636"/>
      <c r="J50" s="2636"/>
      <c r="K50" s="1613"/>
      <c r="L50" s="2144"/>
      <c r="M50" s="2134"/>
      <c r="N50" s="2134"/>
      <c r="O50" s="2134"/>
      <c r="P50" s="3507" t="str">
        <f>A50</f>
        <v>估价对象XX用房的比较价格（楼面单价，元/平方米）</v>
      </c>
      <c r="Q50" s="3388"/>
      <c r="R50" s="3503" t="e">
        <f>IF(F1="售价",ROUND(AVERAGE(R49:V49),0),ROUND(AVERAGE(R49:V49),1))</f>
        <v>#DIV/0!</v>
      </c>
      <c r="S50" s="3503"/>
      <c r="T50" s="3503"/>
      <c r="U50" s="3503"/>
      <c r="V50" s="3503"/>
      <c r="W50" s="3503"/>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572</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527</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573</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529</v>
      </c>
      <c r="B62" s="648"/>
      <c r="C62" s="660" t="s">
        <v>574</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575</v>
      </c>
      <c r="B64" s="665" t="s">
        <v>532</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537</v>
      </c>
      <c r="B77" s="665" t="s">
        <v>583</v>
      </c>
      <c r="C77" s="703" t="s">
        <v>577</v>
      </c>
      <c r="D77" s="703" t="s">
        <v>578</v>
      </c>
      <c r="E77" s="703" t="s">
        <v>579</v>
      </c>
      <c r="F77" s="703" t="s">
        <v>580</v>
      </c>
      <c r="G77" s="703" t="s">
        <v>581</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584</v>
      </c>
      <c r="C79" s="708" t="s">
        <v>577</v>
      </c>
      <c r="D79" s="708" t="s">
        <v>578</v>
      </c>
      <c r="E79" s="708" t="s">
        <v>579</v>
      </c>
      <c r="F79" s="708" t="s">
        <v>580</v>
      </c>
      <c r="G79" s="708" t="s">
        <v>581</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2551</v>
      </c>
      <c r="C81" s="708" t="s">
        <v>577</v>
      </c>
      <c r="D81" s="708" t="s">
        <v>578</v>
      </c>
      <c r="E81" s="708" t="s">
        <v>579</v>
      </c>
      <c r="F81" s="708" t="s">
        <v>580</v>
      </c>
      <c r="G81" s="708" t="s">
        <v>581</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2552</v>
      </c>
      <c r="C83" s="2598" t="s">
        <v>2553</v>
      </c>
      <c r="D83" s="2598" t="s">
        <v>2554</v>
      </c>
      <c r="E83" s="2598" t="s">
        <v>2555</v>
      </c>
      <c r="F83" s="2598" t="s">
        <v>2556</v>
      </c>
      <c r="G83" s="2598" t="s">
        <v>2557</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782</v>
      </c>
      <c r="C85" s="708" t="s">
        <v>577</v>
      </c>
      <c r="D85" s="708" t="s">
        <v>578</v>
      </c>
      <c r="E85" s="708" t="s">
        <v>579</v>
      </c>
      <c r="F85" s="708" t="s">
        <v>580</v>
      </c>
      <c r="G85" s="708" t="s">
        <v>581</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783</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549</v>
      </c>
      <c r="B101" s="665" t="s">
        <v>745</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747</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749</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784</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751</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2550</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785</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773</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753</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07"/>
      <c r="G1" s="1601" t="s">
        <v>719</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465</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517</v>
      </c>
      <c r="B3" s="510" t="e">
        <f>C43</f>
        <v>#DIV/0!</v>
      </c>
      <c r="C3" s="852" t="s">
        <v>720</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519</v>
      </c>
      <c r="B4" s="513"/>
      <c r="C4" s="3396" t="s">
        <v>520</v>
      </c>
      <c r="D4" s="3397"/>
      <c r="E4" s="3431" t="s">
        <v>521</v>
      </c>
      <c r="F4" s="3432"/>
      <c r="G4" s="3396" t="s">
        <v>522</v>
      </c>
      <c r="H4" s="3397"/>
      <c r="I4" s="3396" t="s">
        <v>523</v>
      </c>
      <c r="J4" s="3397"/>
      <c r="K4" s="514" t="s">
        <v>524</v>
      </c>
      <c r="L4" s="2133"/>
      <c r="M4" s="2134"/>
      <c r="N4" s="2134"/>
      <c r="O4" s="2134"/>
      <c r="P4" s="3398" t="s">
        <v>525</v>
      </c>
      <c r="Q4" s="3399"/>
      <c r="R4" s="3404" t="s">
        <v>521</v>
      </c>
      <c r="S4" s="3405"/>
      <c r="T4" s="3404" t="s">
        <v>522</v>
      </c>
      <c r="U4" s="3405"/>
      <c r="V4" s="3391" t="s">
        <v>523</v>
      </c>
      <c r="W4" s="3391"/>
      <c r="X4" s="1567"/>
      <c r="Y4" s="3404" t="s">
        <v>525</v>
      </c>
      <c r="Z4" s="3405"/>
      <c r="AA4" s="3393" t="s">
        <v>521</v>
      </c>
      <c r="AB4" s="3394" t="s">
        <v>522</v>
      </c>
      <c r="AC4" s="3393" t="s">
        <v>523</v>
      </c>
    </row>
    <row r="5" spans="1:29" ht="15">
      <c r="A5" s="515"/>
      <c r="B5" s="516"/>
      <c r="C5" s="3412" t="s">
        <v>2916</v>
      </c>
      <c r="D5" s="3413"/>
      <c r="E5" s="3433" t="s">
        <v>2917</v>
      </c>
      <c r="F5" s="3434"/>
      <c r="G5" s="3412" t="s">
        <v>2918</v>
      </c>
      <c r="H5" s="3413"/>
      <c r="I5" s="3412" t="s">
        <v>2919</v>
      </c>
      <c r="J5" s="3413"/>
      <c r="K5" s="514"/>
      <c r="L5" s="2133"/>
      <c r="M5" s="2134"/>
      <c r="N5" s="2134"/>
      <c r="O5" s="2134"/>
      <c r="P5" s="3400"/>
      <c r="Q5" s="3401"/>
      <c r="R5" s="3406"/>
      <c r="S5" s="3407"/>
      <c r="T5" s="3406"/>
      <c r="U5" s="3407"/>
      <c r="V5" s="3391"/>
      <c r="W5" s="3391"/>
      <c r="X5" s="1567"/>
      <c r="Y5" s="3406"/>
      <c r="Z5" s="3407"/>
      <c r="AA5" s="3394"/>
      <c r="AB5" s="3394"/>
      <c r="AC5" s="3394"/>
    </row>
    <row r="6" spans="1:29" ht="15.75" thickBot="1">
      <c r="A6" s="517"/>
      <c r="B6" s="518"/>
      <c r="C6" s="3410" t="s">
        <v>2920</v>
      </c>
      <c r="D6" s="3411"/>
      <c r="E6" s="3429" t="s">
        <v>2920</v>
      </c>
      <c r="F6" s="3430"/>
      <c r="G6" s="3410" t="s">
        <v>2920</v>
      </c>
      <c r="H6" s="3411"/>
      <c r="I6" s="3410" t="s">
        <v>2920</v>
      </c>
      <c r="J6" s="3411"/>
      <c r="K6" s="514" t="s">
        <v>526</v>
      </c>
      <c r="L6" s="2133"/>
      <c r="M6" s="2134"/>
      <c r="N6" s="2134"/>
      <c r="O6" s="2134"/>
      <c r="P6" s="3402"/>
      <c r="Q6" s="3403"/>
      <c r="R6" s="3406"/>
      <c r="S6" s="3407"/>
      <c r="T6" s="3408"/>
      <c r="U6" s="3409"/>
      <c r="V6" s="3391"/>
      <c r="W6" s="3391"/>
      <c r="X6" s="1567"/>
      <c r="Y6" s="3408"/>
      <c r="Z6" s="3409"/>
      <c r="AA6" s="3395"/>
      <c r="AB6" s="3395"/>
      <c r="AC6" s="3395"/>
    </row>
    <row r="7" spans="1:29" s="1220" customFormat="1" ht="15.75" thickBot="1">
      <c r="A7" s="2911"/>
      <c r="B7" s="2918" t="s">
        <v>527</v>
      </c>
      <c r="C7" s="519">
        <f>'数据-取费表'!B2</f>
        <v>43325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2" t="s">
        <v>528</v>
      </c>
      <c r="Q7" s="3424"/>
      <c r="R7" s="1568" t="s">
        <v>8</v>
      </c>
      <c r="S7" s="1569">
        <f t="shared" ref="S7:S15" si="0">F7</f>
        <v>0</v>
      </c>
      <c r="T7" s="1568" t="s">
        <v>8</v>
      </c>
      <c r="U7" s="1569">
        <f t="shared" ref="U7:U15" si="1">H7</f>
        <v>0</v>
      </c>
      <c r="V7" s="1568" t="s">
        <v>8</v>
      </c>
      <c r="W7" s="1569">
        <f t="shared" ref="W7:W15" si="2">J7</f>
        <v>0</v>
      </c>
      <c r="X7" s="1570"/>
      <c r="Y7" s="3422" t="s">
        <v>528</v>
      </c>
      <c r="Z7" s="3423"/>
      <c r="AA7" s="1571" t="e">
        <f>D7/F7</f>
        <v>#DIV/0!</v>
      </c>
      <c r="AB7" s="1571" t="e">
        <f>D7/H7</f>
        <v>#DIV/0!</v>
      </c>
      <c r="AC7" s="1571" t="e">
        <f>D7/J7</f>
        <v>#DIV/0!</v>
      </c>
    </row>
    <row r="8" spans="1:29" s="1220" customFormat="1" ht="15.75" thickBot="1">
      <c r="A8" s="2912"/>
      <c r="B8" s="2919" t="s">
        <v>529</v>
      </c>
      <c r="C8" s="525" t="s">
        <v>574</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2" t="s">
        <v>531</v>
      </c>
      <c r="Q8" s="3423"/>
      <c r="R8" s="1568" t="s">
        <v>8</v>
      </c>
      <c r="S8" s="1569">
        <f t="shared" si="0"/>
        <v>0</v>
      </c>
      <c r="T8" s="1568" t="s">
        <v>8</v>
      </c>
      <c r="U8" s="1569">
        <f t="shared" si="1"/>
        <v>0</v>
      </c>
      <c r="V8" s="1568" t="s">
        <v>8</v>
      </c>
      <c r="W8" s="1569">
        <f t="shared" si="2"/>
        <v>0</v>
      </c>
      <c r="X8" s="1570"/>
      <c r="Y8" s="3422" t="s">
        <v>531</v>
      </c>
      <c r="Z8" s="3423"/>
      <c r="AA8" s="1571" t="e">
        <f t="shared" ref="AA8:AA40" si="3">D8/F8</f>
        <v>#DIV/0!</v>
      </c>
      <c r="AB8" s="1571" t="e">
        <f t="shared" ref="AB8:AB40" si="4">D8/H8</f>
        <v>#DIV/0!</v>
      </c>
      <c r="AC8" s="1571" t="e">
        <f t="shared" ref="AC8:AC40" si="5">D8/J8</f>
        <v>#DIV/0!</v>
      </c>
    </row>
    <row r="9" spans="1:29" s="1220" customFormat="1" ht="15">
      <c r="A9" s="2913"/>
      <c r="B9" s="2920" t="s">
        <v>2750</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0" t="s">
        <v>533</v>
      </c>
      <c r="Q9" s="1151" t="str">
        <f t="shared" ref="Q9:Q15" si="6">B9</f>
        <v>用途</v>
      </c>
      <c r="R9" s="1568" t="s">
        <v>8</v>
      </c>
      <c r="S9" s="1569">
        <f t="shared" si="0"/>
        <v>100</v>
      </c>
      <c r="T9" s="1568" t="s">
        <v>8</v>
      </c>
      <c r="U9" s="1569">
        <f t="shared" si="1"/>
        <v>100</v>
      </c>
      <c r="V9" s="1568" t="s">
        <v>8</v>
      </c>
      <c r="W9" s="1569">
        <f t="shared" si="2"/>
        <v>100</v>
      </c>
      <c r="X9" s="1570"/>
      <c r="Y9" s="3336" t="s">
        <v>534</v>
      </c>
      <c r="Z9" s="1150" t="str">
        <f t="shared" ref="Z9:Z15" si="7">Q9</f>
        <v>用途</v>
      </c>
      <c r="AA9" s="1571">
        <f t="shared" si="3"/>
        <v>1</v>
      </c>
      <c r="AB9" s="1571">
        <f t="shared" si="4"/>
        <v>1</v>
      </c>
      <c r="AC9" s="1571">
        <f t="shared" si="5"/>
        <v>1</v>
      </c>
    </row>
    <row r="10" spans="1:29" s="1338" customFormat="1" ht="27">
      <c r="A10" s="2914"/>
      <c r="B10" s="2919" t="s">
        <v>2751</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0"/>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5"/>
      <c r="B11" s="2919"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0"/>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0"/>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0"/>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0"/>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57">
      <c r="A15" s="2909" t="s">
        <v>2748</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5" t="s">
        <v>538</v>
      </c>
      <c r="Q15" s="1572" t="str">
        <f t="shared" si="6"/>
        <v>产业集聚程度</v>
      </c>
      <c r="R15" s="1573" t="s">
        <v>8</v>
      </c>
      <c r="S15" s="1574">
        <f t="shared" si="0"/>
        <v>100</v>
      </c>
      <c r="T15" s="1573" t="s">
        <v>8</v>
      </c>
      <c r="U15" s="1574">
        <f t="shared" si="1"/>
        <v>100</v>
      </c>
      <c r="V15" s="1573" t="s">
        <v>8</v>
      </c>
      <c r="W15" s="1574">
        <f t="shared" si="2"/>
        <v>100</v>
      </c>
      <c r="X15" s="1567"/>
      <c r="Y15" s="3425" t="s">
        <v>538</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26"/>
      <c r="Q16" s="1572"/>
      <c r="R16" s="1573"/>
      <c r="S16" s="1574"/>
      <c r="T16" s="1573"/>
      <c r="U16" s="1574"/>
      <c r="V16" s="1573"/>
      <c r="W16" s="1574"/>
      <c r="X16" s="1567"/>
      <c r="Y16" s="3426"/>
      <c r="Z16" s="1575"/>
      <c r="AA16" s="1576">
        <v>1</v>
      </c>
      <c r="AB16" s="1576">
        <v>1</v>
      </c>
      <c r="AC16" s="1576">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6"/>
      <c r="Q17" s="1572" t="str">
        <f>B17</f>
        <v>交通便捷度</v>
      </c>
      <c r="R17" s="1573" t="s">
        <v>8</v>
      </c>
      <c r="S17" s="1574">
        <f>F17</f>
        <v>100</v>
      </c>
      <c r="T17" s="1573" t="s">
        <v>8</v>
      </c>
      <c r="U17" s="1574">
        <f>H17</f>
        <v>100</v>
      </c>
      <c r="V17" s="1573" t="s">
        <v>8</v>
      </c>
      <c r="W17" s="1574">
        <f>J17</f>
        <v>100</v>
      </c>
      <c r="X17" s="1567"/>
      <c r="Y17" s="342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26"/>
      <c r="Q18" s="1572"/>
      <c r="R18" s="1573"/>
      <c r="S18" s="1574"/>
      <c r="T18" s="1573"/>
      <c r="U18" s="1574"/>
      <c r="V18" s="1573"/>
      <c r="W18" s="1574"/>
      <c r="X18" s="1567"/>
      <c r="Y18" s="3426"/>
      <c r="Z18" s="1575"/>
      <c r="AA18" s="1576">
        <v>1</v>
      </c>
      <c r="AB18" s="1576">
        <v>1</v>
      </c>
      <c r="AC18" s="1576">
        <v>1</v>
      </c>
    </row>
    <row r="19" spans="1:29" ht="42.75">
      <c r="A19" s="532"/>
      <c r="B19" s="2603"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6"/>
      <c r="Q19" s="1572" t="str">
        <f>B19</f>
        <v>公共配套设施</v>
      </c>
      <c r="R19" s="1573" t="s">
        <v>8</v>
      </c>
      <c r="S19" s="1574">
        <f>F19</f>
        <v>100</v>
      </c>
      <c r="T19" s="1573" t="s">
        <v>8</v>
      </c>
      <c r="U19" s="1574">
        <f>H19</f>
        <v>100</v>
      </c>
      <c r="V19" s="1573" t="s">
        <v>8</v>
      </c>
      <c r="W19" s="1574">
        <f>J19</f>
        <v>100</v>
      </c>
      <c r="X19" s="1567"/>
      <c r="Y19" s="342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26"/>
      <c r="Q20" s="1572"/>
      <c r="R20" s="1573"/>
      <c r="S20" s="1574"/>
      <c r="T20" s="1573"/>
      <c r="U20" s="1574"/>
      <c r="V20" s="1573"/>
      <c r="W20" s="1574"/>
      <c r="X20" s="1567"/>
      <c r="Y20" s="3426"/>
      <c r="Z20" s="1575"/>
      <c r="AA20" s="1576">
        <v>1</v>
      </c>
      <c r="AB20" s="1576">
        <v>1</v>
      </c>
      <c r="AC20" s="1576">
        <v>1</v>
      </c>
    </row>
    <row r="21" spans="1:29" ht="28.5">
      <c r="A21" s="532"/>
      <c r="B21" s="2591"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6"/>
      <c r="Q21" s="2579" t="str">
        <f>B21</f>
        <v>基础设施水平</v>
      </c>
      <c r="R21" s="1573" t="s">
        <v>8</v>
      </c>
      <c r="S21" s="1574">
        <f>F21</f>
        <v>100</v>
      </c>
      <c r="T21" s="1573" t="s">
        <v>8</v>
      </c>
      <c r="U21" s="1574">
        <f>H21</f>
        <v>100</v>
      </c>
      <c r="V21" s="1573" t="s">
        <v>8</v>
      </c>
      <c r="W21" s="1574">
        <f>J21</f>
        <v>100</v>
      </c>
      <c r="X21" s="2581"/>
      <c r="Y21" s="3426"/>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426"/>
      <c r="Q22" s="2579"/>
      <c r="R22" s="1573"/>
      <c r="S22" s="1574"/>
      <c r="T22" s="1573"/>
      <c r="U22" s="1574"/>
      <c r="V22" s="1573"/>
      <c r="W22" s="1574"/>
      <c r="X22" s="2581"/>
      <c r="Y22" s="3426"/>
      <c r="Z22" s="2580"/>
      <c r="AA22" s="1576">
        <v>1</v>
      </c>
      <c r="AB22" s="1576">
        <v>1</v>
      </c>
      <c r="AC22" s="1576">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6"/>
      <c r="Q23" s="1572" t="str">
        <f>B23</f>
        <v>环境质量</v>
      </c>
      <c r="R23" s="1573" t="s">
        <v>8</v>
      </c>
      <c r="S23" s="1574">
        <f>F23</f>
        <v>100</v>
      </c>
      <c r="T23" s="1573" t="s">
        <v>8</v>
      </c>
      <c r="U23" s="1574">
        <f>H23</f>
        <v>100</v>
      </c>
      <c r="V23" s="1573" t="s">
        <v>8</v>
      </c>
      <c r="W23" s="1574">
        <f>J23</f>
        <v>100</v>
      </c>
      <c r="X23" s="1567"/>
      <c r="Y23" s="342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26"/>
      <c r="Q24" s="1572"/>
      <c r="R24" s="1573"/>
      <c r="S24" s="1574"/>
      <c r="T24" s="1573"/>
      <c r="U24" s="1574"/>
      <c r="V24" s="1573"/>
      <c r="W24" s="1574"/>
      <c r="X24" s="1567"/>
      <c r="Y24" s="342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6"/>
      <c r="Q25" s="1572">
        <f>B25</f>
        <v>111</v>
      </c>
      <c r="R25" s="1573" t="s">
        <v>8</v>
      </c>
      <c r="S25" s="1574">
        <f>F25</f>
        <v>100</v>
      </c>
      <c r="T25" s="1573" t="s">
        <v>8</v>
      </c>
      <c r="U25" s="1574">
        <f>H25</f>
        <v>100</v>
      </c>
      <c r="V25" s="1573" t="s">
        <v>8</v>
      </c>
      <c r="W25" s="1574">
        <f>J25</f>
        <v>100</v>
      </c>
      <c r="X25" s="1567"/>
      <c r="Y25" s="342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6"/>
      <c r="Q26" s="1572">
        <f t="shared" ref="Q26:Q40" si="11">B26</f>
        <v>111</v>
      </c>
      <c r="R26" s="1573" t="s">
        <v>8</v>
      </c>
      <c r="S26" s="1574">
        <f>F26</f>
        <v>100</v>
      </c>
      <c r="T26" s="1573" t="s">
        <v>8</v>
      </c>
      <c r="U26" s="1574">
        <f>H26</f>
        <v>100</v>
      </c>
      <c r="V26" s="1573" t="s">
        <v>8</v>
      </c>
      <c r="W26" s="1574">
        <f>J26</f>
        <v>100</v>
      </c>
      <c r="X26" s="1567"/>
      <c r="Y26" s="342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6"/>
      <c r="Q27" s="1151">
        <f t="shared" si="11"/>
        <v>111</v>
      </c>
      <c r="R27" s="1568" t="s">
        <v>8</v>
      </c>
      <c r="S27" s="1569">
        <f>F27</f>
        <v>100</v>
      </c>
      <c r="T27" s="1568" t="s">
        <v>8</v>
      </c>
      <c r="U27" s="1569">
        <f>H27</f>
        <v>100</v>
      </c>
      <c r="V27" s="1568" t="s">
        <v>8</v>
      </c>
      <c r="W27" s="1569">
        <f>J27</f>
        <v>100</v>
      </c>
      <c r="X27" s="1570"/>
      <c r="Y27" s="342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6"/>
      <c r="Q28" s="1572">
        <f t="shared" si="11"/>
        <v>111</v>
      </c>
      <c r="R28" s="1573" t="s">
        <v>8</v>
      </c>
      <c r="S28" s="1574">
        <f t="shared" ref="S28:S40" si="12">F28</f>
        <v>100</v>
      </c>
      <c r="T28" s="1573" t="s">
        <v>8</v>
      </c>
      <c r="U28" s="1574">
        <f t="shared" ref="U28:U40" si="13">H28</f>
        <v>100</v>
      </c>
      <c r="V28" s="1573" t="s">
        <v>8</v>
      </c>
      <c r="W28" s="1574">
        <f t="shared" ref="W28:W40" si="14">J28</f>
        <v>100</v>
      </c>
      <c r="X28" s="1567"/>
      <c r="Y28" s="3426"/>
      <c r="Z28" s="1575">
        <f t="shared" ref="Z28:Z40" si="15">Q28</f>
        <v>111</v>
      </c>
      <c r="AA28" s="1576">
        <f t="shared" si="3"/>
        <v>1</v>
      </c>
      <c r="AB28" s="1576">
        <f t="shared" si="4"/>
        <v>1</v>
      </c>
      <c r="AC28" s="1576">
        <f t="shared" si="5"/>
        <v>1</v>
      </c>
    </row>
    <row r="29" spans="1:29" ht="15">
      <c r="A29" s="2907" t="s">
        <v>2749</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7" t="s">
        <v>548</v>
      </c>
      <c r="Q29" s="1572" t="str">
        <f t="shared" si="11"/>
        <v>建筑类型</v>
      </c>
      <c r="R29" s="1573" t="s">
        <v>8</v>
      </c>
      <c r="S29" s="1574">
        <f t="shared" si="12"/>
        <v>100</v>
      </c>
      <c r="T29" s="1573" t="s">
        <v>8</v>
      </c>
      <c r="U29" s="1574">
        <f t="shared" si="13"/>
        <v>100</v>
      </c>
      <c r="V29" s="1573" t="s">
        <v>8</v>
      </c>
      <c r="W29" s="1574">
        <f t="shared" si="14"/>
        <v>100</v>
      </c>
      <c r="X29" s="1567"/>
      <c r="Y29" s="3428" t="s">
        <v>548</v>
      </c>
      <c r="Z29" s="1575" t="str">
        <f t="shared" si="15"/>
        <v>建筑类型</v>
      </c>
      <c r="AA29" s="1576">
        <f t="shared" si="3"/>
        <v>1</v>
      </c>
      <c r="AB29" s="1576">
        <f t="shared" si="4"/>
        <v>1</v>
      </c>
      <c r="AC29" s="1576">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8"/>
      <c r="Q30" s="1605" t="str">
        <f t="shared" si="11"/>
        <v>项目建筑规模</v>
      </c>
      <c r="R30" s="1577" t="s">
        <v>8</v>
      </c>
      <c r="S30" s="1578" t="e">
        <f t="shared" si="12"/>
        <v>#N/A</v>
      </c>
      <c r="T30" s="1577" t="s">
        <v>8</v>
      </c>
      <c r="U30" s="1578" t="e">
        <f t="shared" si="13"/>
        <v>#N/A</v>
      </c>
      <c r="V30" s="1577" t="s">
        <v>8</v>
      </c>
      <c r="W30" s="1578" t="e">
        <f t="shared" si="14"/>
        <v>#N/A</v>
      </c>
      <c r="X30" s="1579"/>
      <c r="Y30" s="3428"/>
      <c r="Z30" s="1580" t="str">
        <f t="shared" si="15"/>
        <v>项目建筑规模</v>
      </c>
      <c r="AA30" s="1576" t="e">
        <f t="shared" si="3"/>
        <v>#N/A</v>
      </c>
      <c r="AB30" s="1576" t="e">
        <f t="shared" si="4"/>
        <v>#N/A</v>
      </c>
      <c r="AC30" s="1576"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8"/>
      <c r="Q31" s="1572" t="str">
        <f t="shared" si="11"/>
        <v>建筑结构</v>
      </c>
      <c r="R31" s="1573" t="s">
        <v>8</v>
      </c>
      <c r="S31" s="1574">
        <f t="shared" si="12"/>
        <v>100</v>
      </c>
      <c r="T31" s="1573" t="s">
        <v>8</v>
      </c>
      <c r="U31" s="1574">
        <f t="shared" si="13"/>
        <v>100</v>
      </c>
      <c r="V31" s="1573" t="s">
        <v>8</v>
      </c>
      <c r="W31" s="1574">
        <f t="shared" si="14"/>
        <v>100</v>
      </c>
      <c r="X31" s="1567"/>
      <c r="Y31" s="3428"/>
      <c r="Z31" s="1575" t="str">
        <f t="shared" si="15"/>
        <v>建筑结构</v>
      </c>
      <c r="AA31" s="1576">
        <f t="shared" si="3"/>
        <v>1</v>
      </c>
      <c r="AB31" s="1576">
        <f t="shared" si="4"/>
        <v>1</v>
      </c>
      <c r="AC31" s="1576">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8"/>
      <c r="Q32" s="1572" t="str">
        <f t="shared" si="11"/>
        <v>公共部分装修</v>
      </c>
      <c r="R32" s="1573" t="s">
        <v>8</v>
      </c>
      <c r="S32" s="1574">
        <f t="shared" si="12"/>
        <v>100</v>
      </c>
      <c r="T32" s="1573" t="s">
        <v>8</v>
      </c>
      <c r="U32" s="1574">
        <f t="shared" si="13"/>
        <v>100</v>
      </c>
      <c r="V32" s="1573" t="s">
        <v>8</v>
      </c>
      <c r="W32" s="1574">
        <f t="shared" si="14"/>
        <v>100</v>
      </c>
      <c r="X32" s="1567"/>
      <c r="Y32" s="3428"/>
      <c r="Z32" s="1575" t="str">
        <f t="shared" si="15"/>
        <v>公共部分装修</v>
      </c>
      <c r="AA32" s="1576">
        <f t="shared" si="3"/>
        <v>1</v>
      </c>
      <c r="AB32" s="1576">
        <f t="shared" si="4"/>
        <v>1</v>
      </c>
      <c r="AC32" s="1576">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8"/>
      <c r="Q33" s="1572" t="str">
        <f t="shared" si="11"/>
        <v>成新度</v>
      </c>
      <c r="R33" s="1573" t="s">
        <v>8</v>
      </c>
      <c r="S33" s="1574" t="e">
        <f t="shared" si="12"/>
        <v>#N/A</v>
      </c>
      <c r="T33" s="1573" t="s">
        <v>8</v>
      </c>
      <c r="U33" s="1574" t="e">
        <f t="shared" si="13"/>
        <v>#N/A</v>
      </c>
      <c r="V33" s="1573" t="s">
        <v>8</v>
      </c>
      <c r="W33" s="1574" t="e">
        <f t="shared" si="14"/>
        <v>#N/A</v>
      </c>
      <c r="X33" s="1567"/>
      <c r="Y33" s="3428"/>
      <c r="Z33" s="1575" t="str">
        <f t="shared" si="15"/>
        <v>成新度</v>
      </c>
      <c r="AA33" s="1576" t="e">
        <f t="shared" si="3"/>
        <v>#N/A</v>
      </c>
      <c r="AB33" s="1576" t="e">
        <f t="shared" si="4"/>
        <v>#N/A</v>
      </c>
      <c r="AC33" s="1576"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8"/>
      <c r="Q34" s="1151" t="str">
        <f t="shared" si="11"/>
        <v>物业管理</v>
      </c>
      <c r="R34" s="1568" t="s">
        <v>8</v>
      </c>
      <c r="S34" s="1569">
        <f t="shared" si="12"/>
        <v>100</v>
      </c>
      <c r="T34" s="1568" t="s">
        <v>8</v>
      </c>
      <c r="U34" s="1569">
        <f t="shared" si="13"/>
        <v>100</v>
      </c>
      <c r="V34" s="1568" t="s">
        <v>8</v>
      </c>
      <c r="W34" s="1569">
        <f t="shared" si="14"/>
        <v>100</v>
      </c>
      <c r="X34" s="1570"/>
      <c r="Y34" s="3428"/>
      <c r="Z34" s="1150" t="str">
        <f t="shared" si="15"/>
        <v>物业管理</v>
      </c>
      <c r="AA34" s="1571">
        <f t="shared" si="3"/>
        <v>1</v>
      </c>
      <c r="AB34" s="1571">
        <f t="shared" si="4"/>
        <v>1</v>
      </c>
      <c r="AC34" s="1571">
        <f t="shared" si="5"/>
        <v>1</v>
      </c>
    </row>
    <row r="35" spans="1:29" ht="15">
      <c r="A35" s="594"/>
      <c r="B35" s="1895"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8" t="s">
        <v>548</v>
      </c>
      <c r="Q35" s="1572" t="str">
        <f t="shared" si="11"/>
        <v>市政基础设施</v>
      </c>
      <c r="R35" s="1573" t="s">
        <v>8</v>
      </c>
      <c r="S35" s="1574">
        <f t="shared" si="12"/>
        <v>100</v>
      </c>
      <c r="T35" s="1573" t="s">
        <v>8</v>
      </c>
      <c r="U35" s="1574">
        <f t="shared" si="13"/>
        <v>100</v>
      </c>
      <c r="V35" s="1573" t="s">
        <v>8</v>
      </c>
      <c r="W35" s="1574">
        <f t="shared" si="14"/>
        <v>100</v>
      </c>
      <c r="X35" s="1567"/>
      <c r="Y35" s="3428" t="s">
        <v>548</v>
      </c>
      <c r="Z35" s="1575" t="str">
        <f t="shared" si="15"/>
        <v>市政基础设施</v>
      </c>
      <c r="AA35" s="1576">
        <f t="shared" si="3"/>
        <v>1</v>
      </c>
      <c r="AB35" s="1576">
        <f t="shared" si="4"/>
        <v>1</v>
      </c>
      <c r="AC35" s="1576">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8"/>
      <c r="Q36" s="1572" t="str">
        <f t="shared" si="11"/>
        <v>内部装修</v>
      </c>
      <c r="R36" s="1573" t="s">
        <v>8</v>
      </c>
      <c r="S36" s="1574">
        <f t="shared" si="12"/>
        <v>100</v>
      </c>
      <c r="T36" s="1573" t="s">
        <v>8</v>
      </c>
      <c r="U36" s="1574">
        <f t="shared" si="13"/>
        <v>100</v>
      </c>
      <c r="V36" s="1573" t="s">
        <v>8</v>
      </c>
      <c r="W36" s="1574">
        <f t="shared" si="14"/>
        <v>100</v>
      </c>
      <c r="X36" s="1567"/>
      <c r="Y36" s="3428"/>
      <c r="Z36" s="1575" t="str">
        <f t="shared" si="15"/>
        <v>内部装修</v>
      </c>
      <c r="AA36" s="1576">
        <f t="shared" si="3"/>
        <v>1</v>
      </c>
      <c r="AB36" s="1576">
        <f t="shared" si="4"/>
        <v>1</v>
      </c>
      <c r="AC36" s="1576">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8"/>
      <c r="Q37" s="1572" t="str">
        <f t="shared" si="11"/>
        <v>内部装修状况</v>
      </c>
      <c r="R37" s="1573" t="s">
        <v>8</v>
      </c>
      <c r="S37" s="1574">
        <f t="shared" si="12"/>
        <v>100</v>
      </c>
      <c r="T37" s="1573" t="s">
        <v>8</v>
      </c>
      <c r="U37" s="1574">
        <f t="shared" si="13"/>
        <v>100</v>
      </c>
      <c r="V37" s="1573" t="s">
        <v>8</v>
      </c>
      <c r="W37" s="1574">
        <f t="shared" si="14"/>
        <v>100</v>
      </c>
      <c r="X37" s="1567"/>
      <c r="Y37" s="342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8"/>
      <c r="Q38" s="1605">
        <f t="shared" si="11"/>
        <v>111</v>
      </c>
      <c r="R38" s="1577" t="s">
        <v>8</v>
      </c>
      <c r="S38" s="1578">
        <f t="shared" si="12"/>
        <v>100</v>
      </c>
      <c r="T38" s="1577" t="s">
        <v>8</v>
      </c>
      <c r="U38" s="1578">
        <f t="shared" si="13"/>
        <v>100</v>
      </c>
      <c r="V38" s="1577" t="s">
        <v>8</v>
      </c>
      <c r="W38" s="1578">
        <f t="shared" si="14"/>
        <v>100</v>
      </c>
      <c r="X38" s="1579"/>
      <c r="Y38" s="342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8"/>
      <c r="Q39" s="1572">
        <f t="shared" si="11"/>
        <v>111</v>
      </c>
      <c r="R39" s="1573" t="s">
        <v>8</v>
      </c>
      <c r="S39" s="1574">
        <f t="shared" si="12"/>
        <v>100</v>
      </c>
      <c r="T39" s="1573" t="s">
        <v>8</v>
      </c>
      <c r="U39" s="1574">
        <f t="shared" si="13"/>
        <v>100</v>
      </c>
      <c r="V39" s="1573" t="s">
        <v>8</v>
      </c>
      <c r="W39" s="1574">
        <f t="shared" si="14"/>
        <v>100</v>
      </c>
      <c r="X39" s="1567"/>
      <c r="Y39" s="342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5"/>
      <c r="Q40" s="1572">
        <f t="shared" si="11"/>
        <v>111</v>
      </c>
      <c r="R40" s="1573" t="s">
        <v>8</v>
      </c>
      <c r="S40" s="1574">
        <f t="shared" si="12"/>
        <v>100</v>
      </c>
      <c r="T40" s="1573" t="s">
        <v>8</v>
      </c>
      <c r="U40" s="1574">
        <f t="shared" si="13"/>
        <v>100</v>
      </c>
      <c r="V40" s="1573" t="s">
        <v>8</v>
      </c>
      <c r="W40" s="1574">
        <f t="shared" si="14"/>
        <v>100</v>
      </c>
      <c r="X40" s="1567"/>
      <c r="Y40" s="3505"/>
      <c r="Z40" s="1575">
        <f t="shared" si="15"/>
        <v>111</v>
      </c>
      <c r="AA40" s="1576">
        <f t="shared" si="3"/>
        <v>1</v>
      </c>
      <c r="AB40" s="1576">
        <f t="shared" si="4"/>
        <v>1</v>
      </c>
      <c r="AC40" s="1576">
        <f t="shared" si="5"/>
        <v>1</v>
      </c>
    </row>
    <row r="41" spans="1:29" ht="15">
      <c r="A41" s="607" t="s">
        <v>734</v>
      </c>
      <c r="B41" s="887"/>
      <c r="C41" s="2627" t="s">
        <v>1</v>
      </c>
      <c r="D41" s="2628"/>
      <c r="E41" s="2629"/>
      <c r="F41" s="2630"/>
      <c r="G41" s="2631"/>
      <c r="H41" s="2632"/>
      <c r="I41" s="2629"/>
      <c r="J41" s="2632"/>
      <c r="K41" s="1611"/>
      <c r="L41" s="2144"/>
      <c r="M41" s="2145"/>
      <c r="N41" s="2134"/>
      <c r="O41" s="2145"/>
      <c r="P41" s="3390" t="str">
        <f>A41</f>
        <v>成交单价（元/平方米）</v>
      </c>
      <c r="Q41" s="3390"/>
      <c r="R41" s="3504">
        <f>E41</f>
        <v>0</v>
      </c>
      <c r="S41" s="3504"/>
      <c r="T41" s="3504">
        <f>G41</f>
        <v>0</v>
      </c>
      <c r="U41" s="3504"/>
      <c r="V41" s="3504">
        <f>I41</f>
        <v>0</v>
      </c>
      <c r="W41" s="3504"/>
      <c r="X41" s="1559"/>
      <c r="Y41" s="1581"/>
      <c r="Z41" s="1559"/>
      <c r="AA41" s="1559"/>
      <c r="AB41" s="1559"/>
      <c r="AC41" s="1559"/>
    </row>
    <row r="42" spans="1:29" ht="15.75" thickBot="1">
      <c r="A42" s="615" t="s">
        <v>2754</v>
      </c>
      <c r="B42" s="888"/>
      <c r="C42" s="2633" t="e">
        <f>R43</f>
        <v>#DIV/0!</v>
      </c>
      <c r="D42" s="2634"/>
      <c r="E42" s="2635" t="e">
        <f>R42</f>
        <v>#DIV/0!</v>
      </c>
      <c r="F42" s="2635"/>
      <c r="G42" s="2633" t="e">
        <f>T42</f>
        <v>#DIV/0!</v>
      </c>
      <c r="H42" s="2634"/>
      <c r="I42" s="2635" t="e">
        <f>V42</f>
        <v>#DIV/0!</v>
      </c>
      <c r="J42" s="2634"/>
      <c r="K42" s="1612"/>
      <c r="L42" s="2144"/>
      <c r="M42" s="2145"/>
      <c r="N42" s="2134"/>
      <c r="O42" s="2145"/>
      <c r="P42" s="3390" t="str">
        <f>A42</f>
        <v>比较价格（元/平方米）</v>
      </c>
      <c r="Q42" s="339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9"/>
      <c r="Y42" s="1559"/>
      <c r="Z42" s="1559"/>
      <c r="AA42" s="1559"/>
      <c r="AB42" s="1559"/>
      <c r="AC42" s="1559"/>
    </row>
    <row r="43" spans="1:29" ht="15.75" thickBot="1">
      <c r="A43" s="621" t="s">
        <v>2922</v>
      </c>
      <c r="B43" s="622"/>
      <c r="C43" s="2636" t="e">
        <f>R43</f>
        <v>#DIV/0!</v>
      </c>
      <c r="D43" s="2636"/>
      <c r="E43" s="2636"/>
      <c r="F43" s="2636"/>
      <c r="G43" s="2636"/>
      <c r="H43" s="2636"/>
      <c r="I43" s="2636"/>
      <c r="J43" s="2636"/>
      <c r="K43" s="1613"/>
      <c r="L43" s="2144"/>
      <c r="M43" s="2145"/>
      <c r="N43" s="2145"/>
      <c r="O43" s="2145"/>
      <c r="P43" s="3387" t="str">
        <f>A43</f>
        <v>估价对象XX用房的比较价格（楼面单价，元/平方米）</v>
      </c>
      <c r="Q43" s="3388"/>
      <c r="R43" s="3503" t="e">
        <f>IF(F1="售价",ROUND(AVERAGE(R42:V42),0),ROUND(AVERAGE(R42:V42),1))</f>
        <v>#DIV/0!</v>
      </c>
      <c r="S43" s="3503"/>
      <c r="T43" s="3503"/>
      <c r="U43" s="3503"/>
      <c r="V43" s="3503"/>
      <c r="W43" s="3503"/>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572</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527</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573</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529</v>
      </c>
      <c r="B55" s="648"/>
      <c r="C55" s="660" t="s">
        <v>574</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575</v>
      </c>
      <c r="B57" s="665" t="s">
        <v>532</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537</v>
      </c>
      <c r="B70" s="665" t="s">
        <v>583</v>
      </c>
      <c r="C70" s="703" t="s">
        <v>577</v>
      </c>
      <c r="D70" s="703" t="s">
        <v>578</v>
      </c>
      <c r="E70" s="703" t="s">
        <v>579</v>
      </c>
      <c r="F70" s="703" t="s">
        <v>580</v>
      </c>
      <c r="G70" s="703" t="s">
        <v>581</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584</v>
      </c>
      <c r="C72" s="708" t="s">
        <v>577</v>
      </c>
      <c r="D72" s="708" t="s">
        <v>578</v>
      </c>
      <c r="E72" s="708" t="s">
        <v>579</v>
      </c>
      <c r="F72" s="708" t="s">
        <v>580</v>
      </c>
      <c r="G72" s="708" t="s">
        <v>581</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2551</v>
      </c>
      <c r="C74" s="708" t="s">
        <v>577</v>
      </c>
      <c r="D74" s="708" t="s">
        <v>578</v>
      </c>
      <c r="E74" s="708" t="s">
        <v>579</v>
      </c>
      <c r="F74" s="708" t="s">
        <v>580</v>
      </c>
      <c r="G74" s="708" t="s">
        <v>581</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2552</v>
      </c>
      <c r="C76" s="2598" t="s">
        <v>2553</v>
      </c>
      <c r="D76" s="2598" t="s">
        <v>2554</v>
      </c>
      <c r="E76" s="2598" t="s">
        <v>2555</v>
      </c>
      <c r="F76" s="2598" t="s">
        <v>2556</v>
      </c>
      <c r="G76" s="2598" t="s">
        <v>2557</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782</v>
      </c>
      <c r="C78" s="708" t="s">
        <v>577</v>
      </c>
      <c r="D78" s="708" t="s">
        <v>578</v>
      </c>
      <c r="E78" s="708" t="s">
        <v>579</v>
      </c>
      <c r="F78" s="708" t="s">
        <v>580</v>
      </c>
      <c r="G78" s="708" t="s">
        <v>581</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549</v>
      </c>
      <c r="B88" s="665" t="s">
        <v>745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749</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751</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2550</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753</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07"/>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792</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793</v>
      </c>
      <c r="B3" s="510" t="e">
        <f>IF(B37="元/平方米",C39,ROUND(B2*10000/D3,0))</f>
        <v>#DIV/0!</v>
      </c>
      <c r="C3" s="852" t="s">
        <v>794</v>
      </c>
      <c r="D3" s="851">
        <f>SUMIF('数据-汇总表'!$C19:$C33,D1,'数据-汇总表'!$E19:$E33)</f>
        <v>0</v>
      </c>
      <c r="E3" s="1848" t="s">
        <v>2075</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396" t="s">
        <v>796</v>
      </c>
      <c r="D4" s="3397"/>
      <c r="E4" s="3396" t="s">
        <v>797</v>
      </c>
      <c r="F4" s="3397"/>
      <c r="G4" s="3396" t="s">
        <v>798</v>
      </c>
      <c r="H4" s="3397"/>
      <c r="I4" s="3396" t="s">
        <v>799</v>
      </c>
      <c r="J4" s="3397"/>
      <c r="K4" s="514" t="s">
        <v>800</v>
      </c>
      <c r="L4" s="2133"/>
      <c r="M4" s="2134"/>
      <c r="N4" s="2134"/>
      <c r="O4" s="2134"/>
      <c r="P4" s="3398" t="s">
        <v>801</v>
      </c>
      <c r="Q4" s="3399"/>
      <c r="R4" s="3404" t="s">
        <v>797</v>
      </c>
      <c r="S4" s="3405"/>
      <c r="T4" s="3404" t="s">
        <v>798</v>
      </c>
      <c r="U4" s="3405"/>
      <c r="V4" s="3391" t="s">
        <v>799</v>
      </c>
      <c r="W4" s="3391"/>
      <c r="X4" s="1567"/>
      <c r="Y4" s="3404" t="s">
        <v>801</v>
      </c>
      <c r="Z4" s="3405"/>
      <c r="AA4" s="3393" t="s">
        <v>797</v>
      </c>
      <c r="AB4" s="3394" t="s">
        <v>798</v>
      </c>
      <c r="AC4" s="3393" t="s">
        <v>799</v>
      </c>
    </row>
    <row r="5" spans="1:29" ht="15">
      <c r="A5" s="515"/>
      <c r="B5" s="516"/>
      <c r="C5" s="3412" t="s">
        <v>2916</v>
      </c>
      <c r="D5" s="3413"/>
      <c r="E5" s="3412" t="s">
        <v>2917</v>
      </c>
      <c r="F5" s="3413"/>
      <c r="G5" s="3412" t="s">
        <v>2918</v>
      </c>
      <c r="H5" s="3413"/>
      <c r="I5" s="3412" t="s">
        <v>2919</v>
      </c>
      <c r="J5" s="3413"/>
      <c r="K5" s="514"/>
      <c r="L5" s="2133"/>
      <c r="M5" s="2134"/>
      <c r="N5" s="2134"/>
      <c r="O5" s="2134"/>
      <c r="P5" s="3400"/>
      <c r="Q5" s="3401"/>
      <c r="R5" s="3406"/>
      <c r="S5" s="3407"/>
      <c r="T5" s="3406"/>
      <c r="U5" s="3407"/>
      <c r="V5" s="3391"/>
      <c r="W5" s="3391"/>
      <c r="X5" s="1567"/>
      <c r="Y5" s="3406"/>
      <c r="Z5" s="3407"/>
      <c r="AA5" s="3394"/>
      <c r="AB5" s="3394"/>
      <c r="AC5" s="3394"/>
    </row>
    <row r="6" spans="1:29" ht="15.75" thickBot="1">
      <c r="A6" s="517"/>
      <c r="B6" s="518"/>
      <c r="C6" s="3410" t="s">
        <v>2920</v>
      </c>
      <c r="D6" s="3411"/>
      <c r="E6" s="3415" t="s">
        <v>2920</v>
      </c>
      <c r="F6" s="3416"/>
      <c r="G6" s="3410" t="s">
        <v>2920</v>
      </c>
      <c r="H6" s="3411"/>
      <c r="I6" s="3410" t="s">
        <v>2920</v>
      </c>
      <c r="J6" s="3411"/>
      <c r="K6" s="514" t="s">
        <v>526</v>
      </c>
      <c r="L6" s="2133"/>
      <c r="M6" s="2134"/>
      <c r="N6" s="2134"/>
      <c r="O6" s="2134"/>
      <c r="P6" s="3402"/>
      <c r="Q6" s="3403"/>
      <c r="R6" s="3406"/>
      <c r="S6" s="3407"/>
      <c r="T6" s="3408"/>
      <c r="U6" s="3409"/>
      <c r="V6" s="3391"/>
      <c r="W6" s="3391"/>
      <c r="X6" s="1567"/>
      <c r="Y6" s="3408"/>
      <c r="Z6" s="3409"/>
      <c r="AA6" s="3395"/>
      <c r="AB6" s="3395"/>
      <c r="AC6" s="3395"/>
    </row>
    <row r="7" spans="1:29" s="1220" customFormat="1" ht="15.75" thickBot="1">
      <c r="A7" s="2911"/>
      <c r="B7" s="2918" t="s">
        <v>527</v>
      </c>
      <c r="C7" s="519">
        <f>'数据-取费表'!B2</f>
        <v>43325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2" t="s">
        <v>528</v>
      </c>
      <c r="Q7" s="3424"/>
      <c r="R7" s="1568" t="s">
        <v>8</v>
      </c>
      <c r="S7" s="1569">
        <f t="shared" ref="S7:S14" si="0">F7</f>
        <v>0</v>
      </c>
      <c r="T7" s="1568" t="s">
        <v>8</v>
      </c>
      <c r="U7" s="1569">
        <f t="shared" ref="U7:U14" si="1">H7</f>
        <v>0</v>
      </c>
      <c r="V7" s="1568" t="s">
        <v>8</v>
      </c>
      <c r="W7" s="1569">
        <f t="shared" ref="W7:W14" si="2">J7</f>
        <v>0</v>
      </c>
      <c r="X7" s="1570"/>
      <c r="Y7" s="3422" t="s">
        <v>528</v>
      </c>
      <c r="Z7" s="3423"/>
      <c r="AA7" s="1571" t="e">
        <f>D7/F7</f>
        <v>#DIV/0!</v>
      </c>
      <c r="AB7" s="1571" t="e">
        <f>D7/H7</f>
        <v>#DIV/0!</v>
      </c>
      <c r="AC7" s="1571" t="e">
        <f>D7/J7</f>
        <v>#DIV/0!</v>
      </c>
    </row>
    <row r="8" spans="1:29" s="1220" customFormat="1" ht="15.75" thickBot="1">
      <c r="A8" s="2912"/>
      <c r="B8" s="2919" t="s">
        <v>529</v>
      </c>
      <c r="C8" s="525" t="s">
        <v>574</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2" t="s">
        <v>531</v>
      </c>
      <c r="Q8" s="3423"/>
      <c r="R8" s="1568" t="s">
        <v>8</v>
      </c>
      <c r="S8" s="1569">
        <f t="shared" si="0"/>
        <v>0</v>
      </c>
      <c r="T8" s="1568" t="s">
        <v>8</v>
      </c>
      <c r="U8" s="1569">
        <f t="shared" si="1"/>
        <v>0</v>
      </c>
      <c r="V8" s="1568" t="s">
        <v>8</v>
      </c>
      <c r="W8" s="1569">
        <f t="shared" si="2"/>
        <v>0</v>
      </c>
      <c r="X8" s="1570"/>
      <c r="Y8" s="3422" t="s">
        <v>531</v>
      </c>
      <c r="Z8" s="3423"/>
      <c r="AA8" s="1571" t="e">
        <f t="shared" ref="AA8:AA36" si="3">D8/F8</f>
        <v>#DIV/0!</v>
      </c>
      <c r="AB8" s="1571" t="e">
        <f t="shared" ref="AB8:AB36" si="4">D8/H8</f>
        <v>#DIV/0!</v>
      </c>
      <c r="AC8" s="1571" t="e">
        <f t="shared" ref="AC8:AC36" si="5">D8/J8</f>
        <v>#DIV/0!</v>
      </c>
    </row>
    <row r="9" spans="1:29" s="1220" customFormat="1" ht="15">
      <c r="A9" s="2913"/>
      <c r="B9" s="2920" t="s">
        <v>2750</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0" t="s">
        <v>533</v>
      </c>
      <c r="Q9" s="1151" t="str">
        <f t="shared" ref="Q9:Q14" si="6">B9</f>
        <v>用途</v>
      </c>
      <c r="R9" s="1568" t="s">
        <v>8</v>
      </c>
      <c r="S9" s="1569">
        <f t="shared" si="0"/>
        <v>100</v>
      </c>
      <c r="T9" s="1568" t="s">
        <v>8</v>
      </c>
      <c r="U9" s="1569">
        <f t="shared" si="1"/>
        <v>100</v>
      </c>
      <c r="V9" s="1568" t="s">
        <v>8</v>
      </c>
      <c r="W9" s="1569">
        <f t="shared" si="2"/>
        <v>100</v>
      </c>
      <c r="X9" s="1570"/>
      <c r="Y9" s="3336" t="s">
        <v>534</v>
      </c>
      <c r="Z9" s="1150" t="str">
        <f t="shared" ref="Z9:Z14" si="7">Q9</f>
        <v>用途</v>
      </c>
      <c r="AA9" s="1571">
        <f t="shared" si="3"/>
        <v>1</v>
      </c>
      <c r="AB9" s="1571">
        <f t="shared" si="4"/>
        <v>1</v>
      </c>
      <c r="AC9" s="1571">
        <f t="shared" si="5"/>
        <v>1</v>
      </c>
    </row>
    <row r="10" spans="1:29" s="1338" customFormat="1" ht="27">
      <c r="A10" s="2914"/>
      <c r="B10" s="2919" t="s">
        <v>2751</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0"/>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0"/>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0"/>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0"/>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
      <c r="A14" s="2909" t="s">
        <v>2748</v>
      </c>
      <c r="B14" s="547" t="s">
        <v>541</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25" t="s">
        <v>538</v>
      </c>
      <c r="Q14" s="1572" t="str">
        <f t="shared" si="6"/>
        <v>交通便捷度</v>
      </c>
      <c r="R14" s="1573" t="s">
        <v>8</v>
      </c>
      <c r="S14" s="1574">
        <f t="shared" si="0"/>
        <v>100</v>
      </c>
      <c r="T14" s="1573" t="s">
        <v>8</v>
      </c>
      <c r="U14" s="1574">
        <f t="shared" si="1"/>
        <v>100</v>
      </c>
      <c r="V14" s="1573" t="s">
        <v>8</v>
      </c>
      <c r="W14" s="1574">
        <f t="shared" si="2"/>
        <v>100</v>
      </c>
      <c r="X14" s="1567"/>
      <c r="Y14" s="3425" t="s">
        <v>538</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26"/>
      <c r="Q15" s="1572"/>
      <c r="R15" s="1573"/>
      <c r="S15" s="1574"/>
      <c r="T15" s="1573"/>
      <c r="U15" s="1574"/>
      <c r="V15" s="1573"/>
      <c r="W15" s="1574"/>
      <c r="X15" s="1567"/>
      <c r="Y15" s="3426"/>
      <c r="Z15" s="1575"/>
      <c r="AA15" s="1576">
        <v>1</v>
      </c>
      <c r="AB15" s="1576">
        <v>1</v>
      </c>
      <c r="AC15" s="1576">
        <v>1</v>
      </c>
    </row>
    <row r="16" spans="1:29" ht="15">
      <c r="A16" s="515"/>
      <c r="B16" s="2603" t="s">
        <v>2540</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26"/>
      <c r="Q16" s="1572" t="str">
        <f>B16</f>
        <v>公共配套设施</v>
      </c>
      <c r="R16" s="1573" t="s">
        <v>8</v>
      </c>
      <c r="S16" s="1574">
        <f>F16</f>
        <v>100</v>
      </c>
      <c r="T16" s="1573" t="s">
        <v>8</v>
      </c>
      <c r="U16" s="1574">
        <f>H16</f>
        <v>100</v>
      </c>
      <c r="V16" s="1573" t="s">
        <v>8</v>
      </c>
      <c r="W16" s="1574">
        <f>J16</f>
        <v>100</v>
      </c>
      <c r="X16" s="1567"/>
      <c r="Y16" s="342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26"/>
      <c r="Q17" s="1572"/>
      <c r="R17" s="1573"/>
      <c r="S17" s="1574"/>
      <c r="T17" s="1573"/>
      <c r="U17" s="1574"/>
      <c r="V17" s="1573"/>
      <c r="W17" s="1574"/>
      <c r="X17" s="1567"/>
      <c r="Y17" s="3426"/>
      <c r="Z17" s="1575"/>
      <c r="AA17" s="1576">
        <v>1</v>
      </c>
      <c r="AB17" s="1576">
        <v>1</v>
      </c>
      <c r="AC17" s="1576">
        <v>1</v>
      </c>
    </row>
    <row r="18" spans="1:29" ht="15">
      <c r="A18" s="515"/>
      <c r="B18" s="2591" t="s">
        <v>2552</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26"/>
      <c r="Q18" s="2579" t="str">
        <f>B18</f>
        <v>基础设施水平</v>
      </c>
      <c r="R18" s="1573" t="s">
        <v>8</v>
      </c>
      <c r="S18" s="1574">
        <f>F18</f>
        <v>100</v>
      </c>
      <c r="T18" s="1573" t="s">
        <v>8</v>
      </c>
      <c r="U18" s="1574">
        <f>H18</f>
        <v>100</v>
      </c>
      <c r="V18" s="1573" t="s">
        <v>8</v>
      </c>
      <c r="W18" s="1574">
        <f>J18</f>
        <v>100</v>
      </c>
      <c r="X18" s="2581"/>
      <c r="Y18" s="3426"/>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426"/>
      <c r="Q19" s="2579"/>
      <c r="R19" s="1573"/>
      <c r="S19" s="1574"/>
      <c r="T19" s="1573"/>
      <c r="U19" s="1574"/>
      <c r="V19" s="1573"/>
      <c r="W19" s="1574"/>
      <c r="X19" s="2581"/>
      <c r="Y19" s="3426"/>
      <c r="Z19" s="2580"/>
      <c r="AA19" s="1576">
        <v>1</v>
      </c>
      <c r="AB19" s="1576">
        <v>1</v>
      </c>
      <c r="AC19" s="1576">
        <v>1</v>
      </c>
    </row>
    <row r="20" spans="1:29" ht="15">
      <c r="A20" s="515"/>
      <c r="B20" s="560" t="s">
        <v>802</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26"/>
      <c r="Q20" s="1572" t="str">
        <f>B20</f>
        <v>自然及人文环境</v>
      </c>
      <c r="R20" s="1573" t="s">
        <v>8</v>
      </c>
      <c r="S20" s="1574">
        <f>F20</f>
        <v>100</v>
      </c>
      <c r="T20" s="1573" t="s">
        <v>8</v>
      </c>
      <c r="U20" s="1574">
        <f>H20</f>
        <v>100</v>
      </c>
      <c r="V20" s="1573" t="s">
        <v>8</v>
      </c>
      <c r="W20" s="1574">
        <f>J20</f>
        <v>100</v>
      </c>
      <c r="X20" s="1567"/>
      <c r="Y20" s="342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26"/>
      <c r="Q21" s="1572"/>
      <c r="R21" s="1573"/>
      <c r="S21" s="1574"/>
      <c r="T21" s="1573"/>
      <c r="U21" s="1574"/>
      <c r="V21" s="1573"/>
      <c r="W21" s="1574"/>
      <c r="X21" s="1567"/>
      <c r="Y21" s="3426"/>
      <c r="Z21" s="1575"/>
      <c r="AA21" s="1576">
        <v>1</v>
      </c>
      <c r="AB21" s="1576">
        <v>1</v>
      </c>
      <c r="AC21" s="1576">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6"/>
      <c r="Q22" s="1572" t="str">
        <f>B22</f>
        <v>楼层</v>
      </c>
      <c r="R22" s="1573" t="s">
        <v>8</v>
      </c>
      <c r="S22" s="1574">
        <f>F22</f>
        <v>100</v>
      </c>
      <c r="T22" s="1573" t="s">
        <v>8</v>
      </c>
      <c r="U22" s="1574">
        <f>H22</f>
        <v>100</v>
      </c>
      <c r="V22" s="1573" t="s">
        <v>8</v>
      </c>
      <c r="W22" s="1574">
        <f>J22</f>
        <v>100</v>
      </c>
      <c r="X22" s="1567"/>
      <c r="Y22" s="342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6"/>
      <c r="Q23" s="1572">
        <f>B23</f>
        <v>111</v>
      </c>
      <c r="R23" s="1573" t="s">
        <v>8</v>
      </c>
      <c r="S23" s="1574">
        <f>F23</f>
        <v>100</v>
      </c>
      <c r="T23" s="1573" t="s">
        <v>8</v>
      </c>
      <c r="U23" s="1574">
        <f>H23</f>
        <v>100</v>
      </c>
      <c r="V23" s="1573" t="s">
        <v>8</v>
      </c>
      <c r="W23" s="1574">
        <f>J23</f>
        <v>100</v>
      </c>
      <c r="X23" s="1567"/>
      <c r="Y23" s="342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6"/>
      <c r="Q24" s="1572">
        <f t="shared" ref="Q24:Q36" si="11">B24</f>
        <v>111</v>
      </c>
      <c r="R24" s="1573" t="s">
        <v>8</v>
      </c>
      <c r="S24" s="1574">
        <f>F24</f>
        <v>100</v>
      </c>
      <c r="T24" s="1573" t="s">
        <v>8</v>
      </c>
      <c r="U24" s="1574">
        <f>H24</f>
        <v>100</v>
      </c>
      <c r="V24" s="1573" t="s">
        <v>8</v>
      </c>
      <c r="W24" s="1574">
        <f>J24</f>
        <v>100</v>
      </c>
      <c r="X24" s="1567"/>
      <c r="Y24" s="342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6"/>
      <c r="Q25" s="1151">
        <f t="shared" si="11"/>
        <v>111</v>
      </c>
      <c r="R25" s="1568" t="s">
        <v>8</v>
      </c>
      <c r="S25" s="1569">
        <f>F25</f>
        <v>100</v>
      </c>
      <c r="T25" s="1568" t="s">
        <v>8</v>
      </c>
      <c r="U25" s="1569">
        <f>H25</f>
        <v>100</v>
      </c>
      <c r="V25" s="1568" t="s">
        <v>8</v>
      </c>
      <c r="W25" s="1569">
        <f>J25</f>
        <v>100</v>
      </c>
      <c r="X25" s="1570"/>
      <c r="Y25" s="3426"/>
      <c r="Z25" s="1150">
        <f>Q25</f>
        <v>111</v>
      </c>
      <c r="AA25" s="1576">
        <f>D25/F25</f>
        <v>1</v>
      </c>
      <c r="AB25" s="1576">
        <f>D25/H25</f>
        <v>1</v>
      </c>
      <c r="AC25" s="1576">
        <f>D25/J25</f>
        <v>1</v>
      </c>
    </row>
    <row r="26" spans="1:29" ht="15">
      <c r="A26" s="2907" t="s">
        <v>2749</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7" t="s">
        <v>548</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8" t="s">
        <v>548</v>
      </c>
      <c r="Z26" s="1575" t="str">
        <f t="shared" ref="Z26:Z36" si="15">Q26</f>
        <v>配套类型</v>
      </c>
      <c r="AA26" s="1576">
        <f t="shared" si="3"/>
        <v>1</v>
      </c>
      <c r="AB26" s="1576">
        <f t="shared" si="4"/>
        <v>1</v>
      </c>
      <c r="AC26" s="1576">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8"/>
      <c r="Q27" s="1605" t="str">
        <f t="shared" si="11"/>
        <v>项目停车位配比</v>
      </c>
      <c r="R27" s="1577" t="s">
        <v>8</v>
      </c>
      <c r="S27" s="1578">
        <f t="shared" si="12"/>
        <v>100</v>
      </c>
      <c r="T27" s="1577" t="s">
        <v>8</v>
      </c>
      <c r="U27" s="1578">
        <f t="shared" si="13"/>
        <v>100</v>
      </c>
      <c r="V27" s="1577" t="s">
        <v>8</v>
      </c>
      <c r="W27" s="1578">
        <f t="shared" si="14"/>
        <v>100</v>
      </c>
      <c r="X27" s="1579"/>
      <c r="Y27" s="3428"/>
      <c r="Z27" s="1580" t="str">
        <f t="shared" si="15"/>
        <v>项目停车位配比</v>
      </c>
      <c r="AA27" s="1576">
        <f t="shared" si="3"/>
        <v>1</v>
      </c>
      <c r="AB27" s="1576">
        <f t="shared" si="4"/>
        <v>1</v>
      </c>
      <c r="AC27" s="1576">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8"/>
      <c r="Q28" s="1572" t="str">
        <f t="shared" si="11"/>
        <v>公共部分装修</v>
      </c>
      <c r="R28" s="1573" t="s">
        <v>8</v>
      </c>
      <c r="S28" s="1574">
        <f t="shared" si="12"/>
        <v>100</v>
      </c>
      <c r="T28" s="1573" t="s">
        <v>8</v>
      </c>
      <c r="U28" s="1574">
        <f t="shared" si="13"/>
        <v>100</v>
      </c>
      <c r="V28" s="1573" t="s">
        <v>8</v>
      </c>
      <c r="W28" s="1574">
        <f t="shared" si="14"/>
        <v>100</v>
      </c>
      <c r="X28" s="1567"/>
      <c r="Y28" s="3428"/>
      <c r="Z28" s="1575" t="str">
        <f t="shared" si="15"/>
        <v>公共部分装修</v>
      </c>
      <c r="AA28" s="1576">
        <f t="shared" si="3"/>
        <v>1</v>
      </c>
      <c r="AB28" s="1576">
        <f t="shared" si="4"/>
        <v>1</v>
      </c>
      <c r="AC28" s="1576">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8"/>
      <c r="Q29" s="1572" t="str">
        <f t="shared" si="11"/>
        <v>成新率</v>
      </c>
      <c r="R29" s="1573" t="s">
        <v>8</v>
      </c>
      <c r="S29" s="1574" t="e">
        <f t="shared" si="12"/>
        <v>#N/A</v>
      </c>
      <c r="T29" s="1573" t="s">
        <v>8</v>
      </c>
      <c r="U29" s="1574" t="e">
        <f t="shared" si="13"/>
        <v>#N/A</v>
      </c>
      <c r="V29" s="1573" t="s">
        <v>8</v>
      </c>
      <c r="W29" s="1574" t="e">
        <f t="shared" si="14"/>
        <v>#N/A</v>
      </c>
      <c r="X29" s="1567"/>
      <c r="Y29" s="3428"/>
      <c r="Z29" s="1575" t="str">
        <f t="shared" si="15"/>
        <v>成新率</v>
      </c>
      <c r="AA29" s="1576" t="e">
        <f t="shared" si="3"/>
        <v>#N/A</v>
      </c>
      <c r="AB29" s="1576" t="e">
        <f t="shared" si="4"/>
        <v>#N/A</v>
      </c>
      <c r="AC29" s="1576"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8"/>
      <c r="Q30" s="1572" t="str">
        <f t="shared" si="11"/>
        <v>物业等级</v>
      </c>
      <c r="R30" s="1573" t="s">
        <v>8</v>
      </c>
      <c r="S30" s="1574">
        <f t="shared" si="12"/>
        <v>100</v>
      </c>
      <c r="T30" s="1573" t="s">
        <v>8</v>
      </c>
      <c r="U30" s="1574">
        <f t="shared" si="13"/>
        <v>100</v>
      </c>
      <c r="V30" s="1573" t="s">
        <v>8</v>
      </c>
      <c r="W30" s="1574">
        <f t="shared" si="14"/>
        <v>100</v>
      </c>
      <c r="X30" s="1567"/>
      <c r="Y30" s="3428"/>
      <c r="Z30" s="1575" t="str">
        <f t="shared" si="15"/>
        <v>物业等级</v>
      </c>
      <c r="AA30" s="1576">
        <f t="shared" si="3"/>
        <v>1</v>
      </c>
      <c r="AB30" s="1576">
        <f t="shared" si="4"/>
        <v>1</v>
      </c>
      <c r="AC30" s="1576">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8"/>
      <c r="Q31" s="1151" t="str">
        <f t="shared" si="11"/>
        <v>停车位面积</v>
      </c>
      <c r="R31" s="1568" t="s">
        <v>8</v>
      </c>
      <c r="S31" s="1569" t="e">
        <f t="shared" si="12"/>
        <v>#N/A</v>
      </c>
      <c r="T31" s="1568" t="s">
        <v>8</v>
      </c>
      <c r="U31" s="1569" t="e">
        <f t="shared" si="13"/>
        <v>#N/A</v>
      </c>
      <c r="V31" s="1568" t="s">
        <v>8</v>
      </c>
      <c r="W31" s="1569" t="e">
        <f t="shared" si="14"/>
        <v>#N/A</v>
      </c>
      <c r="X31" s="1570"/>
      <c r="Y31" s="3428"/>
      <c r="Z31" s="1150" t="str">
        <f t="shared" si="15"/>
        <v>停车位面积</v>
      </c>
      <c r="AA31" s="1571" t="e">
        <f t="shared" si="3"/>
        <v>#N/A</v>
      </c>
      <c r="AB31" s="1571" t="e">
        <f t="shared" si="4"/>
        <v>#N/A</v>
      </c>
      <c r="AC31" s="1571"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8" t="s">
        <v>548</v>
      </c>
      <c r="Q32" s="1572" t="str">
        <f t="shared" si="11"/>
        <v>车位类型</v>
      </c>
      <c r="R32" s="1573" t="s">
        <v>8</v>
      </c>
      <c r="S32" s="1574">
        <f t="shared" si="12"/>
        <v>100</v>
      </c>
      <c r="T32" s="1573" t="s">
        <v>8</v>
      </c>
      <c r="U32" s="1574">
        <f t="shared" si="13"/>
        <v>100</v>
      </c>
      <c r="V32" s="1573" t="s">
        <v>8</v>
      </c>
      <c r="W32" s="1574">
        <f t="shared" si="14"/>
        <v>100</v>
      </c>
      <c r="X32" s="1567"/>
      <c r="Y32" s="3428" t="s">
        <v>548</v>
      </c>
      <c r="Z32" s="1575" t="str">
        <f t="shared" si="15"/>
        <v>车位类型</v>
      </c>
      <c r="AA32" s="1576">
        <f t="shared" si="3"/>
        <v>1</v>
      </c>
      <c r="AB32" s="1576">
        <f t="shared" si="4"/>
        <v>1</v>
      </c>
      <c r="AC32" s="1576">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8"/>
      <c r="Q33" s="1572" t="str">
        <f t="shared" si="11"/>
        <v>是否直接入户</v>
      </c>
      <c r="R33" s="1573" t="s">
        <v>8</v>
      </c>
      <c r="S33" s="1574">
        <f t="shared" si="12"/>
        <v>100</v>
      </c>
      <c r="T33" s="1573" t="s">
        <v>8</v>
      </c>
      <c r="U33" s="1574">
        <f t="shared" si="13"/>
        <v>100</v>
      </c>
      <c r="V33" s="1573" t="s">
        <v>8</v>
      </c>
      <c r="W33" s="1574">
        <f t="shared" si="14"/>
        <v>100</v>
      </c>
      <c r="X33" s="1567"/>
      <c r="Y33" s="342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8"/>
      <c r="Q34" s="1572">
        <f t="shared" si="11"/>
        <v>111</v>
      </c>
      <c r="R34" s="1573" t="s">
        <v>8</v>
      </c>
      <c r="S34" s="1574">
        <f t="shared" si="12"/>
        <v>100</v>
      </c>
      <c r="T34" s="1573" t="s">
        <v>8</v>
      </c>
      <c r="U34" s="1574">
        <f t="shared" si="13"/>
        <v>100</v>
      </c>
      <c r="V34" s="1573" t="s">
        <v>8</v>
      </c>
      <c r="W34" s="1574">
        <f t="shared" si="14"/>
        <v>100</v>
      </c>
      <c r="X34" s="1567"/>
      <c r="Y34" s="342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8"/>
      <c r="Q35" s="1605">
        <f t="shared" si="11"/>
        <v>111</v>
      </c>
      <c r="R35" s="1577" t="s">
        <v>8</v>
      </c>
      <c r="S35" s="1578">
        <f t="shared" si="12"/>
        <v>100</v>
      </c>
      <c r="T35" s="1577" t="s">
        <v>8</v>
      </c>
      <c r="U35" s="1578">
        <f t="shared" si="13"/>
        <v>100</v>
      </c>
      <c r="V35" s="1577" t="s">
        <v>8</v>
      </c>
      <c r="W35" s="1578">
        <f t="shared" si="14"/>
        <v>100</v>
      </c>
      <c r="X35" s="1579"/>
      <c r="Y35" s="342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8"/>
      <c r="Q36" s="1572">
        <f t="shared" si="11"/>
        <v>111</v>
      </c>
      <c r="R36" s="1573" t="s">
        <v>8</v>
      </c>
      <c r="S36" s="1574">
        <f t="shared" si="12"/>
        <v>100</v>
      </c>
      <c r="T36" s="1573" t="s">
        <v>8</v>
      </c>
      <c r="U36" s="1574">
        <f t="shared" si="13"/>
        <v>100</v>
      </c>
      <c r="V36" s="1573" t="s">
        <v>8</v>
      </c>
      <c r="W36" s="1574">
        <f t="shared" si="14"/>
        <v>100</v>
      </c>
      <c r="X36" s="1567"/>
      <c r="Y36" s="3428"/>
      <c r="Z36" s="1575">
        <f t="shared" si="15"/>
        <v>111</v>
      </c>
      <c r="AA36" s="1576">
        <f t="shared" si="3"/>
        <v>1</v>
      </c>
      <c r="AB36" s="1576">
        <f t="shared" si="4"/>
        <v>1</v>
      </c>
      <c r="AC36" s="1576">
        <f t="shared" si="5"/>
        <v>1</v>
      </c>
    </row>
    <row r="37" spans="1:29" ht="15">
      <c r="A37" s="1846" t="s">
        <v>2076</v>
      </c>
      <c r="B37" s="1847" t="s">
        <v>2077</v>
      </c>
      <c r="C37" s="2627" t="s">
        <v>1</v>
      </c>
      <c r="D37" s="2628"/>
      <c r="E37" s="2629"/>
      <c r="F37" s="2630"/>
      <c r="G37" s="2631"/>
      <c r="H37" s="2632"/>
      <c r="I37" s="2629"/>
      <c r="J37" s="2632"/>
      <c r="K37" s="1611"/>
      <c r="L37" s="2144"/>
      <c r="M37" s="2145"/>
      <c r="N37" s="2134"/>
      <c r="O37" s="2145"/>
      <c r="P37" s="3390" t="str">
        <f>A37</f>
        <v>成交单价</v>
      </c>
      <c r="Q37" s="3390"/>
      <c r="R37" s="3504">
        <f>E37</f>
        <v>0</v>
      </c>
      <c r="S37" s="3504"/>
      <c r="T37" s="3504">
        <f>G37</f>
        <v>0</v>
      </c>
      <c r="U37" s="3504"/>
      <c r="V37" s="3504">
        <f>I37</f>
        <v>0</v>
      </c>
      <c r="W37" s="3504"/>
      <c r="X37" s="1559"/>
      <c r="Y37" s="1581"/>
      <c r="Z37" s="1559"/>
      <c r="AA37" s="1559"/>
      <c r="AB37" s="1559"/>
      <c r="AC37" s="1559"/>
    </row>
    <row r="38" spans="1:29" ht="15.75" thickBot="1">
      <c r="A38" s="615" t="s">
        <v>2754</v>
      </c>
      <c r="B38" s="888"/>
      <c r="C38" s="2633" t="e">
        <f>R39</f>
        <v>#DIV/0!</v>
      </c>
      <c r="D38" s="2634"/>
      <c r="E38" s="2635" t="e">
        <f>R38</f>
        <v>#DIV/0!</v>
      </c>
      <c r="F38" s="2635"/>
      <c r="G38" s="2633" t="e">
        <f>T38</f>
        <v>#DIV/0!</v>
      </c>
      <c r="H38" s="2634"/>
      <c r="I38" s="2635" t="e">
        <f>V38</f>
        <v>#DIV/0!</v>
      </c>
      <c r="J38" s="2634"/>
      <c r="K38" s="1612"/>
      <c r="L38" s="2144"/>
      <c r="M38" s="2145"/>
      <c r="N38" s="2145"/>
      <c r="O38" s="2145"/>
      <c r="P38" s="3390" t="str">
        <f>A38</f>
        <v>比较价格（元/平方米）</v>
      </c>
      <c r="Q38" s="3390"/>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9"/>
      <c r="Y38" s="1559"/>
      <c r="Z38" s="1559"/>
      <c r="AA38" s="1559"/>
      <c r="AB38" s="1559"/>
      <c r="AC38" s="1559"/>
    </row>
    <row r="39" spans="1:29" ht="15.75" thickBot="1">
      <c r="A39" s="621" t="s">
        <v>2922</v>
      </c>
      <c r="B39" s="622"/>
      <c r="C39" s="2636" t="e">
        <f>R39</f>
        <v>#DIV/0!</v>
      </c>
      <c r="D39" s="2636"/>
      <c r="E39" s="2636"/>
      <c r="F39" s="2636"/>
      <c r="G39" s="2636"/>
      <c r="H39" s="2636"/>
      <c r="I39" s="2636"/>
      <c r="J39" s="2636"/>
      <c r="K39" s="1613"/>
      <c r="L39" s="2144"/>
      <c r="M39" s="2145"/>
      <c r="N39" s="2145"/>
      <c r="O39" s="2145"/>
      <c r="P39" s="3387" t="str">
        <f>A39</f>
        <v>估价对象XX用房的比较价格（楼面单价，元/平方米）</v>
      </c>
      <c r="Q39" s="3388"/>
      <c r="R39" s="3503" t="e">
        <f>IF(F1="售价",ROUND(AVERAGE(R38:V38),0),ROUND(AVERAGE(R38:V38),1))</f>
        <v>#DIV/0!</v>
      </c>
      <c r="S39" s="3503"/>
      <c r="T39" s="3503"/>
      <c r="U39" s="3503"/>
      <c r="V39" s="3503"/>
      <c r="W39" s="3503"/>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572</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527</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573</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529</v>
      </c>
      <c r="B51" s="648"/>
      <c r="C51" s="660" t="s">
        <v>574</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575</v>
      </c>
      <c r="B53" s="665" t="s">
        <v>532</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2551</v>
      </c>
      <c r="C65" s="708" t="s">
        <v>577</v>
      </c>
      <c r="D65" s="708" t="s">
        <v>578</v>
      </c>
      <c r="E65" s="708" t="s">
        <v>579</v>
      </c>
      <c r="F65" s="708" t="s">
        <v>580</v>
      </c>
      <c r="G65" s="708" t="s">
        <v>581</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2552</v>
      </c>
      <c r="C67" s="2598" t="s">
        <v>2553</v>
      </c>
      <c r="D67" s="2598" t="s">
        <v>2554</v>
      </c>
      <c r="E67" s="2598" t="s">
        <v>2555</v>
      </c>
      <c r="F67" s="2598" t="s">
        <v>2556</v>
      </c>
      <c r="G67" s="2598" t="s">
        <v>2557</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708" t="s">
        <v>577</v>
      </c>
      <c r="D69" s="708" t="s">
        <v>578</v>
      </c>
      <c r="E69" s="708" t="s">
        <v>579</v>
      </c>
      <c r="F69" s="708" t="s">
        <v>580</v>
      </c>
      <c r="G69" s="708" t="s">
        <v>581</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743</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549</v>
      </c>
      <c r="B79" s="665" t="s">
        <v>812</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813</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749</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815</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817</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818</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07"/>
      <c r="G1" s="1601" t="s">
        <v>791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792</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793</v>
      </c>
      <c r="B3" s="510" t="e">
        <f>C37</f>
        <v>#DIV/0!</v>
      </c>
      <c r="C3" s="852" t="s">
        <v>794</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795</v>
      </c>
      <c r="B4" s="513"/>
      <c r="C4" s="3396" t="s">
        <v>796</v>
      </c>
      <c r="D4" s="3397"/>
      <c r="E4" s="3431" t="s">
        <v>797</v>
      </c>
      <c r="F4" s="3432"/>
      <c r="G4" s="3396" t="s">
        <v>798</v>
      </c>
      <c r="H4" s="3397"/>
      <c r="I4" s="3396" t="s">
        <v>799</v>
      </c>
      <c r="J4" s="3397"/>
      <c r="K4" s="514" t="s">
        <v>800</v>
      </c>
      <c r="L4" s="2133"/>
      <c r="M4" s="2134"/>
      <c r="N4" s="2134"/>
      <c r="O4" s="2134"/>
      <c r="P4" s="3398" t="s">
        <v>801</v>
      </c>
      <c r="Q4" s="3399"/>
      <c r="R4" s="3404" t="s">
        <v>797</v>
      </c>
      <c r="S4" s="3405"/>
      <c r="T4" s="3404" t="s">
        <v>798</v>
      </c>
      <c r="U4" s="3405"/>
      <c r="V4" s="3391" t="s">
        <v>799</v>
      </c>
      <c r="W4" s="3391"/>
      <c r="X4" s="1567"/>
      <c r="Y4" s="3404" t="s">
        <v>801</v>
      </c>
      <c r="Z4" s="3405"/>
      <c r="AA4" s="3393" t="s">
        <v>797</v>
      </c>
      <c r="AB4" s="3394" t="s">
        <v>798</v>
      </c>
      <c r="AC4" s="3393" t="s">
        <v>799</v>
      </c>
    </row>
    <row r="5" spans="1:29" ht="15">
      <c r="A5" s="515"/>
      <c r="B5" s="516"/>
      <c r="C5" s="3412" t="s">
        <v>2916</v>
      </c>
      <c r="D5" s="3413"/>
      <c r="E5" s="3433" t="s">
        <v>2917</v>
      </c>
      <c r="F5" s="3434"/>
      <c r="G5" s="3412" t="s">
        <v>2918</v>
      </c>
      <c r="H5" s="3413"/>
      <c r="I5" s="3412" t="s">
        <v>2919</v>
      </c>
      <c r="J5" s="3413"/>
      <c r="K5" s="514"/>
      <c r="L5" s="2133"/>
      <c r="M5" s="2134"/>
      <c r="N5" s="2134"/>
      <c r="O5" s="2134"/>
      <c r="P5" s="3400"/>
      <c r="Q5" s="3401"/>
      <c r="R5" s="3406"/>
      <c r="S5" s="3407"/>
      <c r="T5" s="3406"/>
      <c r="U5" s="3407"/>
      <c r="V5" s="3391"/>
      <c r="W5" s="3391"/>
      <c r="X5" s="1567"/>
      <c r="Y5" s="3406"/>
      <c r="Z5" s="3407"/>
      <c r="AA5" s="3394"/>
      <c r="AB5" s="3394"/>
      <c r="AC5" s="3394"/>
    </row>
    <row r="6" spans="1:29" ht="15.75" thickBot="1">
      <c r="A6" s="517"/>
      <c r="B6" s="518"/>
      <c r="C6" s="3410" t="s">
        <v>2920</v>
      </c>
      <c r="D6" s="3411"/>
      <c r="E6" s="3429" t="s">
        <v>2920</v>
      </c>
      <c r="F6" s="3430"/>
      <c r="G6" s="3410" t="s">
        <v>2920</v>
      </c>
      <c r="H6" s="3411"/>
      <c r="I6" s="3410" t="s">
        <v>2920</v>
      </c>
      <c r="J6" s="3411"/>
      <c r="K6" s="514" t="s">
        <v>526</v>
      </c>
      <c r="L6" s="2133"/>
      <c r="M6" s="2134"/>
      <c r="N6" s="2134"/>
      <c r="O6" s="2134"/>
      <c r="P6" s="3402"/>
      <c r="Q6" s="3403"/>
      <c r="R6" s="3406"/>
      <c r="S6" s="3407"/>
      <c r="T6" s="3408"/>
      <c r="U6" s="3409"/>
      <c r="V6" s="3391"/>
      <c r="W6" s="3391"/>
      <c r="X6" s="1567"/>
      <c r="Y6" s="3408"/>
      <c r="Z6" s="3409"/>
      <c r="AA6" s="3395"/>
      <c r="AB6" s="3395"/>
      <c r="AC6" s="3395"/>
    </row>
    <row r="7" spans="1:29" s="1220" customFormat="1" ht="15.75" thickBot="1">
      <c r="A7" s="2911"/>
      <c r="B7" s="2918" t="s">
        <v>527</v>
      </c>
      <c r="C7" s="519">
        <f>'数据-取费表'!B2</f>
        <v>43325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2" t="s">
        <v>528</v>
      </c>
      <c r="Q7" s="3424"/>
      <c r="R7" s="1568" t="s">
        <v>8</v>
      </c>
      <c r="S7" s="1569">
        <f t="shared" ref="S7:S14" si="0">F7</f>
        <v>0</v>
      </c>
      <c r="T7" s="1568" t="s">
        <v>8</v>
      </c>
      <c r="U7" s="1569">
        <f t="shared" ref="U7:U14" si="1">H7</f>
        <v>0</v>
      </c>
      <c r="V7" s="1568" t="s">
        <v>8</v>
      </c>
      <c r="W7" s="1569">
        <f t="shared" ref="W7:W14" si="2">J7</f>
        <v>0</v>
      </c>
      <c r="X7" s="1570"/>
      <c r="Y7" s="3422" t="s">
        <v>528</v>
      </c>
      <c r="Z7" s="3423"/>
      <c r="AA7" s="1571" t="e">
        <f>D7/F7</f>
        <v>#DIV/0!</v>
      </c>
      <c r="AB7" s="1571" t="e">
        <f>D7/H7</f>
        <v>#DIV/0!</v>
      </c>
      <c r="AC7" s="1571" t="e">
        <f>D7/J7</f>
        <v>#DIV/0!</v>
      </c>
    </row>
    <row r="8" spans="1:29" s="1220" customFormat="1" ht="15.75" thickBot="1">
      <c r="A8" s="2912"/>
      <c r="B8" s="2919" t="s">
        <v>529</v>
      </c>
      <c r="C8" s="525" t="s">
        <v>574</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2" t="s">
        <v>531</v>
      </c>
      <c r="Q8" s="3423"/>
      <c r="R8" s="1568" t="s">
        <v>8</v>
      </c>
      <c r="S8" s="1569">
        <f t="shared" si="0"/>
        <v>0</v>
      </c>
      <c r="T8" s="1568" t="s">
        <v>8</v>
      </c>
      <c r="U8" s="1569">
        <f t="shared" si="1"/>
        <v>0</v>
      </c>
      <c r="V8" s="1568" t="s">
        <v>8</v>
      </c>
      <c r="W8" s="1569">
        <f t="shared" si="2"/>
        <v>0</v>
      </c>
      <c r="X8" s="1570"/>
      <c r="Y8" s="3422" t="s">
        <v>531</v>
      </c>
      <c r="Z8" s="3423"/>
      <c r="AA8" s="1571" t="e">
        <f t="shared" ref="AA8:AA34" si="3">D8/F8</f>
        <v>#DIV/0!</v>
      </c>
      <c r="AB8" s="1571" t="e">
        <f t="shared" ref="AB8:AB34" si="4">D8/H8</f>
        <v>#DIV/0!</v>
      </c>
      <c r="AC8" s="1571" t="e">
        <f t="shared" ref="AC8:AC34" si="5">D8/J8</f>
        <v>#DIV/0!</v>
      </c>
    </row>
    <row r="9" spans="1:29" s="1220" customFormat="1" ht="15">
      <c r="A9" s="2913"/>
      <c r="B9" s="2920" t="s">
        <v>2750</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0" t="s">
        <v>533</v>
      </c>
      <c r="Q9" s="1151" t="str">
        <f t="shared" ref="Q9:Q14" si="6">B9</f>
        <v>用途</v>
      </c>
      <c r="R9" s="1568" t="s">
        <v>8</v>
      </c>
      <c r="S9" s="1569">
        <f t="shared" si="0"/>
        <v>100</v>
      </c>
      <c r="T9" s="1568" t="s">
        <v>8</v>
      </c>
      <c r="U9" s="1569">
        <f t="shared" si="1"/>
        <v>100</v>
      </c>
      <c r="V9" s="1568" t="s">
        <v>8</v>
      </c>
      <c r="W9" s="1569">
        <f t="shared" si="2"/>
        <v>100</v>
      </c>
      <c r="X9" s="1570"/>
      <c r="Y9" s="3336" t="s">
        <v>534</v>
      </c>
      <c r="Z9" s="1150" t="str">
        <f t="shared" ref="Z9:Z14" si="7">Q9</f>
        <v>用途</v>
      </c>
      <c r="AA9" s="1571">
        <f t="shared" si="3"/>
        <v>1</v>
      </c>
      <c r="AB9" s="1571">
        <f t="shared" si="4"/>
        <v>1</v>
      </c>
      <c r="AC9" s="1571">
        <f t="shared" si="5"/>
        <v>1</v>
      </c>
    </row>
    <row r="10" spans="1:29" s="1338" customFormat="1" ht="27">
      <c r="A10" s="2914"/>
      <c r="B10" s="2919" t="s">
        <v>2751</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0"/>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0"/>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0"/>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0"/>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
      <c r="A14" s="2909" t="s">
        <v>2748</v>
      </c>
      <c r="B14" s="166" t="s">
        <v>541</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5" t="s">
        <v>538</v>
      </c>
      <c r="Q14" s="1572" t="str">
        <f t="shared" si="6"/>
        <v>交通便捷度</v>
      </c>
      <c r="R14" s="1573" t="s">
        <v>8</v>
      </c>
      <c r="S14" s="1574">
        <f t="shared" si="0"/>
        <v>100</v>
      </c>
      <c r="T14" s="1573" t="s">
        <v>8</v>
      </c>
      <c r="U14" s="1574">
        <f t="shared" si="1"/>
        <v>100</v>
      </c>
      <c r="V14" s="1573" t="s">
        <v>8</v>
      </c>
      <c r="W14" s="1574">
        <f t="shared" si="2"/>
        <v>100</v>
      </c>
      <c r="X14" s="1567"/>
      <c r="Y14" s="3425" t="s">
        <v>538</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26"/>
      <c r="Q15" s="1572"/>
      <c r="R15" s="1573"/>
      <c r="S15" s="1574"/>
      <c r="T15" s="1573"/>
      <c r="U15" s="1574"/>
      <c r="V15" s="1573"/>
      <c r="W15" s="1574"/>
      <c r="X15" s="1567"/>
      <c r="Y15" s="3426"/>
      <c r="Z15" s="1575"/>
      <c r="AA15" s="1576">
        <v>1</v>
      </c>
      <c r="AB15" s="1576">
        <v>1</v>
      </c>
      <c r="AC15" s="1576">
        <v>1</v>
      </c>
    </row>
    <row r="16" spans="1:29" ht="15">
      <c r="A16" s="532"/>
      <c r="B16" s="2603" t="s">
        <v>2540</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6"/>
      <c r="Q16" s="1572" t="str">
        <f>B16</f>
        <v>公共配套设施</v>
      </c>
      <c r="R16" s="1573" t="s">
        <v>8</v>
      </c>
      <c r="S16" s="1574">
        <f>F16</f>
        <v>100</v>
      </c>
      <c r="T16" s="1573" t="s">
        <v>8</v>
      </c>
      <c r="U16" s="1574">
        <f>H16</f>
        <v>100</v>
      </c>
      <c r="V16" s="1573" t="s">
        <v>8</v>
      </c>
      <c r="W16" s="1574">
        <f>J16</f>
        <v>100</v>
      </c>
      <c r="X16" s="1567"/>
      <c r="Y16" s="342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26"/>
      <c r="Q17" s="1572"/>
      <c r="R17" s="1573"/>
      <c r="S17" s="1574"/>
      <c r="T17" s="1573"/>
      <c r="U17" s="1574"/>
      <c r="V17" s="1573"/>
      <c r="W17" s="1574"/>
      <c r="X17" s="1567"/>
      <c r="Y17" s="3426"/>
      <c r="Z17" s="1575"/>
      <c r="AA17" s="1576">
        <v>1</v>
      </c>
      <c r="AB17" s="1576">
        <v>1</v>
      </c>
      <c r="AC17" s="1576">
        <v>1</v>
      </c>
    </row>
    <row r="18" spans="1:29" ht="15">
      <c r="A18" s="532"/>
      <c r="B18" s="2591" t="s">
        <v>2552</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6"/>
      <c r="Q18" s="2579" t="str">
        <f>B18</f>
        <v>基础设施水平</v>
      </c>
      <c r="R18" s="1573" t="s">
        <v>8</v>
      </c>
      <c r="S18" s="1574">
        <f>F18</f>
        <v>100</v>
      </c>
      <c r="T18" s="1573" t="s">
        <v>8</v>
      </c>
      <c r="U18" s="1574">
        <f>H18</f>
        <v>100</v>
      </c>
      <c r="V18" s="1573" t="s">
        <v>8</v>
      </c>
      <c r="W18" s="1574">
        <f>J18</f>
        <v>100</v>
      </c>
      <c r="X18" s="2581"/>
      <c r="Y18" s="3426"/>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426"/>
      <c r="Q19" s="2579"/>
      <c r="R19" s="1573"/>
      <c r="S19" s="1574"/>
      <c r="T19" s="1573"/>
      <c r="U19" s="1574"/>
      <c r="V19" s="1573"/>
      <c r="W19" s="1574"/>
      <c r="X19" s="2581"/>
      <c r="Y19" s="3426"/>
      <c r="Z19" s="2580"/>
      <c r="AA19" s="1576">
        <v>1</v>
      </c>
      <c r="AB19" s="1576">
        <v>1</v>
      </c>
      <c r="AC19" s="1576">
        <v>1</v>
      </c>
    </row>
    <row r="20" spans="1:29" ht="15">
      <c r="A20" s="532"/>
      <c r="B20" s="871" t="s">
        <v>802</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6"/>
      <c r="Q20" s="1572" t="str">
        <f>B20</f>
        <v>自然及人文环境</v>
      </c>
      <c r="R20" s="1573" t="s">
        <v>8</v>
      </c>
      <c r="S20" s="1574">
        <f>F20</f>
        <v>100</v>
      </c>
      <c r="T20" s="1573" t="s">
        <v>8</v>
      </c>
      <c r="U20" s="1574">
        <f>H20</f>
        <v>100</v>
      </c>
      <c r="V20" s="1573" t="s">
        <v>8</v>
      </c>
      <c r="W20" s="1574">
        <f>J20</f>
        <v>100</v>
      </c>
      <c r="X20" s="1567"/>
      <c r="Y20" s="342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26"/>
      <c r="Q21" s="1572"/>
      <c r="R21" s="1573"/>
      <c r="S21" s="1574"/>
      <c r="T21" s="1573"/>
      <c r="U21" s="1574"/>
      <c r="V21" s="1573"/>
      <c r="W21" s="1574"/>
      <c r="X21" s="1567"/>
      <c r="Y21" s="3426"/>
      <c r="Z21" s="1575"/>
      <c r="AA21" s="1576">
        <v>1</v>
      </c>
      <c r="AB21" s="1576">
        <v>1</v>
      </c>
      <c r="AC21" s="1576">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6"/>
      <c r="Q22" s="1572" t="str">
        <f>B22</f>
        <v>楼层</v>
      </c>
      <c r="R22" s="1573" t="s">
        <v>8</v>
      </c>
      <c r="S22" s="1574">
        <f>F22</f>
        <v>100</v>
      </c>
      <c r="T22" s="1573" t="s">
        <v>8</v>
      </c>
      <c r="U22" s="1574">
        <f>H22</f>
        <v>100</v>
      </c>
      <c r="V22" s="1573" t="s">
        <v>8</v>
      </c>
      <c r="W22" s="1574">
        <f>J22</f>
        <v>100</v>
      </c>
      <c r="X22" s="1567"/>
      <c r="Y22" s="342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6"/>
      <c r="Q23" s="1572">
        <f>B23</f>
        <v>111</v>
      </c>
      <c r="R23" s="1573" t="s">
        <v>8</v>
      </c>
      <c r="S23" s="1574">
        <f>F23</f>
        <v>100</v>
      </c>
      <c r="T23" s="1573" t="s">
        <v>8</v>
      </c>
      <c r="U23" s="1574">
        <f>H23</f>
        <v>100</v>
      </c>
      <c r="V23" s="1573" t="s">
        <v>8</v>
      </c>
      <c r="W23" s="1574">
        <f>J23</f>
        <v>100</v>
      </c>
      <c r="X23" s="1567"/>
      <c r="Y23" s="342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6"/>
      <c r="Q24" s="1572">
        <f t="shared" ref="Q24:Q34" si="11">B24</f>
        <v>111</v>
      </c>
      <c r="R24" s="1573" t="s">
        <v>8</v>
      </c>
      <c r="S24" s="1574">
        <f>F24</f>
        <v>100</v>
      </c>
      <c r="T24" s="1573" t="s">
        <v>8</v>
      </c>
      <c r="U24" s="1574">
        <f>H24</f>
        <v>100</v>
      </c>
      <c r="V24" s="1573" t="s">
        <v>8</v>
      </c>
      <c r="W24" s="1574">
        <f>J24</f>
        <v>100</v>
      </c>
      <c r="X24" s="1567"/>
      <c r="Y24" s="342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6"/>
      <c r="Q25" s="1151">
        <f t="shared" si="11"/>
        <v>111</v>
      </c>
      <c r="R25" s="1568" t="s">
        <v>8</v>
      </c>
      <c r="S25" s="1569">
        <f>F25</f>
        <v>100</v>
      </c>
      <c r="T25" s="1568" t="s">
        <v>8</v>
      </c>
      <c r="U25" s="1569">
        <f>H25</f>
        <v>100</v>
      </c>
      <c r="V25" s="1568" t="s">
        <v>8</v>
      </c>
      <c r="W25" s="1569">
        <f>J25</f>
        <v>100</v>
      </c>
      <c r="X25" s="1570"/>
      <c r="Y25" s="3426"/>
      <c r="Z25" s="1150">
        <f>Q25</f>
        <v>111</v>
      </c>
      <c r="AA25" s="1576">
        <f>D25/F25</f>
        <v>1</v>
      </c>
      <c r="AB25" s="1576">
        <f>D25/H25</f>
        <v>1</v>
      </c>
      <c r="AC25" s="1576">
        <f>D25/J25</f>
        <v>1</v>
      </c>
    </row>
    <row r="26" spans="1:29" ht="15">
      <c r="A26" s="2907" t="s">
        <v>2749</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7" t="s">
        <v>819</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8" t="s">
        <v>819</v>
      </c>
      <c r="Z26" s="1575" t="str">
        <f t="shared" ref="Z26:Z34" si="15">Q26</f>
        <v>公共部分装修</v>
      </c>
      <c r="AA26" s="1576">
        <f t="shared" si="3"/>
        <v>1</v>
      </c>
      <c r="AB26" s="1576">
        <f t="shared" si="4"/>
        <v>1</v>
      </c>
      <c r="AC26" s="1576">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8"/>
      <c r="Q27" s="1605" t="str">
        <f t="shared" si="11"/>
        <v>成新率</v>
      </c>
      <c r="R27" s="1577" t="s">
        <v>8</v>
      </c>
      <c r="S27" s="1578" t="e">
        <f t="shared" si="12"/>
        <v>#N/A</v>
      </c>
      <c r="T27" s="1577" t="s">
        <v>8</v>
      </c>
      <c r="U27" s="1578" t="e">
        <f t="shared" si="13"/>
        <v>#N/A</v>
      </c>
      <c r="V27" s="1577" t="s">
        <v>8</v>
      </c>
      <c r="W27" s="1578" t="e">
        <f t="shared" si="14"/>
        <v>#N/A</v>
      </c>
      <c r="X27" s="1579"/>
      <c r="Y27" s="3428"/>
      <c r="Z27" s="1580" t="str">
        <f t="shared" si="15"/>
        <v>成新率</v>
      </c>
      <c r="AA27" s="1576" t="e">
        <f t="shared" si="3"/>
        <v>#N/A</v>
      </c>
      <c r="AB27" s="1576" t="e">
        <f t="shared" si="4"/>
        <v>#N/A</v>
      </c>
      <c r="AC27" s="1576"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8"/>
      <c r="Q28" s="1572" t="str">
        <f t="shared" si="11"/>
        <v>物业等级</v>
      </c>
      <c r="R28" s="1573" t="s">
        <v>8</v>
      </c>
      <c r="S28" s="1574">
        <f t="shared" si="12"/>
        <v>100</v>
      </c>
      <c r="T28" s="1573" t="s">
        <v>8</v>
      </c>
      <c r="U28" s="1574">
        <f t="shared" si="13"/>
        <v>100</v>
      </c>
      <c r="V28" s="1573" t="s">
        <v>8</v>
      </c>
      <c r="W28" s="1574">
        <f t="shared" si="14"/>
        <v>100</v>
      </c>
      <c r="X28" s="1567"/>
      <c r="Y28" s="3428"/>
      <c r="Z28" s="1575" t="str">
        <f t="shared" si="15"/>
        <v>物业等级</v>
      </c>
      <c r="AA28" s="1576">
        <f t="shared" si="3"/>
        <v>1</v>
      </c>
      <c r="AB28" s="1576">
        <f t="shared" si="4"/>
        <v>1</v>
      </c>
      <c r="AC28" s="1576">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8"/>
      <c r="Q29" s="1572" t="str">
        <f t="shared" si="11"/>
        <v>有无电梯</v>
      </c>
      <c r="R29" s="1573" t="s">
        <v>8</v>
      </c>
      <c r="S29" s="1574">
        <f t="shared" si="12"/>
        <v>100</v>
      </c>
      <c r="T29" s="1573" t="s">
        <v>8</v>
      </c>
      <c r="U29" s="1574">
        <f t="shared" si="13"/>
        <v>100</v>
      </c>
      <c r="V29" s="1573" t="s">
        <v>8</v>
      </c>
      <c r="W29" s="1574">
        <f t="shared" si="14"/>
        <v>100</v>
      </c>
      <c r="X29" s="1567"/>
      <c r="Y29" s="3428"/>
      <c r="Z29" s="1575" t="str">
        <f t="shared" si="15"/>
        <v>有无电梯</v>
      </c>
      <c r="AA29" s="1576">
        <f t="shared" si="3"/>
        <v>1</v>
      </c>
      <c r="AB29" s="1576">
        <f t="shared" si="4"/>
        <v>1</v>
      </c>
      <c r="AC29" s="1576">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8"/>
      <c r="Q30" s="1572" t="str">
        <f t="shared" si="11"/>
        <v>建筑面积</v>
      </c>
      <c r="R30" s="1573" t="s">
        <v>8</v>
      </c>
      <c r="S30" s="1574" t="e">
        <f t="shared" si="12"/>
        <v>#N/A</v>
      </c>
      <c r="T30" s="1573" t="s">
        <v>8</v>
      </c>
      <c r="U30" s="1574" t="e">
        <f t="shared" si="13"/>
        <v>#N/A</v>
      </c>
      <c r="V30" s="1573" t="s">
        <v>8</v>
      </c>
      <c r="W30" s="1574" t="e">
        <f t="shared" si="14"/>
        <v>#N/A</v>
      </c>
      <c r="X30" s="1567"/>
      <c r="Y30" s="3428"/>
      <c r="Z30" s="1575" t="str">
        <f t="shared" si="15"/>
        <v>建筑面积</v>
      </c>
      <c r="AA30" s="1576" t="e">
        <f t="shared" si="3"/>
        <v>#N/A</v>
      </c>
      <c r="AB30" s="1576" t="e">
        <f t="shared" si="4"/>
        <v>#N/A</v>
      </c>
      <c r="AC30" s="1576"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8"/>
      <c r="Q31" s="1151" t="str">
        <f t="shared" si="11"/>
        <v>是否封闭</v>
      </c>
      <c r="R31" s="1568" t="s">
        <v>8</v>
      </c>
      <c r="S31" s="1569">
        <f t="shared" si="12"/>
        <v>100</v>
      </c>
      <c r="T31" s="1568" t="s">
        <v>8</v>
      </c>
      <c r="U31" s="1569">
        <f t="shared" si="13"/>
        <v>100</v>
      </c>
      <c r="V31" s="1568" t="s">
        <v>8</v>
      </c>
      <c r="W31" s="1569">
        <f t="shared" si="14"/>
        <v>100</v>
      </c>
      <c r="X31" s="1570"/>
      <c r="Y31" s="342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8" t="s">
        <v>548</v>
      </c>
      <c r="Q32" s="1572">
        <f t="shared" si="11"/>
        <v>111</v>
      </c>
      <c r="R32" s="1573" t="s">
        <v>8</v>
      </c>
      <c r="S32" s="1574">
        <f t="shared" si="12"/>
        <v>100</v>
      </c>
      <c r="T32" s="1573" t="s">
        <v>8</v>
      </c>
      <c r="U32" s="1574">
        <f t="shared" si="13"/>
        <v>100</v>
      </c>
      <c r="V32" s="1573" t="s">
        <v>8</v>
      </c>
      <c r="W32" s="1574">
        <f t="shared" si="14"/>
        <v>100</v>
      </c>
      <c r="X32" s="1567"/>
      <c r="Y32" s="3428" t="s">
        <v>548</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8"/>
      <c r="Q33" s="1572">
        <f t="shared" si="11"/>
        <v>111</v>
      </c>
      <c r="R33" s="1573" t="s">
        <v>8</v>
      </c>
      <c r="S33" s="1574">
        <f t="shared" si="12"/>
        <v>100</v>
      </c>
      <c r="T33" s="1573" t="s">
        <v>8</v>
      </c>
      <c r="U33" s="1574">
        <f t="shared" si="13"/>
        <v>100</v>
      </c>
      <c r="V33" s="1573" t="s">
        <v>8</v>
      </c>
      <c r="W33" s="1574">
        <f t="shared" si="14"/>
        <v>100</v>
      </c>
      <c r="X33" s="1567"/>
      <c r="Y33" s="342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8"/>
      <c r="Q34" s="1572">
        <f t="shared" si="11"/>
        <v>111</v>
      </c>
      <c r="R34" s="1573" t="s">
        <v>8</v>
      </c>
      <c r="S34" s="1574">
        <f t="shared" si="12"/>
        <v>100</v>
      </c>
      <c r="T34" s="1573" t="s">
        <v>8</v>
      </c>
      <c r="U34" s="1574">
        <f t="shared" si="13"/>
        <v>100</v>
      </c>
      <c r="V34" s="1573" t="s">
        <v>8</v>
      </c>
      <c r="W34" s="1574">
        <f t="shared" si="14"/>
        <v>100</v>
      </c>
      <c r="X34" s="1567"/>
      <c r="Y34" s="3428"/>
      <c r="Z34" s="1575">
        <f t="shared" si="15"/>
        <v>111</v>
      </c>
      <c r="AA34" s="1576">
        <f t="shared" si="3"/>
        <v>1</v>
      </c>
      <c r="AB34" s="1576">
        <f t="shared" si="4"/>
        <v>1</v>
      </c>
      <c r="AC34" s="1576">
        <f t="shared" si="5"/>
        <v>1</v>
      </c>
    </row>
    <row r="35" spans="1:29" ht="15">
      <c r="A35" s="607" t="s">
        <v>734</v>
      </c>
      <c r="B35" s="887"/>
      <c r="C35" s="2627" t="s">
        <v>1</v>
      </c>
      <c r="D35" s="2628"/>
      <c r="E35" s="2629"/>
      <c r="F35" s="2630"/>
      <c r="G35" s="2631"/>
      <c r="H35" s="2632"/>
      <c r="I35" s="2629"/>
      <c r="J35" s="2632"/>
      <c r="K35" s="1611"/>
      <c r="L35" s="2144"/>
      <c r="M35" s="2145"/>
      <c r="N35" s="2134"/>
      <c r="O35" s="2145"/>
      <c r="P35" s="3390" t="str">
        <f>A35</f>
        <v>成交单价（元/平方米）</v>
      </c>
      <c r="Q35" s="3390"/>
      <c r="R35" s="3504">
        <f>E35</f>
        <v>0</v>
      </c>
      <c r="S35" s="3504"/>
      <c r="T35" s="3504">
        <f>G35</f>
        <v>0</v>
      </c>
      <c r="U35" s="3504"/>
      <c r="V35" s="3504">
        <f>I35</f>
        <v>0</v>
      </c>
      <c r="W35" s="3504"/>
      <c r="X35" s="1559"/>
      <c r="Y35" s="1581"/>
      <c r="Z35" s="1559"/>
      <c r="AA35" s="1559"/>
      <c r="AB35" s="1559"/>
      <c r="AC35" s="1559"/>
    </row>
    <row r="36" spans="1:29" ht="15.75" thickBot="1">
      <c r="A36" s="615" t="s">
        <v>2754</v>
      </c>
      <c r="B36" s="888"/>
      <c r="C36" s="2633" t="e">
        <f>R37</f>
        <v>#DIV/0!</v>
      </c>
      <c r="D36" s="2634"/>
      <c r="E36" s="2635" t="e">
        <f>R36</f>
        <v>#DIV/0!</v>
      </c>
      <c r="F36" s="2635"/>
      <c r="G36" s="2633" t="e">
        <f>T36</f>
        <v>#DIV/0!</v>
      </c>
      <c r="H36" s="2634"/>
      <c r="I36" s="2635" t="e">
        <f>V36</f>
        <v>#DIV/0!</v>
      </c>
      <c r="J36" s="2634"/>
      <c r="K36" s="1612"/>
      <c r="L36" s="2144"/>
      <c r="M36" s="2145"/>
      <c r="N36" s="2134"/>
      <c r="O36" s="2145"/>
      <c r="P36" s="3390" t="str">
        <f>A36</f>
        <v>比较价格（元/平方米）</v>
      </c>
      <c r="Q36" s="339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9"/>
      <c r="Y36" s="1559"/>
      <c r="Z36" s="1559"/>
      <c r="AA36" s="1559"/>
      <c r="AB36" s="1559"/>
      <c r="AC36" s="1559"/>
    </row>
    <row r="37" spans="1:29" ht="15.75" thickBot="1">
      <c r="A37" s="621" t="s">
        <v>2922</v>
      </c>
      <c r="B37" s="622"/>
      <c r="C37" s="2636" t="e">
        <f>R37</f>
        <v>#DIV/0!</v>
      </c>
      <c r="D37" s="2636"/>
      <c r="E37" s="2636"/>
      <c r="F37" s="2636"/>
      <c r="G37" s="2636"/>
      <c r="H37" s="2636"/>
      <c r="I37" s="2636"/>
      <c r="J37" s="2636"/>
      <c r="K37" s="1613"/>
      <c r="L37" s="2144"/>
      <c r="M37" s="2145"/>
      <c r="N37" s="2145"/>
      <c r="O37" s="2145"/>
      <c r="P37" s="3387" t="str">
        <f>A37</f>
        <v>估价对象XX用房的比较价格（楼面单价，元/平方米）</v>
      </c>
      <c r="Q37" s="3388"/>
      <c r="R37" s="3503" t="e">
        <f>IF(F1="售价",ROUND(AVERAGE(R36:V36),0),ROUND(AVERAGE(R36:V36),1))</f>
        <v>#DIV/0!</v>
      </c>
      <c r="S37" s="3503"/>
      <c r="T37" s="3503"/>
      <c r="U37" s="3503"/>
      <c r="V37" s="3503"/>
      <c r="W37" s="3503"/>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572</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527</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573</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529</v>
      </c>
      <c r="B49" s="648"/>
      <c r="C49" s="660" t="s">
        <v>574</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575</v>
      </c>
      <c r="B51" s="665" t="s">
        <v>532</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2551</v>
      </c>
      <c r="C63" s="708" t="s">
        <v>577</v>
      </c>
      <c r="D63" s="708" t="s">
        <v>578</v>
      </c>
      <c r="E63" s="708" t="s">
        <v>579</v>
      </c>
      <c r="F63" s="708" t="s">
        <v>580</v>
      </c>
      <c r="G63" s="708" t="s">
        <v>581</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2552</v>
      </c>
      <c r="C65" s="2598" t="s">
        <v>2553</v>
      </c>
      <c r="D65" s="2598" t="s">
        <v>2554</v>
      </c>
      <c r="E65" s="2598" t="s">
        <v>2555</v>
      </c>
      <c r="F65" s="2598" t="s">
        <v>2556</v>
      </c>
      <c r="G65" s="2598" t="s">
        <v>2557</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742</v>
      </c>
      <c r="C67" s="708" t="s">
        <v>577</v>
      </c>
      <c r="D67" s="708" t="s">
        <v>578</v>
      </c>
      <c r="E67" s="708" t="s">
        <v>579</v>
      </c>
      <c r="F67" s="708" t="s">
        <v>580</v>
      </c>
      <c r="G67" s="708" t="s">
        <v>581</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549</v>
      </c>
      <c r="B77" s="665" t="s">
        <v>749</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815</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823</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825</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天津城投滨海房地产经营有限公司：</v>
      </c>
    </row>
    <row r="4" spans="1:4" ht="56.25">
      <c r="A4" s="1792" t="str">
        <f>"受贵公司委托，我公司对"&amp;项目基本情况!K2&amp;项目基本情况!B9&amp;"进行了预评估。"</f>
        <v>受贵公司委托，我公司对天津市滨海新区开发区海滨大道以西、新港四号路以北远洋琨庭项目110地块住宅、商业用房出让国有建设用地使用权抵押价格进行了预评估。</v>
      </c>
    </row>
    <row r="5" spans="1:4" ht="18.75">
      <c r="A5" s="1795" t="s">
        <v>1904</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城投滨海房地产经营有限公司使用的、位于天津市滨海新区开发区海滨大道以西、新港四号路以北远洋琨庭项目110地块住宅、商业用房出让国有建设用地使用权。根据《国有土地使用证》[津2017开发区不动产权第1011751号]，估价对象（分摊）出让国有建设用地使用权面积为51383.96平方米。根据《建设工程规划许可证》[]、《经济技术指标》，估价对象规划建筑面积为160029.14平方米。</v>
      </c>
    </row>
    <row r="7" spans="1:4" ht="93.75">
      <c r="A7" s="2873" t="s">
        <v>2742</v>
      </c>
    </row>
    <row r="8" spans="1:4" ht="18.75">
      <c r="A8" s="1795" t="s">
        <v>1905</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2018年8月13日（评估专业人员勘察现场之日）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根据《国有土地使用证》[津2017开发区不动产权第1011751号]，本次评估估价对象证载（地类）用途为城镇住宅用地。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津2017开发区不动产权第1011751号]，估价对象（分摊）出让国有建设用地使用权面积为51383.96平方米。根据《建设工程规划许可证》[]、《经济技术指标》，估价对象规划建筑面积为160029.14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5" t="s">
        <v>2743</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8月13日，在规划利用条件下、设定土地开发程度为红线外“七通”、宗地内场地平整，设定用途为住宅、地下车库，剩余土地使用年限为住宅55.7年、地下车库35.7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514" t="s">
        <v>2302</v>
      </c>
      <c r="D1" s="3515"/>
      <c r="E1" s="3515"/>
      <c r="F1" s="3515"/>
      <c r="G1" s="3515"/>
      <c r="H1" s="3515"/>
      <c r="I1" s="3515"/>
      <c r="J1" s="3515"/>
      <c r="K1" s="3515"/>
      <c r="L1" s="3515"/>
      <c r="M1" s="3515"/>
      <c r="N1" s="3515"/>
      <c r="O1" s="3515"/>
      <c r="P1" s="3515"/>
      <c r="Q1" s="3515"/>
      <c r="R1" s="3515"/>
      <c r="S1" s="3516"/>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2915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2914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2913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2928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2912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826</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827</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828</v>
      </c>
      <c r="B22" s="53">
        <f>SUM(B24:B10000)</f>
        <v>0</v>
      </c>
      <c r="C22" s="3511" t="s">
        <v>20</v>
      </c>
      <c r="D22" s="3512"/>
      <c r="E22" s="3512"/>
      <c r="F22" s="3512"/>
      <c r="G22" s="3512"/>
      <c r="H22" s="3512"/>
      <c r="I22" s="3512"/>
      <c r="J22" s="3512"/>
      <c r="K22" s="3512"/>
      <c r="L22" s="3512"/>
      <c r="M22" s="3512"/>
      <c r="N22" s="3512"/>
      <c r="O22" s="3512"/>
      <c r="P22" s="3512"/>
      <c r="Q22" s="3513"/>
      <c r="R22" s="490" t="e">
        <f>ROUND(S22*10000/B22,0)</f>
        <v>#DIV/0!</v>
      </c>
      <c r="S22" s="53">
        <f>SUM(S24:S10000)</f>
        <v>0</v>
      </c>
    </row>
    <row r="23" spans="1:45" s="1614"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5"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2782</v>
      </c>
      <c r="C1" s="3003">
        <f>项目基本情况!D3</f>
        <v>43325</v>
      </c>
      <c r="H1" s="2937">
        <f>IF(C1&gt;C13,0,MATCH(C1,C$13:C$100,-1))+IF(SUMIF(C13:C100,C1,D13:D100)=0,13,12)</f>
        <v>13</v>
      </c>
      <c r="I1" s="2937">
        <f ca="1">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2813</v>
      </c>
      <c r="C2" s="3004">
        <f>'数据-取费表'!B22</f>
        <v>3</v>
      </c>
      <c r="D2" s="2999" t="s">
        <v>2783</v>
      </c>
      <c r="E2" s="3002">
        <f ca="1">INDIRECT("I"&amp;$I$1)/100</f>
        <v>4.7500000000000001E-2</v>
      </c>
      <c r="G2" s="2939"/>
      <c r="H2" s="2939"/>
      <c r="I2" s="2939" t="s">
        <v>2784</v>
      </c>
      <c r="K2" s="2939"/>
      <c r="L2" s="2939"/>
      <c r="M2" s="2939"/>
      <c r="N2" s="2939" t="s">
        <v>2785</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2815</v>
      </c>
      <c r="C3" s="3001">
        <f>'数据-取费表'!B19</f>
        <v>0</v>
      </c>
      <c r="D3" s="2999" t="s">
        <v>2783</v>
      </c>
      <c r="E3" s="3002">
        <f ca="1">INDIRECT("J"&amp;$J$1)/100</f>
        <v>0</v>
      </c>
      <c r="G3" s="2941" t="s">
        <v>2786</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2814</v>
      </c>
      <c r="C4" s="3002">
        <f ca="1">N4/100</f>
        <v>1.4999999999999999E-2</v>
      </c>
      <c r="G4" s="2947" t="s">
        <v>2787</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2788</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2789</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2790</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2791</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2792</v>
      </c>
      <c r="C10" s="2966"/>
      <c r="D10" s="2966"/>
      <c r="E10" s="2966"/>
      <c r="F10" s="2966"/>
      <c r="G10" s="2966"/>
      <c r="H10" s="2966"/>
      <c r="I10" s="2940"/>
      <c r="J10" s="2940"/>
      <c r="K10" s="2966"/>
      <c r="L10" s="2967" t="s">
        <v>2793</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2794</v>
      </c>
      <c r="C11" s="2971" t="s">
        <v>2795</v>
      </c>
      <c r="D11" s="2972" t="s">
        <v>2796</v>
      </c>
      <c r="E11" s="2973"/>
      <c r="F11" s="2972" t="s">
        <v>2797</v>
      </c>
      <c r="G11" s="2974"/>
      <c r="H11" s="2973"/>
      <c r="I11" s="2972" t="s">
        <v>2798</v>
      </c>
      <c r="J11" s="2973"/>
      <c r="K11" s="2969"/>
      <c r="L11" s="2970" t="s">
        <v>2794</v>
      </c>
      <c r="M11" s="2971" t="s">
        <v>2795</v>
      </c>
      <c r="N11" s="2970" t="s">
        <v>2799</v>
      </c>
      <c r="O11" s="2972" t="s">
        <v>2800</v>
      </c>
      <c r="P11" s="2974"/>
      <c r="Q11" s="2974"/>
      <c r="R11" s="2974"/>
      <c r="S11" s="2974"/>
      <c r="T11" s="2973"/>
      <c r="U11" s="2972" t="s">
        <v>2801</v>
      </c>
      <c r="V11" s="2974"/>
      <c r="W11" s="2973"/>
      <c r="X11" s="2970" t="s">
        <v>2802</v>
      </c>
      <c r="Y11" s="2970" t="s">
        <v>2803</v>
      </c>
      <c r="Z11" s="2970" t="s">
        <v>2804</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2805</v>
      </c>
      <c r="E12" s="2979" t="s">
        <v>2806</v>
      </c>
      <c r="F12" s="2979" t="s">
        <v>2807</v>
      </c>
      <c r="G12" s="2979" t="s">
        <v>2808</v>
      </c>
      <c r="H12" s="2979" t="s">
        <v>2790</v>
      </c>
      <c r="I12" s="2980" t="s">
        <v>2809</v>
      </c>
      <c r="J12" s="2980" t="s">
        <v>2809</v>
      </c>
      <c r="K12" s="2976"/>
      <c r="L12" s="2977"/>
      <c r="M12" s="2978"/>
      <c r="N12" s="2977"/>
      <c r="O12" s="2980" t="s">
        <v>2810</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2811</v>
      </c>
      <c r="C13" s="2984">
        <v>42301</v>
      </c>
      <c r="D13" s="2985">
        <v>4.3499999999999996</v>
      </c>
      <c r="E13" s="2985">
        <v>4.3499999999999996</v>
      </c>
      <c r="F13" s="2985">
        <v>4.75</v>
      </c>
      <c r="G13" s="2985">
        <v>4.75</v>
      </c>
      <c r="H13" s="2985">
        <v>4.9000000000000004</v>
      </c>
      <c r="I13" s="2985">
        <v>2.75</v>
      </c>
      <c r="J13" s="2985">
        <v>3.25</v>
      </c>
      <c r="K13" s="2982"/>
      <c r="L13" s="2983" t="s">
        <v>2811</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2812</v>
      </c>
      <c r="Y42" s="2989" t="s">
        <v>2812</v>
      </c>
      <c r="Z42" s="2989" t="s">
        <v>2812</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2812</v>
      </c>
      <c r="Y43" s="2989" t="s">
        <v>2812</v>
      </c>
      <c r="Z43" s="2989" t="s">
        <v>2812</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2812</v>
      </c>
      <c r="Y44" s="2989" t="s">
        <v>2812</v>
      </c>
      <c r="Z44" s="2989" t="s">
        <v>2812</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2812</v>
      </c>
      <c r="Y45" s="2989" t="s">
        <v>2812</v>
      </c>
      <c r="Z45" s="2989" t="s">
        <v>2812</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2812</v>
      </c>
      <c r="Y46" s="2989" t="s">
        <v>2812</v>
      </c>
      <c r="Z46" s="2989" t="s">
        <v>2812</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2812</v>
      </c>
      <c r="Y47" s="2989" t="s">
        <v>2812</v>
      </c>
      <c r="Z47" s="2989" t="s">
        <v>2812</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2812</v>
      </c>
      <c r="Y48" s="2989" t="s">
        <v>2812</v>
      </c>
      <c r="Z48" s="2989" t="s">
        <v>2812</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2812</v>
      </c>
      <c r="Y49" s="2989" t="s">
        <v>2812</v>
      </c>
      <c r="Z49" s="2989" t="s">
        <v>2812</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2812</v>
      </c>
      <c r="Y50" s="2989" t="s">
        <v>2812</v>
      </c>
      <c r="Z50" s="2989" t="s">
        <v>2812</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2812</v>
      </c>
      <c r="V51" s="2989" t="s">
        <v>2812</v>
      </c>
      <c r="W51" s="2989" t="s">
        <v>2812</v>
      </c>
      <c r="X51" s="2989" t="s">
        <v>2812</v>
      </c>
      <c r="Y51" s="2989" t="s">
        <v>2812</v>
      </c>
      <c r="Z51" s="2989" t="s">
        <v>2812</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2812</v>
      </c>
      <c r="J55" s="2989" t="s">
        <v>2812</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workbookViewId="0">
      <selection activeCell="L4" sqref="L4"/>
    </sheetView>
  </sheetViews>
  <sheetFormatPr defaultRowHeight="13.5"/>
  <cols>
    <col min="6" max="6" width="14.25" customWidth="1"/>
    <col min="28" max="28" width="13.375" customWidth="1"/>
  </cols>
  <sheetData>
    <row r="1" spans="1:44" s="2938" customFormat="1">
      <c r="A1" s="2938" t="s">
        <v>3270</v>
      </c>
      <c r="B1" s="2938" t="s">
        <v>2978</v>
      </c>
      <c r="C1" s="2938" t="s">
        <v>3150</v>
      </c>
      <c r="D1" s="2938" t="s">
        <v>3049</v>
      </c>
      <c r="E1" s="2938" t="s">
        <v>2812</v>
      </c>
      <c r="F1" s="2938" t="s">
        <v>3270</v>
      </c>
      <c r="G1" s="2938" t="s">
        <v>3050</v>
      </c>
      <c r="H1" s="2938" t="s">
        <v>3271</v>
      </c>
      <c r="I1" s="2938" t="s">
        <v>3172</v>
      </c>
      <c r="J1" s="2938">
        <v>57199.7</v>
      </c>
      <c r="K1" s="2938">
        <v>114399.4</v>
      </c>
      <c r="L1" s="2938">
        <v>2</v>
      </c>
      <c r="M1" s="2938" t="s">
        <v>3222</v>
      </c>
      <c r="N1" s="2938" t="s">
        <v>3273</v>
      </c>
      <c r="O1" s="2938" t="s">
        <v>3274</v>
      </c>
      <c r="P1" s="2938" t="s">
        <v>2812</v>
      </c>
      <c r="Q1" s="2938" t="s">
        <v>2812</v>
      </c>
      <c r="R1" s="2938" t="s">
        <v>2812</v>
      </c>
      <c r="S1" s="2938" t="s">
        <v>2812</v>
      </c>
      <c r="T1" s="2938" t="s">
        <v>2812</v>
      </c>
      <c r="U1" s="2938" t="s">
        <v>2812</v>
      </c>
      <c r="V1" s="2938" t="s">
        <v>2812</v>
      </c>
      <c r="W1" s="2938" t="s">
        <v>3058</v>
      </c>
      <c r="X1" s="2938" t="s">
        <v>3275</v>
      </c>
      <c r="Y1" s="2938" t="s">
        <v>3276</v>
      </c>
      <c r="Z1" s="2938" t="s">
        <v>3065</v>
      </c>
      <c r="AA1" s="2938" t="s">
        <v>3065</v>
      </c>
      <c r="AB1" s="2938" t="s">
        <v>3271</v>
      </c>
      <c r="AC1" s="2938" t="s">
        <v>3055</v>
      </c>
      <c r="AD1" s="2938" t="s">
        <v>3277</v>
      </c>
      <c r="AE1" s="2938">
        <v>71085</v>
      </c>
      <c r="AF1" s="2938">
        <v>142170</v>
      </c>
      <c r="AG1" s="2938">
        <v>213255</v>
      </c>
      <c r="AH1" s="2938">
        <v>1657</v>
      </c>
      <c r="AI1" s="2938">
        <v>2485.5</v>
      </c>
      <c r="AJ1" s="2938">
        <v>12427.51</v>
      </c>
      <c r="AK1" s="3219">
        <v>18641.27</v>
      </c>
      <c r="AL1" s="2938">
        <f t="shared" ref="AL1:AL3" si="0">ROUND(AG1*10000/J1,0)</f>
        <v>37283</v>
      </c>
      <c r="AM1" s="2938" t="s">
        <v>2812</v>
      </c>
      <c r="AN1" s="2938">
        <v>50</v>
      </c>
      <c r="AO1" s="2938" t="s">
        <v>3170</v>
      </c>
      <c r="AP1" s="2938" t="s">
        <v>2812</v>
      </c>
      <c r="AQ1" s="2938" t="s">
        <v>2812</v>
      </c>
      <c r="AR1" s="2938">
        <v>1</v>
      </c>
    </row>
    <row r="2" spans="1:44" s="2938" customFormat="1">
      <c r="A2" s="2938" t="s">
        <v>3278</v>
      </c>
      <c r="B2" s="2938" t="s">
        <v>2978</v>
      </c>
      <c r="C2" s="2938" t="s">
        <v>3150</v>
      </c>
      <c r="D2" s="2938" t="s">
        <v>3049</v>
      </c>
      <c r="E2" s="2938" t="s">
        <v>2812</v>
      </c>
      <c r="F2" s="2938" t="s">
        <v>3278</v>
      </c>
      <c r="G2" s="2938" t="s">
        <v>3050</v>
      </c>
      <c r="H2" s="2938" t="s">
        <v>3279</v>
      </c>
      <c r="I2" s="2938" t="s">
        <v>3162</v>
      </c>
      <c r="J2" s="2938">
        <v>35189.5</v>
      </c>
      <c r="K2" s="2938">
        <v>70379</v>
      </c>
      <c r="L2" s="2938">
        <v>2</v>
      </c>
      <c r="M2" s="2938" t="s">
        <v>3222</v>
      </c>
      <c r="N2" s="2938" t="s">
        <v>3076</v>
      </c>
      <c r="O2" s="2938" t="s">
        <v>3217</v>
      </c>
      <c r="P2" s="2938" t="s">
        <v>2812</v>
      </c>
      <c r="Q2" s="2938" t="s">
        <v>2812</v>
      </c>
      <c r="R2" s="2938" t="s">
        <v>2812</v>
      </c>
      <c r="S2" s="2938" t="s">
        <v>2812</v>
      </c>
      <c r="T2" s="2938" t="s">
        <v>2812</v>
      </c>
      <c r="U2" s="2938" t="s">
        <v>2812</v>
      </c>
      <c r="V2" s="2938" t="s">
        <v>2812</v>
      </c>
      <c r="W2" s="2938" t="s">
        <v>3058</v>
      </c>
      <c r="X2" s="2938" t="s">
        <v>3280</v>
      </c>
      <c r="Y2" s="2938" t="s">
        <v>3281</v>
      </c>
      <c r="Z2" s="2938" t="s">
        <v>3067</v>
      </c>
      <c r="AA2" s="2938" t="s">
        <v>3067</v>
      </c>
      <c r="AB2" s="2938" t="s">
        <v>3279</v>
      </c>
      <c r="AC2" s="2938" t="s">
        <v>3055</v>
      </c>
      <c r="AD2" s="2938" t="s">
        <v>3282</v>
      </c>
      <c r="AE2" s="2938">
        <v>109090</v>
      </c>
      <c r="AF2" s="2938">
        <v>109090</v>
      </c>
      <c r="AG2" s="2938">
        <v>109390</v>
      </c>
      <c r="AH2" s="2938">
        <v>2066.71</v>
      </c>
      <c r="AI2" s="2938">
        <v>2072.4</v>
      </c>
      <c r="AJ2" s="2938">
        <v>15500.36</v>
      </c>
      <c r="AK2" s="3200">
        <v>15542.98</v>
      </c>
      <c r="AL2" s="2938">
        <f t="shared" si="0"/>
        <v>31086</v>
      </c>
      <c r="AM2" s="2938" t="s">
        <v>2812</v>
      </c>
      <c r="AN2" s="2938">
        <v>0.28000000000000003</v>
      </c>
      <c r="AO2" s="2938" t="s">
        <v>3170</v>
      </c>
      <c r="AP2" s="2938" t="s">
        <v>2812</v>
      </c>
      <c r="AQ2" s="2938" t="s">
        <v>2812</v>
      </c>
      <c r="AR2" s="2938" t="s">
        <v>2812</v>
      </c>
    </row>
    <row r="3" spans="1:44" s="2938" customFormat="1">
      <c r="A3" s="2938" t="s">
        <v>3309</v>
      </c>
      <c r="B3" s="2938" t="s">
        <v>2978</v>
      </c>
      <c r="C3" s="2938" t="s">
        <v>3150</v>
      </c>
      <c r="D3" s="2938" t="s">
        <v>3049</v>
      </c>
      <c r="E3" s="2938" t="s">
        <v>2812</v>
      </c>
      <c r="F3" s="2938" t="s">
        <v>3309</v>
      </c>
      <c r="G3" s="2938" t="s">
        <v>3050</v>
      </c>
      <c r="H3" s="2938" t="s">
        <v>3310</v>
      </c>
      <c r="I3" s="2938" t="s">
        <v>3311</v>
      </c>
      <c r="J3" s="2938">
        <v>149245.1</v>
      </c>
      <c r="K3" s="2938">
        <v>173024</v>
      </c>
      <c r="L3" s="2938">
        <v>1.5</v>
      </c>
      <c r="M3" s="2938" t="s">
        <v>2812</v>
      </c>
      <c r="N3" s="2938" t="s">
        <v>3313</v>
      </c>
      <c r="O3" s="2938" t="s">
        <v>3313</v>
      </c>
      <c r="P3" s="2938" t="s">
        <v>2812</v>
      </c>
      <c r="Q3" s="2938" t="s">
        <v>2812</v>
      </c>
      <c r="R3" s="2938" t="s">
        <v>2812</v>
      </c>
      <c r="S3" s="2938" t="s">
        <v>2812</v>
      </c>
      <c r="T3" s="2938" t="s">
        <v>2812</v>
      </c>
      <c r="U3" s="2938" t="s">
        <v>2812</v>
      </c>
      <c r="V3" s="2938" t="s">
        <v>2812</v>
      </c>
      <c r="W3" s="2938" t="s">
        <v>3058</v>
      </c>
      <c r="X3" s="2938" t="s">
        <v>3314</v>
      </c>
      <c r="Y3" s="2938" t="s">
        <v>3315</v>
      </c>
      <c r="Z3" s="2938" t="s">
        <v>3304</v>
      </c>
      <c r="AA3" s="2938" t="s">
        <v>3304</v>
      </c>
      <c r="AB3" s="2938" t="s">
        <v>3310</v>
      </c>
      <c r="AC3" s="2938" t="s">
        <v>3055</v>
      </c>
      <c r="AD3" s="2938" t="s">
        <v>3316</v>
      </c>
      <c r="AE3" s="2938">
        <v>76750</v>
      </c>
      <c r="AF3" s="2938">
        <v>255830</v>
      </c>
      <c r="AG3" s="2938">
        <v>256030</v>
      </c>
      <c r="AH3" s="2938">
        <v>1142.77</v>
      </c>
      <c r="AI3" s="2938">
        <v>1143.67</v>
      </c>
      <c r="AJ3" s="2938">
        <v>14785.81</v>
      </c>
      <c r="AK3" s="3200">
        <v>14797.37</v>
      </c>
      <c r="AL3" s="2938">
        <f t="shared" si="0"/>
        <v>17155</v>
      </c>
      <c r="AM3" s="2938" t="s">
        <v>2812</v>
      </c>
      <c r="AN3" s="2938">
        <v>0.08</v>
      </c>
      <c r="AO3" s="2938" t="s">
        <v>3317</v>
      </c>
      <c r="AP3" s="2938" t="s">
        <v>2812</v>
      </c>
      <c r="AQ3" s="2938" t="s">
        <v>2812</v>
      </c>
      <c r="AR3" s="2938" t="s">
        <v>2812</v>
      </c>
    </row>
    <row r="4" spans="1:44" s="3200" customFormat="1">
      <c r="A4" s="3200" t="s">
        <v>3006</v>
      </c>
      <c r="B4" s="3200" t="s">
        <v>3007</v>
      </c>
      <c r="C4" s="3200" t="s">
        <v>3008</v>
      </c>
      <c r="D4" s="3200" t="s">
        <v>3009</v>
      </c>
      <c r="E4" s="3200" t="s">
        <v>3010</v>
      </c>
      <c r="F4" s="3200" t="s">
        <v>3011</v>
      </c>
      <c r="G4" s="3200" t="s">
        <v>3012</v>
      </c>
      <c r="H4" s="3200" t="s">
        <v>3013</v>
      </c>
      <c r="I4" s="3200" t="s">
        <v>3014</v>
      </c>
      <c r="J4" s="3200" t="s">
        <v>3015</v>
      </c>
      <c r="K4" s="3200" t="s">
        <v>3016</v>
      </c>
      <c r="L4" s="3200" t="s">
        <v>2031</v>
      </c>
      <c r="M4" s="3200" t="s">
        <v>3017</v>
      </c>
      <c r="N4" s="3200" t="s">
        <v>3018</v>
      </c>
      <c r="O4" s="3200" t="s">
        <v>3019</v>
      </c>
      <c r="P4" s="3200" t="s">
        <v>3020</v>
      </c>
      <c r="Q4" s="3200" t="s">
        <v>3021</v>
      </c>
      <c r="R4" s="3200" t="s">
        <v>3022</v>
      </c>
      <c r="S4" s="3200" t="s">
        <v>3023</v>
      </c>
      <c r="T4" s="3200" t="s">
        <v>3024</v>
      </c>
      <c r="U4" s="3200" t="s">
        <v>3025</v>
      </c>
      <c r="V4" s="3200" t="s">
        <v>3026</v>
      </c>
      <c r="W4" s="3200" t="s">
        <v>3027</v>
      </c>
      <c r="X4" s="3200" t="s">
        <v>3028</v>
      </c>
      <c r="Y4" s="3200" t="s">
        <v>3029</v>
      </c>
      <c r="Z4" s="3200" t="s">
        <v>3030</v>
      </c>
      <c r="AA4" s="3200" t="s">
        <v>3031</v>
      </c>
      <c r="AB4" s="3200" t="s">
        <v>3032</v>
      </c>
      <c r="AC4" s="3200" t="s">
        <v>3033</v>
      </c>
      <c r="AD4" s="3200" t="s">
        <v>3034</v>
      </c>
      <c r="AE4" s="3200" t="s">
        <v>3035</v>
      </c>
      <c r="AF4" s="3200" t="s">
        <v>3036</v>
      </c>
      <c r="AG4" s="3200" t="s">
        <v>3037</v>
      </c>
      <c r="AH4" s="3200" t="s">
        <v>3038</v>
      </c>
      <c r="AI4" s="3200" t="s">
        <v>3039</v>
      </c>
      <c r="AJ4" s="3200" t="s">
        <v>3040</v>
      </c>
      <c r="AK4" s="3200" t="s">
        <v>3041</v>
      </c>
      <c r="AL4" s="3201" t="s">
        <v>3401</v>
      </c>
      <c r="AM4" s="3200" t="s">
        <v>3042</v>
      </c>
      <c r="AN4" s="3200" t="s">
        <v>3043</v>
      </c>
      <c r="AO4" s="3200" t="s">
        <v>3044</v>
      </c>
      <c r="AP4" s="3200" t="s">
        <v>3045</v>
      </c>
      <c r="AQ4" s="3200" t="s">
        <v>3046</v>
      </c>
      <c r="AR4" s="3200" t="s">
        <v>3047</v>
      </c>
    </row>
    <row r="5" spans="1:44" s="2938" customFormat="1">
      <c r="A5" s="2938" t="s">
        <v>3142</v>
      </c>
      <c r="B5" s="2938" t="s">
        <v>2978</v>
      </c>
      <c r="C5" s="2938" t="s">
        <v>3143</v>
      </c>
      <c r="D5" s="2938" t="s">
        <v>3049</v>
      </c>
      <c r="E5" s="2938" t="s">
        <v>2812</v>
      </c>
      <c r="F5" s="2938" t="s">
        <v>3142</v>
      </c>
      <c r="G5" s="2938" t="s">
        <v>3050</v>
      </c>
      <c r="H5" s="2938" t="s">
        <v>3144</v>
      </c>
      <c r="I5" s="2938" t="s">
        <v>3109</v>
      </c>
      <c r="J5" s="2938">
        <v>79422.399999999994</v>
      </c>
      <c r="K5" s="2938">
        <v>79500</v>
      </c>
      <c r="L5" s="2938" t="s">
        <v>3145</v>
      </c>
      <c r="M5" s="2938" t="s">
        <v>2812</v>
      </c>
      <c r="N5" s="2938" t="s">
        <v>3076</v>
      </c>
      <c r="O5" s="2938" t="s">
        <v>3146</v>
      </c>
      <c r="P5" s="2938" t="s">
        <v>2812</v>
      </c>
      <c r="Q5" s="2938" t="s">
        <v>2812</v>
      </c>
      <c r="R5" s="2938" t="s">
        <v>2812</v>
      </c>
      <c r="S5" s="2938" t="s">
        <v>2812</v>
      </c>
      <c r="T5" s="2938" t="s">
        <v>3147</v>
      </c>
      <c r="U5" s="2938" t="s">
        <v>3064</v>
      </c>
      <c r="V5" s="2938" t="s">
        <v>2812</v>
      </c>
      <c r="W5" s="2938" t="s">
        <v>3052</v>
      </c>
      <c r="X5" s="2938" t="s">
        <v>3053</v>
      </c>
      <c r="Y5" s="2938" t="s">
        <v>3148</v>
      </c>
      <c r="Z5" s="2938" t="s">
        <v>3054</v>
      </c>
      <c r="AA5" s="2938" t="s">
        <v>3054</v>
      </c>
      <c r="AB5" s="2938" t="s">
        <v>3144</v>
      </c>
      <c r="AC5" s="2938" t="s">
        <v>3055</v>
      </c>
      <c r="AD5" s="2938" t="s">
        <v>3149</v>
      </c>
      <c r="AE5" s="2938">
        <v>25023</v>
      </c>
      <c r="AF5" s="2938">
        <v>83410</v>
      </c>
      <c r="AG5" s="2938">
        <v>83510</v>
      </c>
      <c r="AH5" s="2938">
        <v>700.14</v>
      </c>
      <c r="AI5" s="2938">
        <v>700.98</v>
      </c>
      <c r="AJ5" s="2938">
        <v>10491.82</v>
      </c>
      <c r="AK5" s="2938">
        <v>10504.39</v>
      </c>
      <c r="AL5" s="2938">
        <f>ROUND(AG5*10000/J5,0)</f>
        <v>10515</v>
      </c>
      <c r="AM5" s="2938" t="s">
        <v>2812</v>
      </c>
      <c r="AN5" s="2938">
        <v>0.12</v>
      </c>
      <c r="AO5" s="2938">
        <v>79500</v>
      </c>
      <c r="AP5" s="2938" t="s">
        <v>2812</v>
      </c>
      <c r="AQ5" s="2938" t="s">
        <v>2812</v>
      </c>
      <c r="AR5" s="2938" t="s">
        <v>2812</v>
      </c>
    </row>
    <row r="6" spans="1:44" s="2938" customFormat="1">
      <c r="A6" s="2938" t="s">
        <v>3048</v>
      </c>
      <c r="B6" s="2938" t="s">
        <v>2978</v>
      </c>
      <c r="C6" s="2938" t="s">
        <v>3150</v>
      </c>
      <c r="D6" s="2938" t="s">
        <v>3049</v>
      </c>
      <c r="E6" s="2938" t="s">
        <v>2812</v>
      </c>
      <c r="F6" s="2938" t="s">
        <v>3048</v>
      </c>
      <c r="G6" s="2938" t="s">
        <v>3050</v>
      </c>
      <c r="H6" s="2938" t="s">
        <v>3151</v>
      </c>
      <c r="I6" s="2938" t="s">
        <v>3152</v>
      </c>
      <c r="J6" s="2938">
        <v>456410.2</v>
      </c>
      <c r="K6" s="2938">
        <v>283981.3</v>
      </c>
      <c r="L6" s="2938" t="s">
        <v>3153</v>
      </c>
      <c r="M6" s="2938" t="s">
        <v>2812</v>
      </c>
      <c r="N6" s="2938" t="s">
        <v>3154</v>
      </c>
      <c r="O6" s="2938" t="s">
        <v>3155</v>
      </c>
      <c r="P6" s="2938" t="s">
        <v>2812</v>
      </c>
      <c r="Q6" s="2938" t="s">
        <v>2812</v>
      </c>
      <c r="R6" s="2938" t="s">
        <v>2812</v>
      </c>
      <c r="S6" s="2938" t="s">
        <v>2812</v>
      </c>
      <c r="T6" s="2938" t="s">
        <v>3147</v>
      </c>
      <c r="U6" s="2938" t="s">
        <v>3064</v>
      </c>
      <c r="V6" s="2938" t="s">
        <v>2812</v>
      </c>
      <c r="W6" s="2938" t="s">
        <v>3052</v>
      </c>
      <c r="X6" s="2938" t="s">
        <v>3156</v>
      </c>
      <c r="Y6" s="2938" t="s">
        <v>3157</v>
      </c>
      <c r="Z6" s="2938" t="s">
        <v>3158</v>
      </c>
      <c r="AA6" s="2938" t="s">
        <v>3158</v>
      </c>
      <c r="AB6" s="2938" t="s">
        <v>3151</v>
      </c>
      <c r="AC6" s="2938" t="s">
        <v>3055</v>
      </c>
      <c r="AD6" s="2938" t="s">
        <v>3159</v>
      </c>
      <c r="AE6" s="2938">
        <v>62850</v>
      </c>
      <c r="AF6" s="2938">
        <v>134050</v>
      </c>
      <c r="AG6" s="2938">
        <v>134050</v>
      </c>
      <c r="AH6" s="2938">
        <v>195.8</v>
      </c>
      <c r="AI6" s="2938">
        <v>195.8</v>
      </c>
      <c r="AJ6" s="2938">
        <v>4720.38</v>
      </c>
      <c r="AK6" s="2938">
        <v>4720.38</v>
      </c>
      <c r="AL6" s="2938">
        <f t="shared" ref="AL6:AL54" si="1">ROUND(AG6*10000/J6,0)</f>
        <v>2937</v>
      </c>
      <c r="AM6" s="2938" t="s">
        <v>2812</v>
      </c>
      <c r="AN6" s="2938">
        <v>0</v>
      </c>
      <c r="AO6" s="2938" t="s">
        <v>3160</v>
      </c>
      <c r="AP6" s="2938" t="s">
        <v>2812</v>
      </c>
      <c r="AQ6" s="2938" t="s">
        <v>2812</v>
      </c>
      <c r="AR6" s="2938" t="s">
        <v>2812</v>
      </c>
    </row>
    <row r="7" spans="1:44" s="2938" customFormat="1">
      <c r="A7" s="2938" t="s">
        <v>3048</v>
      </c>
      <c r="B7" s="2938" t="s">
        <v>2978</v>
      </c>
      <c r="C7" s="2938" t="s">
        <v>3150</v>
      </c>
      <c r="D7" s="2938" t="s">
        <v>3049</v>
      </c>
      <c r="E7" s="2938" t="s">
        <v>2812</v>
      </c>
      <c r="F7" s="2938" t="s">
        <v>3048</v>
      </c>
      <c r="G7" s="2938" t="s">
        <v>3050</v>
      </c>
      <c r="H7" s="2938" t="s">
        <v>3161</v>
      </c>
      <c r="I7" s="2938" t="s">
        <v>3162</v>
      </c>
      <c r="J7" s="2938">
        <v>264903.8</v>
      </c>
      <c r="K7" s="2938">
        <v>298732.09999999998</v>
      </c>
      <c r="L7" s="2938" t="s">
        <v>3163</v>
      </c>
      <c r="M7" s="2938" t="s">
        <v>2812</v>
      </c>
      <c r="N7" s="2938" t="s">
        <v>3164</v>
      </c>
      <c r="O7" s="2938" t="s">
        <v>3165</v>
      </c>
      <c r="P7" s="2938" t="s">
        <v>2812</v>
      </c>
      <c r="Q7" s="2938" t="s">
        <v>2812</v>
      </c>
      <c r="R7" s="2938" t="s">
        <v>2812</v>
      </c>
      <c r="S7" s="2938" t="s">
        <v>2812</v>
      </c>
      <c r="T7" s="2938" t="s">
        <v>3147</v>
      </c>
      <c r="U7" s="2938" t="s">
        <v>3064</v>
      </c>
      <c r="V7" s="2938" t="s">
        <v>2812</v>
      </c>
      <c r="W7" s="2938" t="s">
        <v>3052</v>
      </c>
      <c r="X7" s="2938" t="s">
        <v>3166</v>
      </c>
      <c r="Y7" s="2938" t="s">
        <v>3167</v>
      </c>
      <c r="Z7" s="2938" t="s">
        <v>3168</v>
      </c>
      <c r="AA7" s="2938" t="s">
        <v>3168</v>
      </c>
      <c r="AB7" s="2938" t="s">
        <v>3161</v>
      </c>
      <c r="AC7" s="2938" t="s">
        <v>3055</v>
      </c>
      <c r="AD7" s="2938" t="s">
        <v>3169</v>
      </c>
      <c r="AE7" s="2938">
        <v>96220</v>
      </c>
      <c r="AF7" s="2938">
        <v>192430</v>
      </c>
      <c r="AG7" s="2938">
        <v>192430</v>
      </c>
      <c r="AH7" s="2938">
        <v>484.28</v>
      </c>
      <c r="AI7" s="2938">
        <v>484.28</v>
      </c>
      <c r="AJ7" s="2938">
        <v>6441.55</v>
      </c>
      <c r="AK7" s="2938">
        <v>6441.56</v>
      </c>
      <c r="AL7" s="2938">
        <f t="shared" si="1"/>
        <v>7264</v>
      </c>
      <c r="AM7" s="2938" t="s">
        <v>2812</v>
      </c>
      <c r="AN7" s="2938">
        <v>0</v>
      </c>
      <c r="AO7" s="2938" t="s">
        <v>3170</v>
      </c>
      <c r="AP7" s="2938" t="s">
        <v>2812</v>
      </c>
      <c r="AQ7" s="2938" t="s">
        <v>2812</v>
      </c>
      <c r="AR7" s="2938" t="s">
        <v>2812</v>
      </c>
    </row>
    <row r="8" spans="1:44" s="2938" customFormat="1">
      <c r="A8" s="2938" t="s">
        <v>3048</v>
      </c>
      <c r="B8" s="2938" t="s">
        <v>2978</v>
      </c>
      <c r="C8" s="2938" t="s">
        <v>3150</v>
      </c>
      <c r="D8" s="2938" t="s">
        <v>3049</v>
      </c>
      <c r="E8" s="2938" t="s">
        <v>2812</v>
      </c>
      <c r="F8" s="2938" t="s">
        <v>3048</v>
      </c>
      <c r="G8" s="2938" t="s">
        <v>3050</v>
      </c>
      <c r="H8" s="2938" t="s">
        <v>3171</v>
      </c>
      <c r="I8" s="2938" t="s">
        <v>3172</v>
      </c>
      <c r="J8" s="2938">
        <v>28056.9</v>
      </c>
      <c r="K8" s="2938">
        <v>33668.28</v>
      </c>
      <c r="L8" s="2938" t="s">
        <v>3173</v>
      </c>
      <c r="M8" s="2938" t="s">
        <v>2812</v>
      </c>
      <c r="N8" s="2938" t="s">
        <v>3070</v>
      </c>
      <c r="O8" s="2938" t="s">
        <v>3174</v>
      </c>
      <c r="P8" s="2938" t="s">
        <v>2812</v>
      </c>
      <c r="Q8" s="2938" t="s">
        <v>2812</v>
      </c>
      <c r="R8" s="2938" t="s">
        <v>2812</v>
      </c>
      <c r="S8" s="2938" t="s">
        <v>2812</v>
      </c>
      <c r="T8" s="2938" t="s">
        <v>3175</v>
      </c>
      <c r="U8" s="2938" t="s">
        <v>3147</v>
      </c>
      <c r="V8" s="2938" t="s">
        <v>2812</v>
      </c>
      <c r="W8" s="2938" t="s">
        <v>3052</v>
      </c>
      <c r="X8" s="2938" t="s">
        <v>3176</v>
      </c>
      <c r="Y8" s="2938" t="s">
        <v>3177</v>
      </c>
      <c r="Z8" s="2938" t="s">
        <v>3178</v>
      </c>
      <c r="AA8" s="2938" t="s">
        <v>3178</v>
      </c>
      <c r="AB8" s="2938" t="s">
        <v>3171</v>
      </c>
      <c r="AC8" s="2938" t="s">
        <v>3055</v>
      </c>
      <c r="AD8" s="2938" t="s">
        <v>3078</v>
      </c>
      <c r="AE8" s="2938">
        <v>11445</v>
      </c>
      <c r="AF8" s="2938">
        <v>22890</v>
      </c>
      <c r="AG8" s="2938">
        <v>27468</v>
      </c>
      <c r="AH8" s="2938">
        <v>543.89</v>
      </c>
      <c r="AI8" s="2938">
        <v>652.66999999999996</v>
      </c>
      <c r="AJ8" s="2938">
        <v>6798.68</v>
      </c>
      <c r="AK8" s="2938">
        <v>8158.42</v>
      </c>
      <c r="AL8" s="2938">
        <f t="shared" si="1"/>
        <v>9790</v>
      </c>
      <c r="AM8" s="2938" t="s">
        <v>2812</v>
      </c>
      <c r="AN8" s="2938">
        <v>20</v>
      </c>
      <c r="AO8" s="2938" t="s">
        <v>3170</v>
      </c>
      <c r="AP8" s="2938" t="s">
        <v>2812</v>
      </c>
      <c r="AQ8" s="2938">
        <v>11.9</v>
      </c>
      <c r="AR8" s="2938" t="s">
        <v>2812</v>
      </c>
    </row>
    <row r="9" spans="1:44" s="2938" customFormat="1">
      <c r="A9" s="2938" t="s">
        <v>3048</v>
      </c>
      <c r="B9" s="2938" t="s">
        <v>2978</v>
      </c>
      <c r="C9" s="2938" t="s">
        <v>3150</v>
      </c>
      <c r="D9" s="2938" t="s">
        <v>3049</v>
      </c>
      <c r="E9" s="2938" t="s">
        <v>2812</v>
      </c>
      <c r="F9" s="2938" t="s">
        <v>3048</v>
      </c>
      <c r="G9" s="2938" t="s">
        <v>3050</v>
      </c>
      <c r="H9" s="2938" t="s">
        <v>3179</v>
      </c>
      <c r="I9" s="2938" t="s">
        <v>3172</v>
      </c>
      <c r="J9" s="2938">
        <v>16590.5</v>
      </c>
      <c r="K9" s="2938">
        <v>19908.599999999999</v>
      </c>
      <c r="L9" s="2938" t="s">
        <v>3173</v>
      </c>
      <c r="M9" s="2938" t="s">
        <v>2812</v>
      </c>
      <c r="N9" s="2938" t="s">
        <v>3070</v>
      </c>
      <c r="O9" s="2938" t="s">
        <v>3174</v>
      </c>
      <c r="P9" s="2938" t="s">
        <v>2812</v>
      </c>
      <c r="Q9" s="2938" t="s">
        <v>2812</v>
      </c>
      <c r="R9" s="2938" t="s">
        <v>2812</v>
      </c>
      <c r="S9" s="2938" t="s">
        <v>2812</v>
      </c>
      <c r="T9" s="2938" t="s">
        <v>3175</v>
      </c>
      <c r="U9" s="2938" t="s">
        <v>3147</v>
      </c>
      <c r="V9" s="2938" t="s">
        <v>2812</v>
      </c>
      <c r="W9" s="2938" t="s">
        <v>3052</v>
      </c>
      <c r="X9" s="2938" t="s">
        <v>3176</v>
      </c>
      <c r="Y9" s="2938" t="s">
        <v>3177</v>
      </c>
      <c r="Z9" s="2938" t="s">
        <v>3178</v>
      </c>
      <c r="AA9" s="2938" t="s">
        <v>3178</v>
      </c>
      <c r="AB9" s="2938" t="s">
        <v>3179</v>
      </c>
      <c r="AC9" s="2938" t="s">
        <v>3055</v>
      </c>
      <c r="AD9" s="2938" t="s">
        <v>3078</v>
      </c>
      <c r="AE9" s="2938">
        <v>6770</v>
      </c>
      <c r="AF9" s="2938">
        <v>13540</v>
      </c>
      <c r="AG9" s="2938">
        <v>16248</v>
      </c>
      <c r="AH9" s="2938">
        <v>544.09</v>
      </c>
      <c r="AI9" s="2938">
        <v>652.9</v>
      </c>
      <c r="AJ9" s="2938">
        <v>6801.08</v>
      </c>
      <c r="AK9" s="2938">
        <v>8161.3</v>
      </c>
      <c r="AL9" s="2938">
        <f t="shared" si="1"/>
        <v>9794</v>
      </c>
      <c r="AM9" s="2938" t="s">
        <v>2812</v>
      </c>
      <c r="AN9" s="2938">
        <v>20</v>
      </c>
      <c r="AO9" s="2938" t="s">
        <v>3170</v>
      </c>
      <c r="AP9" s="2938" t="s">
        <v>2812</v>
      </c>
      <c r="AQ9" s="2938">
        <v>25.1</v>
      </c>
      <c r="AR9" s="2938" t="s">
        <v>2812</v>
      </c>
    </row>
    <row r="10" spans="1:44" s="2938" customFormat="1">
      <c r="A10" s="2938" t="s">
        <v>3048</v>
      </c>
      <c r="B10" s="2938" t="s">
        <v>2978</v>
      </c>
      <c r="C10" s="2938" t="s">
        <v>3150</v>
      </c>
      <c r="D10" s="2938" t="s">
        <v>3049</v>
      </c>
      <c r="E10" s="2938" t="s">
        <v>2812</v>
      </c>
      <c r="F10" s="2938" t="s">
        <v>3048</v>
      </c>
      <c r="G10" s="2938" t="s">
        <v>3050</v>
      </c>
      <c r="H10" s="2938" t="s">
        <v>3180</v>
      </c>
      <c r="I10" s="2938" t="s">
        <v>3172</v>
      </c>
      <c r="J10" s="2938">
        <v>30184.5</v>
      </c>
      <c r="K10" s="2938">
        <v>36221.4</v>
      </c>
      <c r="L10" s="2938" t="s">
        <v>3173</v>
      </c>
      <c r="M10" s="2938" t="s">
        <v>2812</v>
      </c>
      <c r="N10" s="2938" t="s">
        <v>3070</v>
      </c>
      <c r="O10" s="2938" t="s">
        <v>3174</v>
      </c>
      <c r="P10" s="2938" t="s">
        <v>2812</v>
      </c>
      <c r="Q10" s="2938" t="s">
        <v>2812</v>
      </c>
      <c r="R10" s="2938" t="s">
        <v>2812</v>
      </c>
      <c r="S10" s="2938" t="s">
        <v>2812</v>
      </c>
      <c r="T10" s="2938" t="s">
        <v>3175</v>
      </c>
      <c r="U10" s="2938" t="s">
        <v>3147</v>
      </c>
      <c r="V10" s="2938" t="s">
        <v>2812</v>
      </c>
      <c r="W10" s="2938" t="s">
        <v>3052</v>
      </c>
      <c r="X10" s="2938" t="s">
        <v>3176</v>
      </c>
      <c r="Y10" s="2938" t="s">
        <v>3177</v>
      </c>
      <c r="Z10" s="2938" t="s">
        <v>3178</v>
      </c>
      <c r="AA10" s="2938" t="s">
        <v>3178</v>
      </c>
      <c r="AB10" s="2938" t="s">
        <v>3180</v>
      </c>
      <c r="AC10" s="2938" t="s">
        <v>3055</v>
      </c>
      <c r="AD10" s="2938" t="s">
        <v>3078</v>
      </c>
      <c r="AE10" s="2938">
        <v>12315</v>
      </c>
      <c r="AF10" s="2938">
        <v>24630</v>
      </c>
      <c r="AG10" s="2938">
        <v>29556</v>
      </c>
      <c r="AH10" s="2938">
        <v>543.99</v>
      </c>
      <c r="AI10" s="2938">
        <v>652.79</v>
      </c>
      <c r="AJ10" s="2938">
        <v>6799.84</v>
      </c>
      <c r="AK10" s="2938">
        <v>8159.81</v>
      </c>
      <c r="AL10" s="2938">
        <f t="shared" si="1"/>
        <v>9792</v>
      </c>
      <c r="AM10" s="2938" t="s">
        <v>2812</v>
      </c>
      <c r="AN10" s="2938">
        <v>20</v>
      </c>
      <c r="AO10" s="2938" t="s">
        <v>3170</v>
      </c>
      <c r="AP10" s="2938" t="s">
        <v>2812</v>
      </c>
      <c r="AQ10" s="2938">
        <v>16.600000000000001</v>
      </c>
      <c r="AR10" s="2938" t="s">
        <v>2812</v>
      </c>
    </row>
    <row r="11" spans="1:44" s="2938" customFormat="1">
      <c r="A11" s="2938" t="s">
        <v>3181</v>
      </c>
      <c r="B11" s="2938" t="s">
        <v>2978</v>
      </c>
      <c r="C11" s="2938" t="s">
        <v>3150</v>
      </c>
      <c r="D11" s="2938" t="s">
        <v>3049</v>
      </c>
      <c r="E11" s="2938" t="s">
        <v>2812</v>
      </c>
      <c r="F11" s="2938" t="s">
        <v>3181</v>
      </c>
      <c r="G11" s="2938" t="s">
        <v>3050</v>
      </c>
      <c r="H11" s="2938" t="s">
        <v>3182</v>
      </c>
      <c r="I11" s="2938" t="s">
        <v>3172</v>
      </c>
      <c r="J11" s="2938">
        <v>90780.4</v>
      </c>
      <c r="K11" s="2938">
        <v>196854.3</v>
      </c>
      <c r="L11" s="2938" t="s">
        <v>3183</v>
      </c>
      <c r="M11" s="2938" t="s">
        <v>2812</v>
      </c>
      <c r="N11" s="2938" t="s">
        <v>3184</v>
      </c>
      <c r="O11" s="2938" t="s">
        <v>3185</v>
      </c>
      <c r="P11" s="2938" t="s">
        <v>2812</v>
      </c>
      <c r="Q11" s="2938" t="s">
        <v>2812</v>
      </c>
      <c r="R11" s="2938" t="s">
        <v>2812</v>
      </c>
      <c r="S11" s="2938" t="s">
        <v>2812</v>
      </c>
      <c r="T11" s="2938" t="s">
        <v>3147</v>
      </c>
      <c r="U11" s="2938" t="s">
        <v>3064</v>
      </c>
      <c r="V11" s="2938" t="s">
        <v>2812</v>
      </c>
      <c r="W11" s="2938" t="s">
        <v>3052</v>
      </c>
      <c r="X11" s="2938" t="s">
        <v>3176</v>
      </c>
      <c r="Y11" s="2938" t="s">
        <v>3177</v>
      </c>
      <c r="Z11" s="2938" t="s">
        <v>3178</v>
      </c>
      <c r="AA11" s="2938" t="s">
        <v>3178</v>
      </c>
      <c r="AB11" s="2938" t="s">
        <v>3182</v>
      </c>
      <c r="AC11" s="2938" t="s">
        <v>3055</v>
      </c>
      <c r="AD11" s="2938" t="s">
        <v>3186</v>
      </c>
      <c r="AE11" s="2938">
        <v>90640</v>
      </c>
      <c r="AF11" s="2938">
        <v>90640</v>
      </c>
      <c r="AG11" s="2938">
        <v>90740</v>
      </c>
      <c r="AH11" s="2938">
        <v>665.64</v>
      </c>
      <c r="AI11" s="2938">
        <v>666.37</v>
      </c>
      <c r="AJ11" s="2938">
        <v>4604.42</v>
      </c>
      <c r="AK11" s="2938">
        <v>4609.5</v>
      </c>
      <c r="AL11" s="2938">
        <f t="shared" si="1"/>
        <v>9996</v>
      </c>
      <c r="AM11" s="2938" t="s">
        <v>2812</v>
      </c>
      <c r="AN11" s="2938">
        <v>0.11</v>
      </c>
      <c r="AO11" s="2938" t="s">
        <v>3170</v>
      </c>
      <c r="AP11" s="2938" t="s">
        <v>2812</v>
      </c>
      <c r="AQ11" s="2938" t="s">
        <v>2812</v>
      </c>
      <c r="AR11" s="2938" t="s">
        <v>2812</v>
      </c>
    </row>
    <row r="12" spans="1:44" s="2938" customFormat="1">
      <c r="A12" s="2938" t="s">
        <v>3048</v>
      </c>
      <c r="B12" s="2938" t="s">
        <v>2978</v>
      </c>
      <c r="C12" s="2938" t="s">
        <v>3150</v>
      </c>
      <c r="D12" s="2938" t="s">
        <v>3049</v>
      </c>
      <c r="E12" s="2938" t="s">
        <v>2812</v>
      </c>
      <c r="F12" s="2938" t="s">
        <v>3048</v>
      </c>
      <c r="G12" s="2938" t="s">
        <v>3050</v>
      </c>
      <c r="H12" s="2938" t="s">
        <v>3187</v>
      </c>
      <c r="I12" s="2938" t="s">
        <v>3172</v>
      </c>
      <c r="J12" s="2938">
        <v>21097</v>
      </c>
      <c r="K12" s="2938">
        <v>25316.400000000001</v>
      </c>
      <c r="L12" s="2938" t="s">
        <v>3173</v>
      </c>
      <c r="M12" s="2938" t="s">
        <v>2812</v>
      </c>
      <c r="N12" s="2938" t="s">
        <v>3070</v>
      </c>
      <c r="O12" s="2938" t="s">
        <v>3174</v>
      </c>
      <c r="P12" s="2938" t="s">
        <v>2812</v>
      </c>
      <c r="Q12" s="2938" t="s">
        <v>2812</v>
      </c>
      <c r="R12" s="2938" t="s">
        <v>2812</v>
      </c>
      <c r="S12" s="2938" t="s">
        <v>2812</v>
      </c>
      <c r="T12" s="2938" t="s">
        <v>3175</v>
      </c>
      <c r="U12" s="2938" t="s">
        <v>3147</v>
      </c>
      <c r="V12" s="2938" t="s">
        <v>2812</v>
      </c>
      <c r="W12" s="2938" t="s">
        <v>3052</v>
      </c>
      <c r="X12" s="2938" t="s">
        <v>3176</v>
      </c>
      <c r="Y12" s="2938" t="s">
        <v>3177</v>
      </c>
      <c r="Z12" s="2938" t="s">
        <v>3178</v>
      </c>
      <c r="AA12" s="2938" t="s">
        <v>3178</v>
      </c>
      <c r="AB12" s="2938" t="s">
        <v>3187</v>
      </c>
      <c r="AC12" s="2938" t="s">
        <v>3055</v>
      </c>
      <c r="AD12" s="2938" t="s">
        <v>3078</v>
      </c>
      <c r="AE12" s="2938">
        <v>8610</v>
      </c>
      <c r="AF12" s="2938">
        <v>17220</v>
      </c>
      <c r="AG12" s="2938">
        <v>20664</v>
      </c>
      <c r="AH12" s="2938">
        <v>544.15</v>
      </c>
      <c r="AI12" s="2938">
        <v>652.98</v>
      </c>
      <c r="AJ12" s="2938">
        <v>6801.91</v>
      </c>
      <c r="AK12" s="2938">
        <v>8162.3</v>
      </c>
      <c r="AL12" s="2938">
        <f t="shared" si="1"/>
        <v>9795</v>
      </c>
      <c r="AM12" s="2938" t="s">
        <v>2812</v>
      </c>
      <c r="AN12" s="2938">
        <v>20</v>
      </c>
      <c r="AO12" s="2938" t="s">
        <v>3170</v>
      </c>
      <c r="AP12" s="2938" t="s">
        <v>2812</v>
      </c>
      <c r="AQ12" s="2938">
        <v>11.9</v>
      </c>
      <c r="AR12" s="2938" t="s">
        <v>2812</v>
      </c>
    </row>
    <row r="13" spans="1:44" s="2938" customFormat="1">
      <c r="A13" s="2938" t="s">
        <v>3188</v>
      </c>
      <c r="B13" s="2938" t="s">
        <v>2978</v>
      </c>
      <c r="C13" s="2938" t="s">
        <v>3150</v>
      </c>
      <c r="D13" s="2938" t="s">
        <v>3049</v>
      </c>
      <c r="E13" s="2938" t="s">
        <v>2812</v>
      </c>
      <c r="F13" s="2938" t="s">
        <v>3188</v>
      </c>
      <c r="G13" s="2938" t="s">
        <v>3050</v>
      </c>
      <c r="H13" s="2938" t="s">
        <v>3189</v>
      </c>
      <c r="I13" s="2938" t="s">
        <v>3172</v>
      </c>
      <c r="J13" s="2938">
        <v>28558.3</v>
      </c>
      <c r="K13" s="2938">
        <v>57116.6</v>
      </c>
      <c r="L13" s="2938" t="s">
        <v>3190</v>
      </c>
      <c r="M13" s="2938" t="s">
        <v>2812</v>
      </c>
      <c r="N13" s="2938" t="s">
        <v>3191</v>
      </c>
      <c r="O13" s="2938" t="s">
        <v>2812</v>
      </c>
      <c r="P13" s="2938" t="s">
        <v>2812</v>
      </c>
      <c r="Q13" s="2938" t="s">
        <v>2812</v>
      </c>
      <c r="R13" s="2938" t="s">
        <v>2812</v>
      </c>
      <c r="S13" s="2938" t="s">
        <v>2812</v>
      </c>
      <c r="T13" s="2938" t="s">
        <v>3147</v>
      </c>
      <c r="U13" s="2938" t="s">
        <v>3064</v>
      </c>
      <c r="V13" s="2938" t="s">
        <v>2812</v>
      </c>
      <c r="W13" s="2938" t="s">
        <v>3052</v>
      </c>
      <c r="X13" s="2938" t="s">
        <v>3192</v>
      </c>
      <c r="Y13" s="2938" t="s">
        <v>3193</v>
      </c>
      <c r="Z13" s="2938" t="s">
        <v>3194</v>
      </c>
      <c r="AA13" s="2938" t="s">
        <v>3194</v>
      </c>
      <c r="AB13" s="2938" t="s">
        <v>3189</v>
      </c>
      <c r="AC13" s="2938" t="s">
        <v>3055</v>
      </c>
      <c r="AD13" s="2938" t="s">
        <v>3195</v>
      </c>
      <c r="AE13" s="2938">
        <v>23400</v>
      </c>
      <c r="AF13" s="2938">
        <v>23400</v>
      </c>
      <c r="AG13" s="2938">
        <v>29400</v>
      </c>
      <c r="AH13" s="2938">
        <v>546.25</v>
      </c>
      <c r="AI13" s="2938">
        <v>686.32</v>
      </c>
      <c r="AJ13" s="2938">
        <v>4096.88</v>
      </c>
      <c r="AK13" s="2938">
        <v>5147.3599999999997</v>
      </c>
      <c r="AL13" s="2938">
        <f t="shared" si="1"/>
        <v>10295</v>
      </c>
      <c r="AM13" s="2938" t="s">
        <v>2812</v>
      </c>
      <c r="AN13" s="2938">
        <v>25.64</v>
      </c>
      <c r="AO13" s="2938" t="s">
        <v>3170</v>
      </c>
      <c r="AP13" s="2938" t="s">
        <v>2812</v>
      </c>
      <c r="AQ13" s="2938" t="s">
        <v>2812</v>
      </c>
      <c r="AR13" s="2938" t="s">
        <v>2812</v>
      </c>
    </row>
    <row r="14" spans="1:44" s="2938" customFormat="1">
      <c r="A14" s="2938" t="s">
        <v>3196</v>
      </c>
      <c r="B14" s="2938" t="s">
        <v>2978</v>
      </c>
      <c r="C14" s="2938" t="s">
        <v>3150</v>
      </c>
      <c r="D14" s="2938" t="s">
        <v>3049</v>
      </c>
      <c r="E14" s="2938" t="s">
        <v>2812</v>
      </c>
      <c r="F14" s="2938" t="s">
        <v>3196</v>
      </c>
      <c r="G14" s="2938" t="s">
        <v>3050</v>
      </c>
      <c r="H14" s="2938" t="s">
        <v>3197</v>
      </c>
      <c r="I14" s="2938" t="s">
        <v>3198</v>
      </c>
      <c r="J14" s="2938">
        <v>159465.9</v>
      </c>
      <c r="K14" s="2938">
        <v>268022.09999999998</v>
      </c>
      <c r="L14" s="2938" t="s">
        <v>3199</v>
      </c>
      <c r="M14" s="2938" t="s">
        <v>2812</v>
      </c>
      <c r="N14" s="2938" t="s">
        <v>3200</v>
      </c>
      <c r="O14" s="2938" t="s">
        <v>2812</v>
      </c>
      <c r="P14" s="2938" t="s">
        <v>2812</v>
      </c>
      <c r="Q14" s="2938" t="s">
        <v>2812</v>
      </c>
      <c r="R14" s="2938" t="s">
        <v>2812</v>
      </c>
      <c r="S14" s="2938" t="s">
        <v>2812</v>
      </c>
      <c r="T14" s="2938" t="s">
        <v>3147</v>
      </c>
      <c r="U14" s="2938" t="s">
        <v>3064</v>
      </c>
      <c r="V14" s="2938" t="s">
        <v>2812</v>
      </c>
      <c r="W14" s="2938" t="s">
        <v>3052</v>
      </c>
      <c r="X14" s="2938" t="s">
        <v>3201</v>
      </c>
      <c r="Y14" s="2938" t="s">
        <v>3202</v>
      </c>
      <c r="Z14" s="2938" t="s">
        <v>3203</v>
      </c>
      <c r="AA14" s="2938" t="s">
        <v>3203</v>
      </c>
      <c r="AB14" s="2938" t="s">
        <v>3197</v>
      </c>
      <c r="AC14" s="2938" t="s">
        <v>3055</v>
      </c>
      <c r="AD14" s="2938" t="s">
        <v>3204</v>
      </c>
      <c r="AE14" s="2938">
        <v>66440</v>
      </c>
      <c r="AF14" s="2938">
        <v>66440</v>
      </c>
      <c r="AG14" s="2938">
        <v>66440</v>
      </c>
      <c r="AH14" s="2938">
        <v>277.76</v>
      </c>
      <c r="AI14" s="2938">
        <v>277.76</v>
      </c>
      <c r="AJ14" s="2938">
        <v>2478.9</v>
      </c>
      <c r="AK14" s="2938">
        <v>2478.9</v>
      </c>
      <c r="AL14" s="2938">
        <f t="shared" si="1"/>
        <v>4166</v>
      </c>
      <c r="AM14" s="2938" t="s">
        <v>2812</v>
      </c>
      <c r="AN14" s="2938">
        <v>0</v>
      </c>
      <c r="AO14" s="2938" t="s">
        <v>3170</v>
      </c>
      <c r="AP14" s="2938" t="s">
        <v>2812</v>
      </c>
      <c r="AQ14" s="2938" t="s">
        <v>2812</v>
      </c>
      <c r="AR14" s="2938" t="s">
        <v>2812</v>
      </c>
    </row>
    <row r="15" spans="1:44" s="2938" customFormat="1">
      <c r="A15" s="2938" t="s">
        <v>3196</v>
      </c>
      <c r="B15" s="2938" t="s">
        <v>2978</v>
      </c>
      <c r="C15" s="2938" t="s">
        <v>3150</v>
      </c>
      <c r="D15" s="2938" t="s">
        <v>3049</v>
      </c>
      <c r="E15" s="2938" t="s">
        <v>2812</v>
      </c>
      <c r="F15" s="2938" t="s">
        <v>3196</v>
      </c>
      <c r="G15" s="2938" t="s">
        <v>3050</v>
      </c>
      <c r="H15" s="2938" t="s">
        <v>3205</v>
      </c>
      <c r="I15" s="2938" t="s">
        <v>3172</v>
      </c>
      <c r="J15" s="2938">
        <v>68830.399999999994</v>
      </c>
      <c r="K15" s="2938">
        <v>103245.6</v>
      </c>
      <c r="L15" s="2938" t="s">
        <v>3206</v>
      </c>
      <c r="M15" s="2938" t="s">
        <v>2812</v>
      </c>
      <c r="N15" s="2938" t="s">
        <v>3191</v>
      </c>
      <c r="O15" s="2938" t="s">
        <v>2812</v>
      </c>
      <c r="P15" s="2938" t="s">
        <v>2812</v>
      </c>
      <c r="Q15" s="2938" t="s">
        <v>2812</v>
      </c>
      <c r="R15" s="2938" t="s">
        <v>2812</v>
      </c>
      <c r="S15" s="2938" t="s">
        <v>2812</v>
      </c>
      <c r="T15" s="2938" t="s">
        <v>3147</v>
      </c>
      <c r="U15" s="2938" t="s">
        <v>3064</v>
      </c>
      <c r="V15" s="2938" t="s">
        <v>2812</v>
      </c>
      <c r="W15" s="2938" t="s">
        <v>3052</v>
      </c>
      <c r="X15" s="2938" t="s">
        <v>3201</v>
      </c>
      <c r="Y15" s="2938" t="s">
        <v>3202</v>
      </c>
      <c r="Z15" s="2938" t="s">
        <v>3203</v>
      </c>
      <c r="AA15" s="2938" t="s">
        <v>3203</v>
      </c>
      <c r="AB15" s="2938" t="s">
        <v>3205</v>
      </c>
      <c r="AC15" s="2938" t="s">
        <v>3055</v>
      </c>
      <c r="AD15" s="2938" t="s">
        <v>3207</v>
      </c>
      <c r="AE15" s="2938">
        <v>28180</v>
      </c>
      <c r="AF15" s="2938">
        <v>28180</v>
      </c>
      <c r="AG15" s="2938">
        <v>28180</v>
      </c>
      <c r="AH15" s="2938">
        <v>272.94</v>
      </c>
      <c r="AI15" s="2938">
        <v>272.94</v>
      </c>
      <c r="AJ15" s="2938">
        <v>2729.41</v>
      </c>
      <c r="AK15" s="2938">
        <v>2729.4</v>
      </c>
      <c r="AL15" s="2938">
        <f t="shared" si="1"/>
        <v>4094</v>
      </c>
      <c r="AM15" s="2938" t="s">
        <v>2812</v>
      </c>
      <c r="AN15" s="2938">
        <v>0</v>
      </c>
      <c r="AO15" s="2938" t="s">
        <v>3170</v>
      </c>
      <c r="AP15" s="2938" t="s">
        <v>2812</v>
      </c>
      <c r="AQ15" s="2938" t="s">
        <v>2812</v>
      </c>
      <c r="AR15" s="2938" t="s">
        <v>2812</v>
      </c>
    </row>
    <row r="16" spans="1:44" s="2938" customFormat="1">
      <c r="A16" s="2938" t="s">
        <v>3208</v>
      </c>
      <c r="B16" s="2938" t="s">
        <v>2978</v>
      </c>
      <c r="C16" s="2938" t="s">
        <v>3150</v>
      </c>
      <c r="D16" s="2938" t="s">
        <v>3049</v>
      </c>
      <c r="E16" s="2938" t="s">
        <v>2812</v>
      </c>
      <c r="F16" s="2938" t="s">
        <v>3208</v>
      </c>
      <c r="G16" s="2938" t="s">
        <v>3050</v>
      </c>
      <c r="H16" s="2938" t="s">
        <v>3209</v>
      </c>
      <c r="I16" s="2938" t="s">
        <v>3172</v>
      </c>
      <c r="J16" s="2938">
        <v>30410.6</v>
      </c>
      <c r="K16" s="2938">
        <v>45615.9</v>
      </c>
      <c r="L16" s="2938" t="s">
        <v>3206</v>
      </c>
      <c r="M16" s="2938" t="s">
        <v>2812</v>
      </c>
      <c r="N16" s="2938" t="s">
        <v>3191</v>
      </c>
      <c r="O16" s="2938" t="s">
        <v>3060</v>
      </c>
      <c r="P16" s="2938" t="s">
        <v>2812</v>
      </c>
      <c r="Q16" s="2938" t="s">
        <v>2812</v>
      </c>
      <c r="R16" s="2938" t="s">
        <v>2812</v>
      </c>
      <c r="S16" s="2938" t="s">
        <v>2812</v>
      </c>
      <c r="T16" s="2938" t="s">
        <v>3147</v>
      </c>
      <c r="U16" s="2938" t="s">
        <v>3147</v>
      </c>
      <c r="V16" s="2938" t="s">
        <v>2812</v>
      </c>
      <c r="W16" s="2938" t="s">
        <v>3052</v>
      </c>
      <c r="X16" s="2938" t="s">
        <v>3210</v>
      </c>
      <c r="Y16" s="2938" t="s">
        <v>3211</v>
      </c>
      <c r="Z16" s="2938" t="s">
        <v>3212</v>
      </c>
      <c r="AA16" s="2938" t="s">
        <v>3212</v>
      </c>
      <c r="AB16" s="2938" t="s">
        <v>3209</v>
      </c>
      <c r="AC16" s="2938" t="s">
        <v>3055</v>
      </c>
      <c r="AD16" s="2938" t="s">
        <v>3213</v>
      </c>
      <c r="AE16" s="2938">
        <v>22060</v>
      </c>
      <c r="AF16" s="2938">
        <v>22060</v>
      </c>
      <c r="AG16" s="2938">
        <v>33090</v>
      </c>
      <c r="AH16" s="2938">
        <v>483.6</v>
      </c>
      <c r="AI16" s="2938">
        <v>725.4</v>
      </c>
      <c r="AJ16" s="2938">
        <v>4836.03</v>
      </c>
      <c r="AK16" s="2938">
        <v>7254.05</v>
      </c>
      <c r="AL16" s="2938">
        <f t="shared" si="1"/>
        <v>10881</v>
      </c>
      <c r="AM16" s="2938" t="s">
        <v>2812</v>
      </c>
      <c r="AN16" s="2938">
        <v>50</v>
      </c>
      <c r="AO16" s="2938" t="s">
        <v>3170</v>
      </c>
      <c r="AP16" s="2938" t="s">
        <v>2812</v>
      </c>
      <c r="AQ16" s="2938">
        <v>13</v>
      </c>
      <c r="AR16" s="2938" t="s">
        <v>2812</v>
      </c>
    </row>
    <row r="17" spans="1:44" s="2938" customFormat="1">
      <c r="A17" s="2938" t="s">
        <v>3208</v>
      </c>
      <c r="B17" s="2938" t="s">
        <v>2978</v>
      </c>
      <c r="C17" s="2938" t="s">
        <v>3150</v>
      </c>
      <c r="D17" s="2938" t="s">
        <v>3049</v>
      </c>
      <c r="E17" s="2938" t="s">
        <v>2812</v>
      </c>
      <c r="F17" s="2938" t="s">
        <v>3208</v>
      </c>
      <c r="G17" s="2938" t="s">
        <v>3050</v>
      </c>
      <c r="H17" s="2938" t="s">
        <v>3214</v>
      </c>
      <c r="I17" s="2938" t="s">
        <v>3172</v>
      </c>
      <c r="J17" s="2938">
        <v>44712</v>
      </c>
      <c r="K17" s="2938">
        <v>80481.600000000006</v>
      </c>
      <c r="L17" s="2938" t="s">
        <v>3215</v>
      </c>
      <c r="M17" s="2938" t="s">
        <v>2812</v>
      </c>
      <c r="N17" s="2938" t="s">
        <v>3216</v>
      </c>
      <c r="O17" s="2938" t="s">
        <v>3217</v>
      </c>
      <c r="P17" s="2938" t="s">
        <v>2812</v>
      </c>
      <c r="Q17" s="2938" t="s">
        <v>2812</v>
      </c>
      <c r="R17" s="2938" t="s">
        <v>2812</v>
      </c>
      <c r="S17" s="2938" t="s">
        <v>2812</v>
      </c>
      <c r="T17" s="2938" t="s">
        <v>3147</v>
      </c>
      <c r="U17" s="2938" t="s">
        <v>3147</v>
      </c>
      <c r="V17" s="2938" t="s">
        <v>2812</v>
      </c>
      <c r="W17" s="2938" t="s">
        <v>3052</v>
      </c>
      <c r="X17" s="2938" t="s">
        <v>3210</v>
      </c>
      <c r="Y17" s="2938" t="s">
        <v>3211</v>
      </c>
      <c r="Z17" s="2938" t="s">
        <v>3212</v>
      </c>
      <c r="AA17" s="2938" t="s">
        <v>3212</v>
      </c>
      <c r="AB17" s="2938" t="s">
        <v>3214</v>
      </c>
      <c r="AC17" s="2938" t="s">
        <v>3055</v>
      </c>
      <c r="AD17" s="2938" t="s">
        <v>3218</v>
      </c>
      <c r="AE17" s="2938">
        <v>17370</v>
      </c>
      <c r="AF17" s="2938">
        <v>35850</v>
      </c>
      <c r="AG17" s="2938">
        <v>53775</v>
      </c>
      <c r="AH17" s="2938">
        <v>534.53</v>
      </c>
      <c r="AI17" s="2938">
        <v>801.8</v>
      </c>
      <c r="AJ17" s="2938">
        <v>4454.43</v>
      </c>
      <c r="AK17" s="2938">
        <v>6681.64</v>
      </c>
      <c r="AL17" s="2938">
        <f t="shared" si="1"/>
        <v>12027</v>
      </c>
      <c r="AM17" s="2938" t="s">
        <v>2812</v>
      </c>
      <c r="AN17" s="2938">
        <v>50</v>
      </c>
      <c r="AO17" s="2938" t="s">
        <v>3170</v>
      </c>
      <c r="AP17" s="2938" t="s">
        <v>2812</v>
      </c>
      <c r="AQ17" s="2938">
        <v>30</v>
      </c>
      <c r="AR17" s="2938" t="s">
        <v>2812</v>
      </c>
    </row>
    <row r="18" spans="1:44" s="2938" customFormat="1">
      <c r="A18" s="2938" t="s">
        <v>3219</v>
      </c>
      <c r="B18" s="2938" t="s">
        <v>2978</v>
      </c>
      <c r="C18" s="2938" t="s">
        <v>3150</v>
      </c>
      <c r="D18" s="2938" t="s">
        <v>3049</v>
      </c>
      <c r="E18" s="2938" t="s">
        <v>2812</v>
      </c>
      <c r="F18" s="2938" t="s">
        <v>3219</v>
      </c>
      <c r="G18" s="2938" t="s">
        <v>3050</v>
      </c>
      <c r="H18" s="2938" t="s">
        <v>3220</v>
      </c>
      <c r="I18" s="2938" t="s">
        <v>3162</v>
      </c>
      <c r="J18" s="2938">
        <v>121948.3</v>
      </c>
      <c r="K18" s="2938">
        <v>201939.8</v>
      </c>
      <c r="L18" s="2938" t="s">
        <v>3221</v>
      </c>
      <c r="M18" s="2938" t="s">
        <v>3222</v>
      </c>
      <c r="N18" s="2938" t="s">
        <v>3223</v>
      </c>
      <c r="O18" s="2938" t="s">
        <v>3224</v>
      </c>
      <c r="P18" s="2938" t="s">
        <v>3225</v>
      </c>
      <c r="Q18" s="2938" t="s">
        <v>2812</v>
      </c>
      <c r="R18" s="2938" t="s">
        <v>2812</v>
      </c>
      <c r="S18" s="2938" t="s">
        <v>2812</v>
      </c>
      <c r="T18" s="2938" t="s">
        <v>3226</v>
      </c>
      <c r="U18" s="2938" t="s">
        <v>3064</v>
      </c>
      <c r="V18" s="2938" t="s">
        <v>2812</v>
      </c>
      <c r="W18" s="2938" t="s">
        <v>3052</v>
      </c>
      <c r="X18" s="2938" t="s">
        <v>3227</v>
      </c>
      <c r="Y18" s="2938" t="s">
        <v>3228</v>
      </c>
      <c r="Z18" s="2938" t="s">
        <v>3229</v>
      </c>
      <c r="AA18" s="2938" t="s">
        <v>3229</v>
      </c>
      <c r="AB18" s="2938" t="s">
        <v>3220</v>
      </c>
      <c r="AC18" s="2938" t="s">
        <v>3055</v>
      </c>
      <c r="AD18" s="2938" t="s">
        <v>3230</v>
      </c>
      <c r="AE18" s="2938">
        <v>116660</v>
      </c>
      <c r="AF18" s="2938">
        <v>116660</v>
      </c>
      <c r="AG18" s="2938">
        <v>118000</v>
      </c>
      <c r="AH18" s="2938">
        <v>637.76</v>
      </c>
      <c r="AI18" s="2938">
        <v>645.08000000000004</v>
      </c>
      <c r="AJ18" s="2938">
        <v>5776.96</v>
      </c>
      <c r="AK18" s="2938">
        <v>5843.32</v>
      </c>
      <c r="AL18" s="2938">
        <f t="shared" si="1"/>
        <v>9676</v>
      </c>
      <c r="AM18" s="2938" t="s">
        <v>2812</v>
      </c>
      <c r="AN18" s="2938">
        <v>1.1499999999999999</v>
      </c>
      <c r="AO18" s="2938" t="s">
        <v>3170</v>
      </c>
      <c r="AP18" s="2938" t="s">
        <v>2812</v>
      </c>
      <c r="AQ18" s="2938" t="s">
        <v>2812</v>
      </c>
      <c r="AR18" s="2938" t="s">
        <v>2812</v>
      </c>
    </row>
    <row r="19" spans="1:44" s="2938" customFormat="1">
      <c r="A19" s="2938" t="s">
        <v>3231</v>
      </c>
      <c r="B19" s="2938" t="s">
        <v>2978</v>
      </c>
      <c r="C19" s="2938" t="s">
        <v>3150</v>
      </c>
      <c r="D19" s="2938" t="s">
        <v>3049</v>
      </c>
      <c r="E19" s="2938" t="s">
        <v>2812</v>
      </c>
      <c r="F19" s="2938" t="s">
        <v>3231</v>
      </c>
      <c r="G19" s="2938" t="s">
        <v>3050</v>
      </c>
      <c r="H19" s="2938" t="s">
        <v>3232</v>
      </c>
      <c r="I19" s="2938" t="s">
        <v>3233</v>
      </c>
      <c r="J19" s="2938">
        <v>76357.899999999994</v>
      </c>
      <c r="K19" s="2938">
        <v>121787</v>
      </c>
      <c r="L19" s="2938" t="s">
        <v>3234</v>
      </c>
      <c r="M19" s="2938" t="s">
        <v>2812</v>
      </c>
      <c r="N19" s="2938" t="s">
        <v>3235</v>
      </c>
      <c r="O19" s="2938" t="s">
        <v>3236</v>
      </c>
      <c r="P19" s="2938" t="s">
        <v>2812</v>
      </c>
      <c r="Q19" s="2938" t="s">
        <v>2812</v>
      </c>
      <c r="R19" s="2938" t="s">
        <v>2812</v>
      </c>
      <c r="S19" s="2938" t="s">
        <v>2812</v>
      </c>
      <c r="T19" s="2938" t="s">
        <v>3147</v>
      </c>
      <c r="U19" s="2938" t="s">
        <v>3064</v>
      </c>
      <c r="V19" s="2938" t="s">
        <v>2812</v>
      </c>
      <c r="W19" s="2938" t="s">
        <v>3052</v>
      </c>
      <c r="X19" s="2938" t="s">
        <v>3237</v>
      </c>
      <c r="Y19" s="2938" t="s">
        <v>3238</v>
      </c>
      <c r="Z19" s="2938" t="s">
        <v>3229</v>
      </c>
      <c r="AA19" s="2938" t="s">
        <v>3229</v>
      </c>
      <c r="AB19" s="2938" t="s">
        <v>3232</v>
      </c>
      <c r="AC19" s="2938" t="s">
        <v>3055</v>
      </c>
      <c r="AD19" s="2938" t="s">
        <v>3239</v>
      </c>
      <c r="AE19" s="2938">
        <v>39270</v>
      </c>
      <c r="AF19" s="2938">
        <v>39270</v>
      </c>
      <c r="AG19" s="2938">
        <v>53400</v>
      </c>
      <c r="AH19" s="2938">
        <v>342.86</v>
      </c>
      <c r="AI19" s="2938">
        <v>466.23</v>
      </c>
      <c r="AJ19" s="2938">
        <v>3224.48</v>
      </c>
      <c r="AK19" s="2938">
        <v>4384.6899999999996</v>
      </c>
      <c r="AL19" s="2938">
        <f t="shared" si="1"/>
        <v>6993</v>
      </c>
      <c r="AM19" s="2938" t="s">
        <v>2812</v>
      </c>
      <c r="AN19" s="2938">
        <v>35.979999999999997</v>
      </c>
      <c r="AO19" s="2938" t="s">
        <v>3170</v>
      </c>
      <c r="AP19" s="2938" t="s">
        <v>2812</v>
      </c>
      <c r="AQ19" s="2938" t="s">
        <v>2812</v>
      </c>
      <c r="AR19" s="2938" t="s">
        <v>2812</v>
      </c>
    </row>
    <row r="20" spans="1:44" s="2938" customFormat="1">
      <c r="A20" s="2938" t="s">
        <v>3240</v>
      </c>
      <c r="B20" s="2938" t="s">
        <v>2978</v>
      </c>
      <c r="C20" s="2938" t="s">
        <v>3150</v>
      </c>
      <c r="D20" s="2938" t="s">
        <v>3049</v>
      </c>
      <c r="E20" s="2938" t="s">
        <v>2812</v>
      </c>
      <c r="F20" s="2938" t="s">
        <v>3240</v>
      </c>
      <c r="G20" s="2938" t="s">
        <v>3050</v>
      </c>
      <c r="H20" s="2938" t="s">
        <v>3241</v>
      </c>
      <c r="I20" s="2938" t="s">
        <v>3172</v>
      </c>
      <c r="J20" s="2938">
        <v>74627</v>
      </c>
      <c r="K20" s="2938">
        <v>111935.2</v>
      </c>
      <c r="L20" s="2938" t="s">
        <v>3206</v>
      </c>
      <c r="M20" s="2938" t="s">
        <v>2812</v>
      </c>
      <c r="N20" s="2938" t="s">
        <v>3191</v>
      </c>
      <c r="O20" s="2938" t="s">
        <v>2812</v>
      </c>
      <c r="P20" s="2938" t="s">
        <v>2812</v>
      </c>
      <c r="Q20" s="2938" t="s">
        <v>2812</v>
      </c>
      <c r="R20" s="2938" t="s">
        <v>2812</v>
      </c>
      <c r="S20" s="2938" t="s">
        <v>2812</v>
      </c>
      <c r="T20" s="2938" t="s">
        <v>3147</v>
      </c>
      <c r="U20" s="2938" t="s">
        <v>3064</v>
      </c>
      <c r="V20" s="2938" t="s">
        <v>2812</v>
      </c>
      <c r="W20" s="2938" t="s">
        <v>3058</v>
      </c>
      <c r="X20" s="2938" t="s">
        <v>3242</v>
      </c>
      <c r="Y20" s="2938" t="s">
        <v>3243</v>
      </c>
      <c r="Z20" s="2938" t="s">
        <v>3059</v>
      </c>
      <c r="AA20" s="2938" t="s">
        <v>3059</v>
      </c>
      <c r="AB20" s="2938" t="s">
        <v>3241</v>
      </c>
      <c r="AC20" s="2938" t="s">
        <v>3055</v>
      </c>
      <c r="AD20" s="2938" t="s">
        <v>3244</v>
      </c>
      <c r="AE20" s="2938">
        <v>52480</v>
      </c>
      <c r="AF20" s="2938">
        <v>52480</v>
      </c>
      <c r="AG20" s="2938">
        <v>52480</v>
      </c>
      <c r="AH20" s="2938">
        <v>468.82</v>
      </c>
      <c r="AI20" s="2938">
        <v>468.82</v>
      </c>
      <c r="AJ20" s="2938">
        <v>4688.42</v>
      </c>
      <c r="AK20" s="2938">
        <v>4688.43</v>
      </c>
      <c r="AL20" s="2938">
        <f t="shared" si="1"/>
        <v>7032</v>
      </c>
      <c r="AM20" s="2938" t="s">
        <v>2812</v>
      </c>
      <c r="AN20" s="2938">
        <v>0</v>
      </c>
      <c r="AO20" s="2938" t="s">
        <v>3170</v>
      </c>
      <c r="AP20" s="2938" t="s">
        <v>2812</v>
      </c>
      <c r="AQ20" s="2938" t="s">
        <v>2812</v>
      </c>
      <c r="AR20" s="2938" t="s">
        <v>2812</v>
      </c>
    </row>
    <row r="21" spans="1:44" s="2938" customFormat="1">
      <c r="A21" s="2938" t="s">
        <v>3245</v>
      </c>
      <c r="B21" s="2938" t="s">
        <v>2978</v>
      </c>
      <c r="C21" s="2938" t="s">
        <v>3150</v>
      </c>
      <c r="D21" s="2938" t="s">
        <v>3049</v>
      </c>
      <c r="E21" s="2938" t="s">
        <v>2812</v>
      </c>
      <c r="F21" s="2938" t="s">
        <v>3245</v>
      </c>
      <c r="G21" s="2938" t="s">
        <v>3050</v>
      </c>
      <c r="H21" s="2938" t="s">
        <v>3246</v>
      </c>
      <c r="I21" s="2938" t="s">
        <v>3172</v>
      </c>
      <c r="J21" s="2938">
        <v>46436.1</v>
      </c>
      <c r="K21" s="2938">
        <v>55718.64</v>
      </c>
      <c r="L21" s="2938" t="s">
        <v>3173</v>
      </c>
      <c r="M21" s="2938" t="s">
        <v>2812</v>
      </c>
      <c r="N21" s="2938" t="s">
        <v>3191</v>
      </c>
      <c r="O21" s="2938" t="s">
        <v>2812</v>
      </c>
      <c r="P21" s="2938" t="s">
        <v>2812</v>
      </c>
      <c r="Q21" s="2938" t="s">
        <v>2812</v>
      </c>
      <c r="R21" s="2938" t="s">
        <v>2812</v>
      </c>
      <c r="S21" s="2938" t="s">
        <v>2812</v>
      </c>
      <c r="T21" s="2938" t="s">
        <v>3147</v>
      </c>
      <c r="U21" s="2938" t="s">
        <v>3064</v>
      </c>
      <c r="V21" s="2938" t="s">
        <v>2812</v>
      </c>
      <c r="W21" s="2938" t="s">
        <v>3058</v>
      </c>
      <c r="X21" s="2938" t="s">
        <v>3242</v>
      </c>
      <c r="Y21" s="2938" t="s">
        <v>3243</v>
      </c>
      <c r="Z21" s="2938" t="s">
        <v>3059</v>
      </c>
      <c r="AA21" s="2938" t="s">
        <v>3059</v>
      </c>
      <c r="AB21" s="2938" t="s">
        <v>3246</v>
      </c>
      <c r="AC21" s="2938" t="s">
        <v>3055</v>
      </c>
      <c r="AD21" s="2938" t="s">
        <v>3247</v>
      </c>
      <c r="AE21" s="2938">
        <v>28310</v>
      </c>
      <c r="AF21" s="2938">
        <v>28310</v>
      </c>
      <c r="AG21" s="2938">
        <v>28310</v>
      </c>
      <c r="AH21" s="2938">
        <v>406.44</v>
      </c>
      <c r="AI21" s="2938">
        <v>406.44</v>
      </c>
      <c r="AJ21" s="2938">
        <v>5080.88</v>
      </c>
      <c r="AK21" s="2938">
        <v>5080.88</v>
      </c>
      <c r="AL21" s="2938">
        <f t="shared" si="1"/>
        <v>6097</v>
      </c>
      <c r="AM21" s="2938" t="s">
        <v>2812</v>
      </c>
      <c r="AN21" s="2938">
        <v>0</v>
      </c>
      <c r="AO21" s="2938" t="s">
        <v>3170</v>
      </c>
      <c r="AP21" s="2938" t="s">
        <v>2812</v>
      </c>
      <c r="AQ21" s="2938" t="s">
        <v>2812</v>
      </c>
      <c r="AR21" s="2938" t="s">
        <v>2812</v>
      </c>
    </row>
    <row r="22" spans="1:44" s="2938" customFormat="1">
      <c r="A22" s="2938" t="s">
        <v>3248</v>
      </c>
      <c r="B22" s="2938" t="s">
        <v>2978</v>
      </c>
      <c r="C22" s="2938" t="s">
        <v>3150</v>
      </c>
      <c r="D22" s="2938" t="s">
        <v>3049</v>
      </c>
      <c r="E22" s="2938" t="s">
        <v>2812</v>
      </c>
      <c r="F22" s="2938" t="s">
        <v>3248</v>
      </c>
      <c r="G22" s="2938" t="s">
        <v>3050</v>
      </c>
      <c r="H22" s="2938" t="s">
        <v>3249</v>
      </c>
      <c r="I22" s="2938" t="s">
        <v>3233</v>
      </c>
      <c r="J22" s="2938">
        <v>114951.6</v>
      </c>
      <c r="K22" s="2938">
        <v>211011</v>
      </c>
      <c r="L22" s="2938" t="s">
        <v>3250</v>
      </c>
      <c r="M22" s="2938" t="s">
        <v>2812</v>
      </c>
      <c r="N22" s="2938" t="s">
        <v>3251</v>
      </c>
      <c r="O22" s="2938" t="s">
        <v>3252</v>
      </c>
      <c r="P22" s="2938" t="s">
        <v>2812</v>
      </c>
      <c r="Q22" s="2938" t="s">
        <v>2812</v>
      </c>
      <c r="R22" s="2938" t="s">
        <v>2812</v>
      </c>
      <c r="S22" s="2938" t="s">
        <v>2812</v>
      </c>
      <c r="T22" s="2938" t="s">
        <v>2812</v>
      </c>
      <c r="U22" s="2938" t="s">
        <v>2812</v>
      </c>
      <c r="V22" s="2938" t="s">
        <v>2812</v>
      </c>
      <c r="W22" s="2938" t="s">
        <v>3058</v>
      </c>
      <c r="X22" s="2938" t="s">
        <v>3253</v>
      </c>
      <c r="Y22" s="2938" t="s">
        <v>3254</v>
      </c>
      <c r="Z22" s="2938" t="s">
        <v>3255</v>
      </c>
      <c r="AA22" s="2938" t="s">
        <v>3255</v>
      </c>
      <c r="AB22" s="2938" t="s">
        <v>3249</v>
      </c>
      <c r="AC22" s="2938" t="s">
        <v>3055</v>
      </c>
      <c r="AD22" s="2938" t="s">
        <v>3256</v>
      </c>
      <c r="AE22" s="2938">
        <v>29220</v>
      </c>
      <c r="AF22" s="2938">
        <v>61280</v>
      </c>
      <c r="AG22" s="2938">
        <v>90000</v>
      </c>
      <c r="AH22" s="2938">
        <v>355.4</v>
      </c>
      <c r="AI22" s="2938">
        <v>521.96</v>
      </c>
      <c r="AJ22" s="2938">
        <v>2904.11</v>
      </c>
      <c r="AK22" s="2938">
        <v>4265.18</v>
      </c>
      <c r="AL22" s="2938">
        <f t="shared" si="1"/>
        <v>7829</v>
      </c>
      <c r="AM22" s="2938" t="s">
        <v>2812</v>
      </c>
      <c r="AN22" s="2938">
        <v>46.87</v>
      </c>
      <c r="AO22" s="2938" t="s">
        <v>3257</v>
      </c>
      <c r="AP22" s="2938" t="s">
        <v>2812</v>
      </c>
      <c r="AQ22" s="2938" t="s">
        <v>2812</v>
      </c>
      <c r="AR22" s="2938" t="s">
        <v>2812</v>
      </c>
    </row>
    <row r="23" spans="1:44" s="2938" customFormat="1">
      <c r="A23" s="2938" t="s">
        <v>3063</v>
      </c>
      <c r="B23" s="2938" t="s">
        <v>2978</v>
      </c>
      <c r="C23" s="2938" t="s">
        <v>3150</v>
      </c>
      <c r="D23" s="2938" t="s">
        <v>3049</v>
      </c>
      <c r="E23" s="2938" t="s">
        <v>2812</v>
      </c>
      <c r="F23" s="2938" t="s">
        <v>3063</v>
      </c>
      <c r="G23" s="2938" t="s">
        <v>3050</v>
      </c>
      <c r="H23" s="2938" t="s">
        <v>3258</v>
      </c>
      <c r="I23" s="2938" t="s">
        <v>3172</v>
      </c>
      <c r="J23" s="2938">
        <v>74501.100000000006</v>
      </c>
      <c r="K23" s="2938">
        <v>111747</v>
      </c>
      <c r="L23" s="2938" t="s">
        <v>3206</v>
      </c>
      <c r="M23" s="2938" t="s">
        <v>2812</v>
      </c>
      <c r="N23" s="2938" t="s">
        <v>3191</v>
      </c>
      <c r="O23" s="2938" t="s">
        <v>3259</v>
      </c>
      <c r="P23" s="2938" t="s">
        <v>2812</v>
      </c>
      <c r="Q23" s="2938" t="s">
        <v>2812</v>
      </c>
      <c r="R23" s="2938" t="s">
        <v>2812</v>
      </c>
      <c r="S23" s="2938" t="s">
        <v>2812</v>
      </c>
      <c r="T23" s="2938" t="s">
        <v>3064</v>
      </c>
      <c r="U23" s="2938" t="s">
        <v>3064</v>
      </c>
      <c r="V23" s="2938" t="s">
        <v>2812</v>
      </c>
      <c r="W23" s="2938" t="s">
        <v>3058</v>
      </c>
      <c r="X23" s="2938" t="s">
        <v>3065</v>
      </c>
      <c r="Y23" s="2938" t="s">
        <v>3066</v>
      </c>
      <c r="Z23" s="2938" t="s">
        <v>3062</v>
      </c>
      <c r="AA23" s="2938" t="s">
        <v>3062</v>
      </c>
      <c r="AB23" s="2938" t="s">
        <v>3258</v>
      </c>
      <c r="AC23" s="2938" t="s">
        <v>3055</v>
      </c>
      <c r="AD23" s="2938" t="s">
        <v>3260</v>
      </c>
      <c r="AE23" s="2938">
        <v>35890</v>
      </c>
      <c r="AF23" s="2938">
        <v>35890</v>
      </c>
      <c r="AG23" s="2938">
        <v>36000</v>
      </c>
      <c r="AH23" s="2938">
        <v>321.16000000000003</v>
      </c>
      <c r="AI23" s="2938">
        <v>322.14</v>
      </c>
      <c r="AJ23" s="2938">
        <v>3211.71</v>
      </c>
      <c r="AK23" s="2938">
        <v>3221.55</v>
      </c>
      <c r="AL23" s="2938">
        <f t="shared" si="1"/>
        <v>4832</v>
      </c>
      <c r="AM23" s="2938" t="s">
        <v>2812</v>
      </c>
      <c r="AN23" s="2938">
        <v>0.31</v>
      </c>
      <c r="AO23" s="2938" t="s">
        <v>3170</v>
      </c>
      <c r="AP23" s="2938" t="s">
        <v>2812</v>
      </c>
      <c r="AQ23" s="2938" t="s">
        <v>2812</v>
      </c>
      <c r="AR23" s="2938" t="s">
        <v>2812</v>
      </c>
    </row>
    <row r="24" spans="1:44" s="2938" customFormat="1">
      <c r="A24" s="2938" t="s">
        <v>3208</v>
      </c>
      <c r="B24" s="2938" t="s">
        <v>2978</v>
      </c>
      <c r="C24" s="2938" t="s">
        <v>3150</v>
      </c>
      <c r="D24" s="2938" t="s">
        <v>3049</v>
      </c>
      <c r="E24" s="2938" t="s">
        <v>2812</v>
      </c>
      <c r="F24" s="2938" t="s">
        <v>3208</v>
      </c>
      <c r="G24" s="2938" t="s">
        <v>3050</v>
      </c>
      <c r="H24" s="2938" t="s">
        <v>3261</v>
      </c>
      <c r="I24" s="2938" t="s">
        <v>3172</v>
      </c>
      <c r="J24" s="2938">
        <v>69564.3</v>
      </c>
      <c r="K24" s="2938">
        <v>104346.5</v>
      </c>
      <c r="L24" s="2938" t="s">
        <v>3206</v>
      </c>
      <c r="M24" s="2938" t="s">
        <v>2812</v>
      </c>
      <c r="N24" s="2938" t="s">
        <v>3191</v>
      </c>
      <c r="O24" s="2938" t="s">
        <v>3259</v>
      </c>
      <c r="P24" s="2938" t="s">
        <v>2812</v>
      </c>
      <c r="Q24" s="2938" t="s">
        <v>2812</v>
      </c>
      <c r="R24" s="2938" t="s">
        <v>2812</v>
      </c>
      <c r="S24" s="2938" t="s">
        <v>2812</v>
      </c>
      <c r="T24" s="2938" t="s">
        <v>3064</v>
      </c>
      <c r="U24" s="2938" t="s">
        <v>3064</v>
      </c>
      <c r="V24" s="2938" t="s">
        <v>2812</v>
      </c>
      <c r="W24" s="2938" t="s">
        <v>3058</v>
      </c>
      <c r="X24" s="2938" t="s">
        <v>3061</v>
      </c>
      <c r="Y24" s="2938" t="s">
        <v>3262</v>
      </c>
      <c r="Z24" s="2938" t="s">
        <v>3062</v>
      </c>
      <c r="AA24" s="2938" t="s">
        <v>3062</v>
      </c>
      <c r="AB24" s="2938" t="s">
        <v>3261</v>
      </c>
      <c r="AC24" s="2938" t="s">
        <v>3055</v>
      </c>
      <c r="AD24" s="2938" t="s">
        <v>3263</v>
      </c>
      <c r="AE24" s="2938">
        <v>15400</v>
      </c>
      <c r="AF24" s="2938">
        <v>50380</v>
      </c>
      <c r="AG24" s="2938">
        <v>75000</v>
      </c>
      <c r="AH24" s="2938">
        <v>482.81</v>
      </c>
      <c r="AI24" s="2938">
        <v>718.76</v>
      </c>
      <c r="AJ24" s="2938">
        <v>4828.1400000000003</v>
      </c>
      <c r="AK24" s="2938">
        <v>7187.59</v>
      </c>
      <c r="AL24" s="2938">
        <f t="shared" si="1"/>
        <v>10781</v>
      </c>
      <c r="AM24" s="2938" t="s">
        <v>2812</v>
      </c>
      <c r="AN24" s="2938">
        <v>48.87</v>
      </c>
      <c r="AO24" s="2938" t="s">
        <v>3170</v>
      </c>
      <c r="AP24" s="2938" t="s">
        <v>2812</v>
      </c>
      <c r="AQ24" s="2938" t="s">
        <v>2812</v>
      </c>
      <c r="AR24" s="2938" t="s">
        <v>2812</v>
      </c>
    </row>
    <row r="25" spans="1:44" s="2938" customFormat="1">
      <c r="A25" s="2938" t="s">
        <v>3208</v>
      </c>
      <c r="B25" s="2938" t="s">
        <v>2978</v>
      </c>
      <c r="C25" s="2938" t="s">
        <v>3150</v>
      </c>
      <c r="D25" s="2938" t="s">
        <v>3049</v>
      </c>
      <c r="E25" s="2938" t="s">
        <v>2812</v>
      </c>
      <c r="F25" s="2938" t="s">
        <v>3208</v>
      </c>
      <c r="G25" s="2938" t="s">
        <v>3050</v>
      </c>
      <c r="H25" s="2938" t="s">
        <v>3264</v>
      </c>
      <c r="I25" s="2938" t="s">
        <v>3172</v>
      </c>
      <c r="J25" s="2938">
        <v>43033.2</v>
      </c>
      <c r="K25" s="2938">
        <v>64549.8</v>
      </c>
      <c r="L25" s="2938" t="s">
        <v>3206</v>
      </c>
      <c r="M25" s="2938" t="s">
        <v>2812</v>
      </c>
      <c r="N25" s="2938" t="s">
        <v>3191</v>
      </c>
      <c r="O25" s="2938" t="s">
        <v>3259</v>
      </c>
      <c r="P25" s="2938" t="s">
        <v>2812</v>
      </c>
      <c r="Q25" s="2938" t="s">
        <v>2812</v>
      </c>
      <c r="R25" s="2938" t="s">
        <v>2812</v>
      </c>
      <c r="S25" s="2938" t="s">
        <v>2812</v>
      </c>
      <c r="T25" s="2938" t="s">
        <v>3147</v>
      </c>
      <c r="U25" s="2938" t="s">
        <v>3147</v>
      </c>
      <c r="V25" s="2938" t="s">
        <v>2812</v>
      </c>
      <c r="W25" s="2938" t="s">
        <v>3058</v>
      </c>
      <c r="X25" s="2938" t="s">
        <v>3061</v>
      </c>
      <c r="Y25" s="2938" t="s">
        <v>3262</v>
      </c>
      <c r="Z25" s="2938" t="s">
        <v>3062</v>
      </c>
      <c r="AA25" s="2938" t="s">
        <v>3062</v>
      </c>
      <c r="AB25" s="2938" t="s">
        <v>3264</v>
      </c>
      <c r="AC25" s="2938" t="s">
        <v>3055</v>
      </c>
      <c r="AD25" s="2938" t="s">
        <v>3265</v>
      </c>
      <c r="AE25" s="2938">
        <v>9300</v>
      </c>
      <c r="AF25" s="2938">
        <v>30610</v>
      </c>
      <c r="AG25" s="2938">
        <v>45915</v>
      </c>
      <c r="AH25" s="2938">
        <v>474.21</v>
      </c>
      <c r="AI25" s="2938">
        <v>711.31</v>
      </c>
      <c r="AJ25" s="2938">
        <v>4742.07</v>
      </c>
      <c r="AK25" s="2938">
        <v>7113.1</v>
      </c>
      <c r="AL25" s="2938">
        <f t="shared" si="1"/>
        <v>10670</v>
      </c>
      <c r="AM25" s="2938" t="s">
        <v>2812</v>
      </c>
      <c r="AN25" s="2938">
        <v>50</v>
      </c>
      <c r="AO25" s="2938" t="s">
        <v>3170</v>
      </c>
      <c r="AP25" s="2938" t="s">
        <v>2812</v>
      </c>
      <c r="AQ25" s="2938">
        <v>9</v>
      </c>
      <c r="AR25" s="2938" t="s">
        <v>2812</v>
      </c>
    </row>
    <row r="26" spans="1:44" s="2938" customFormat="1">
      <c r="A26" s="2938" t="s">
        <v>3208</v>
      </c>
      <c r="B26" s="2938" t="s">
        <v>2978</v>
      </c>
      <c r="C26" s="2938" t="s">
        <v>3150</v>
      </c>
      <c r="D26" s="2938" t="s">
        <v>3049</v>
      </c>
      <c r="E26" s="2938" t="s">
        <v>2812</v>
      </c>
      <c r="F26" s="2938" t="s">
        <v>3208</v>
      </c>
      <c r="G26" s="2938" t="s">
        <v>3050</v>
      </c>
      <c r="H26" s="2938" t="s">
        <v>3266</v>
      </c>
      <c r="I26" s="2938" t="s">
        <v>3172</v>
      </c>
      <c r="J26" s="2938">
        <v>52821.3</v>
      </c>
      <c r="K26" s="2938">
        <v>95078.34</v>
      </c>
      <c r="L26" s="2938" t="s">
        <v>3215</v>
      </c>
      <c r="M26" s="2938" t="s">
        <v>2812</v>
      </c>
      <c r="N26" s="2938" t="s">
        <v>3216</v>
      </c>
      <c r="O26" s="2938" t="s">
        <v>3267</v>
      </c>
      <c r="P26" s="2938" t="s">
        <v>2812</v>
      </c>
      <c r="Q26" s="2938" t="s">
        <v>2812</v>
      </c>
      <c r="R26" s="2938" t="s">
        <v>2812</v>
      </c>
      <c r="S26" s="2938" t="s">
        <v>2812</v>
      </c>
      <c r="T26" s="2938" t="s">
        <v>3147</v>
      </c>
      <c r="U26" s="2938" t="s">
        <v>3147</v>
      </c>
      <c r="V26" s="2938" t="s">
        <v>2812</v>
      </c>
      <c r="W26" s="2938" t="s">
        <v>3058</v>
      </c>
      <c r="X26" s="2938" t="s">
        <v>3061</v>
      </c>
      <c r="Y26" s="2938" t="s">
        <v>3262</v>
      </c>
      <c r="Z26" s="2938" t="s">
        <v>3062</v>
      </c>
      <c r="AA26" s="2938" t="s">
        <v>3062</v>
      </c>
      <c r="AB26" s="2938" t="s">
        <v>3266</v>
      </c>
      <c r="AC26" s="2938" t="s">
        <v>3055</v>
      </c>
      <c r="AD26" s="2938" t="s">
        <v>3263</v>
      </c>
      <c r="AE26" s="2938">
        <v>13230</v>
      </c>
      <c r="AF26" s="2938">
        <v>42170</v>
      </c>
      <c r="AG26" s="2938">
        <v>63255</v>
      </c>
      <c r="AH26" s="2938">
        <v>532.23</v>
      </c>
      <c r="AI26" s="2938">
        <v>798.35</v>
      </c>
      <c r="AJ26" s="2938">
        <v>4435.28</v>
      </c>
      <c r="AK26" s="2938">
        <v>6652.93</v>
      </c>
      <c r="AL26" s="2938">
        <f t="shared" si="1"/>
        <v>11975</v>
      </c>
      <c r="AM26" s="2938" t="s">
        <v>2812</v>
      </c>
      <c r="AN26" s="2938">
        <v>50</v>
      </c>
      <c r="AO26" s="2938" t="s">
        <v>3170</v>
      </c>
      <c r="AP26" s="2938" t="s">
        <v>2812</v>
      </c>
      <c r="AQ26" s="2938">
        <v>16</v>
      </c>
      <c r="AR26" s="2938" t="s">
        <v>2812</v>
      </c>
    </row>
    <row r="27" spans="1:44" s="2938" customFormat="1">
      <c r="A27" s="2938" t="s">
        <v>3208</v>
      </c>
      <c r="B27" s="2938" t="s">
        <v>2978</v>
      </c>
      <c r="C27" s="2938" t="s">
        <v>3150</v>
      </c>
      <c r="D27" s="2938" t="s">
        <v>3049</v>
      </c>
      <c r="E27" s="2938" t="s">
        <v>2812</v>
      </c>
      <c r="F27" s="2938" t="s">
        <v>3208</v>
      </c>
      <c r="G27" s="2938" t="s">
        <v>3050</v>
      </c>
      <c r="H27" s="2938" t="s">
        <v>3268</v>
      </c>
      <c r="I27" s="2938" t="s">
        <v>3172</v>
      </c>
      <c r="J27" s="2938">
        <v>44125.2</v>
      </c>
      <c r="K27" s="2938">
        <v>66187.8</v>
      </c>
      <c r="L27" s="2938" t="s">
        <v>3206</v>
      </c>
      <c r="M27" s="2938" t="s">
        <v>2812</v>
      </c>
      <c r="N27" s="2938" t="s">
        <v>3191</v>
      </c>
      <c r="O27" s="2938" t="s">
        <v>3259</v>
      </c>
      <c r="P27" s="2938" t="s">
        <v>2812</v>
      </c>
      <c r="Q27" s="2938" t="s">
        <v>2812</v>
      </c>
      <c r="R27" s="2938" t="s">
        <v>2812</v>
      </c>
      <c r="S27" s="2938" t="s">
        <v>2812</v>
      </c>
      <c r="T27" s="2938" t="s">
        <v>3147</v>
      </c>
      <c r="U27" s="2938" t="s">
        <v>3147</v>
      </c>
      <c r="V27" s="2938" t="s">
        <v>2812</v>
      </c>
      <c r="W27" s="2938" t="s">
        <v>3058</v>
      </c>
      <c r="X27" s="2938" t="s">
        <v>3061</v>
      </c>
      <c r="Y27" s="2938" t="s">
        <v>3262</v>
      </c>
      <c r="Z27" s="2938" t="s">
        <v>3062</v>
      </c>
      <c r="AA27" s="2938" t="s">
        <v>3062</v>
      </c>
      <c r="AB27" s="2938" t="s">
        <v>3268</v>
      </c>
      <c r="AC27" s="2938" t="s">
        <v>3055</v>
      </c>
      <c r="AD27" s="2938" t="s">
        <v>3269</v>
      </c>
      <c r="AE27" s="2938">
        <v>9770</v>
      </c>
      <c r="AF27" s="2938">
        <v>31960</v>
      </c>
      <c r="AG27" s="2938">
        <v>47940</v>
      </c>
      <c r="AH27" s="2938">
        <v>482.87</v>
      </c>
      <c r="AI27" s="2938">
        <v>724.3</v>
      </c>
      <c r="AJ27" s="2938">
        <v>4828.68</v>
      </c>
      <c r="AK27" s="2938">
        <v>7243.02</v>
      </c>
      <c r="AL27" s="2938">
        <f t="shared" si="1"/>
        <v>10865</v>
      </c>
      <c r="AM27" s="2938" t="s">
        <v>2812</v>
      </c>
      <c r="AN27" s="2938">
        <v>50</v>
      </c>
      <c r="AO27" s="2938" t="s">
        <v>3170</v>
      </c>
      <c r="AP27" s="2938" t="s">
        <v>2812</v>
      </c>
      <c r="AQ27" s="2938">
        <v>3</v>
      </c>
      <c r="AR27" s="2938" t="s">
        <v>2812</v>
      </c>
    </row>
    <row r="28" spans="1:44" s="2938" customFormat="1">
      <c r="A28" s="2938" t="s">
        <v>3270</v>
      </c>
      <c r="B28" s="2938" t="s">
        <v>2978</v>
      </c>
      <c r="C28" s="2938" t="s">
        <v>3150</v>
      </c>
      <c r="D28" s="2938" t="s">
        <v>3049</v>
      </c>
      <c r="E28" s="2938" t="s">
        <v>2812</v>
      </c>
      <c r="F28" s="2938" t="s">
        <v>3270</v>
      </c>
      <c r="G28" s="2938" t="s">
        <v>3050</v>
      </c>
      <c r="H28" s="2938" t="s">
        <v>3271</v>
      </c>
      <c r="I28" s="2938" t="s">
        <v>3172</v>
      </c>
      <c r="J28" s="2938">
        <v>57199.7</v>
      </c>
      <c r="K28" s="2938">
        <v>114399.4</v>
      </c>
      <c r="L28" s="2938" t="s">
        <v>3272</v>
      </c>
      <c r="M28" s="2938" t="s">
        <v>3222</v>
      </c>
      <c r="N28" s="2938" t="s">
        <v>3273</v>
      </c>
      <c r="O28" s="2938" t="s">
        <v>3274</v>
      </c>
      <c r="P28" s="2938" t="s">
        <v>2812</v>
      </c>
      <c r="Q28" s="2938" t="s">
        <v>2812</v>
      </c>
      <c r="R28" s="2938" t="s">
        <v>2812</v>
      </c>
      <c r="S28" s="2938" t="s">
        <v>2812</v>
      </c>
      <c r="T28" s="2938" t="s">
        <v>2812</v>
      </c>
      <c r="U28" s="2938" t="s">
        <v>2812</v>
      </c>
      <c r="V28" s="2938" t="s">
        <v>2812</v>
      </c>
      <c r="W28" s="2938" t="s">
        <v>3058</v>
      </c>
      <c r="X28" s="2938" t="s">
        <v>3275</v>
      </c>
      <c r="Y28" s="2938" t="s">
        <v>3276</v>
      </c>
      <c r="Z28" s="2938" t="s">
        <v>3065</v>
      </c>
      <c r="AA28" s="2938" t="s">
        <v>3065</v>
      </c>
      <c r="AB28" s="2938" t="s">
        <v>3271</v>
      </c>
      <c r="AC28" s="2938" t="s">
        <v>3055</v>
      </c>
      <c r="AD28" s="2938" t="s">
        <v>3277</v>
      </c>
      <c r="AE28" s="2938">
        <v>71085</v>
      </c>
      <c r="AF28" s="2938">
        <v>142170</v>
      </c>
      <c r="AG28" s="2938">
        <v>213255</v>
      </c>
      <c r="AH28" s="2938">
        <v>1657</v>
      </c>
      <c r="AI28" s="2938">
        <v>2485.5</v>
      </c>
      <c r="AJ28" s="2938">
        <v>12427.51</v>
      </c>
      <c r="AK28" s="3219">
        <v>18641.27</v>
      </c>
      <c r="AL28" s="2938">
        <f t="shared" si="1"/>
        <v>37283</v>
      </c>
      <c r="AM28" s="2938" t="s">
        <v>2812</v>
      </c>
      <c r="AN28" s="2938">
        <v>50</v>
      </c>
      <c r="AO28" s="2938" t="s">
        <v>3170</v>
      </c>
      <c r="AP28" s="2938" t="s">
        <v>2812</v>
      </c>
      <c r="AQ28" s="2938" t="s">
        <v>2812</v>
      </c>
      <c r="AR28" s="2938">
        <v>1</v>
      </c>
    </row>
    <row r="29" spans="1:44" s="2938" customFormat="1">
      <c r="A29" s="2938" t="s">
        <v>3278</v>
      </c>
      <c r="B29" s="2938" t="s">
        <v>2978</v>
      </c>
      <c r="C29" s="2938" t="s">
        <v>3150</v>
      </c>
      <c r="D29" s="2938" t="s">
        <v>3049</v>
      </c>
      <c r="E29" s="2938" t="s">
        <v>2812</v>
      </c>
      <c r="F29" s="2938" t="s">
        <v>3278</v>
      </c>
      <c r="G29" s="2938" t="s">
        <v>3050</v>
      </c>
      <c r="H29" s="2938" t="s">
        <v>3279</v>
      </c>
      <c r="I29" s="2938" t="s">
        <v>3162</v>
      </c>
      <c r="J29" s="2938">
        <v>35189.5</v>
      </c>
      <c r="K29" s="2938">
        <v>70379</v>
      </c>
      <c r="L29" s="2938" t="s">
        <v>3190</v>
      </c>
      <c r="M29" s="2938" t="s">
        <v>3222</v>
      </c>
      <c r="N29" s="2938" t="s">
        <v>3076</v>
      </c>
      <c r="O29" s="2938" t="s">
        <v>3217</v>
      </c>
      <c r="P29" s="2938" t="s">
        <v>2812</v>
      </c>
      <c r="Q29" s="2938" t="s">
        <v>2812</v>
      </c>
      <c r="R29" s="2938" t="s">
        <v>2812</v>
      </c>
      <c r="S29" s="2938" t="s">
        <v>2812</v>
      </c>
      <c r="T29" s="2938" t="s">
        <v>2812</v>
      </c>
      <c r="U29" s="2938" t="s">
        <v>2812</v>
      </c>
      <c r="V29" s="2938" t="s">
        <v>2812</v>
      </c>
      <c r="W29" s="2938" t="s">
        <v>3058</v>
      </c>
      <c r="X29" s="2938" t="s">
        <v>3280</v>
      </c>
      <c r="Y29" s="2938" t="s">
        <v>3281</v>
      </c>
      <c r="Z29" s="2938" t="s">
        <v>3067</v>
      </c>
      <c r="AA29" s="2938" t="s">
        <v>3067</v>
      </c>
      <c r="AB29" s="2938" t="s">
        <v>3279</v>
      </c>
      <c r="AC29" s="2938" t="s">
        <v>3055</v>
      </c>
      <c r="AD29" s="2938" t="s">
        <v>3282</v>
      </c>
      <c r="AE29" s="2938">
        <v>109090</v>
      </c>
      <c r="AF29" s="2938">
        <v>109090</v>
      </c>
      <c r="AG29" s="2938">
        <v>109390</v>
      </c>
      <c r="AH29" s="2938">
        <v>2066.71</v>
      </c>
      <c r="AI29" s="2938">
        <v>2072.4</v>
      </c>
      <c r="AJ29" s="2938">
        <v>15500.36</v>
      </c>
      <c r="AK29" s="3200">
        <v>15542.98</v>
      </c>
      <c r="AL29" s="2938">
        <f t="shared" si="1"/>
        <v>31086</v>
      </c>
      <c r="AM29" s="2938" t="s">
        <v>2812</v>
      </c>
      <c r="AN29" s="2938">
        <v>0.28000000000000003</v>
      </c>
      <c r="AO29" s="2938" t="s">
        <v>3170</v>
      </c>
      <c r="AP29" s="2938" t="s">
        <v>2812</v>
      </c>
      <c r="AQ29" s="2938" t="s">
        <v>2812</v>
      </c>
      <c r="AR29" s="2938" t="s">
        <v>2812</v>
      </c>
    </row>
    <row r="30" spans="1:44" s="2938" customFormat="1">
      <c r="A30" s="2938" t="s">
        <v>3283</v>
      </c>
      <c r="B30" s="2938" t="s">
        <v>2978</v>
      </c>
      <c r="C30" s="2938" t="s">
        <v>3150</v>
      </c>
      <c r="D30" s="2938" t="s">
        <v>3049</v>
      </c>
      <c r="E30" s="2938" t="s">
        <v>2812</v>
      </c>
      <c r="F30" s="2938" t="s">
        <v>3283</v>
      </c>
      <c r="G30" s="2938" t="s">
        <v>3050</v>
      </c>
      <c r="H30" s="2938" t="s">
        <v>3284</v>
      </c>
      <c r="I30" s="2938" t="s">
        <v>3285</v>
      </c>
      <c r="J30" s="2938">
        <v>37290.300000000003</v>
      </c>
      <c r="K30" s="2938">
        <v>69612.479999999996</v>
      </c>
      <c r="L30" s="2938" t="s">
        <v>3286</v>
      </c>
      <c r="M30" s="2938" t="s">
        <v>2812</v>
      </c>
      <c r="N30" s="2938" t="s">
        <v>3191</v>
      </c>
      <c r="O30" s="2938" t="s">
        <v>3287</v>
      </c>
      <c r="P30" s="2938" t="s">
        <v>2812</v>
      </c>
      <c r="Q30" s="2938" t="s">
        <v>2812</v>
      </c>
      <c r="R30" s="2938" t="s">
        <v>2812</v>
      </c>
      <c r="S30" s="2938" t="s">
        <v>2812</v>
      </c>
      <c r="T30" s="2938" t="s">
        <v>2812</v>
      </c>
      <c r="U30" s="2938" t="s">
        <v>2812</v>
      </c>
      <c r="V30" s="2938" t="s">
        <v>2812</v>
      </c>
      <c r="W30" s="2938" t="s">
        <v>3058</v>
      </c>
      <c r="X30" s="2938" t="s">
        <v>3288</v>
      </c>
      <c r="Y30" s="2938" t="s">
        <v>3289</v>
      </c>
      <c r="Z30" s="2938" t="s">
        <v>3290</v>
      </c>
      <c r="AA30" s="2938" t="s">
        <v>3290</v>
      </c>
      <c r="AB30" s="2938" t="s">
        <v>3284</v>
      </c>
      <c r="AC30" s="2938" t="s">
        <v>3055</v>
      </c>
      <c r="AD30" s="2938" t="s">
        <v>3291</v>
      </c>
      <c r="AE30" s="2938">
        <v>130000</v>
      </c>
      <c r="AF30" s="2938">
        <v>137890</v>
      </c>
      <c r="AG30" s="2938">
        <v>196000</v>
      </c>
      <c r="AH30" s="2938">
        <v>2465.16</v>
      </c>
      <c r="AI30" s="2938">
        <v>3504.04</v>
      </c>
      <c r="AJ30" s="2938">
        <v>19808.22</v>
      </c>
      <c r="AK30" s="2938">
        <v>28155.86</v>
      </c>
      <c r="AL30" s="2938">
        <f t="shared" si="1"/>
        <v>52561</v>
      </c>
      <c r="AM30" s="2938" t="s">
        <v>2812</v>
      </c>
      <c r="AN30" s="2938">
        <v>42.14</v>
      </c>
      <c r="AO30" s="2938" t="s">
        <v>3292</v>
      </c>
      <c r="AP30" s="2938" t="s">
        <v>2812</v>
      </c>
      <c r="AQ30" s="2938" t="s">
        <v>2812</v>
      </c>
      <c r="AR30" s="2938" t="s">
        <v>2812</v>
      </c>
    </row>
    <row r="31" spans="1:44" s="2938" customFormat="1">
      <c r="A31" s="2938" t="s">
        <v>3293</v>
      </c>
      <c r="B31" s="2938" t="s">
        <v>2978</v>
      </c>
      <c r="C31" s="2938" t="s">
        <v>3150</v>
      </c>
      <c r="D31" s="2938" t="s">
        <v>3049</v>
      </c>
      <c r="E31" s="2938" t="s">
        <v>2812</v>
      </c>
      <c r="F31" s="2938" t="s">
        <v>3293</v>
      </c>
      <c r="G31" s="2938" t="s">
        <v>3050</v>
      </c>
      <c r="H31" s="2938" t="s">
        <v>3294</v>
      </c>
      <c r="I31" s="2938" t="s">
        <v>3172</v>
      </c>
      <c r="J31" s="2938">
        <v>85095.8</v>
      </c>
      <c r="K31" s="2938">
        <v>187210.8</v>
      </c>
      <c r="L31" s="2938" t="s">
        <v>3295</v>
      </c>
      <c r="M31" s="2938" t="s">
        <v>2812</v>
      </c>
      <c r="N31" s="2938" t="s">
        <v>3273</v>
      </c>
      <c r="O31" s="2938" t="s">
        <v>3217</v>
      </c>
      <c r="P31" s="2938" t="s">
        <v>2812</v>
      </c>
      <c r="Q31" s="2938" t="s">
        <v>2812</v>
      </c>
      <c r="R31" s="2938" t="s">
        <v>2812</v>
      </c>
      <c r="S31" s="2938" t="s">
        <v>2812</v>
      </c>
      <c r="T31" s="2938" t="s">
        <v>2812</v>
      </c>
      <c r="U31" s="2938" t="s">
        <v>2812</v>
      </c>
      <c r="V31" s="2938" t="s">
        <v>2812</v>
      </c>
      <c r="W31" s="2938" t="s">
        <v>3058</v>
      </c>
      <c r="X31" s="2938" t="s">
        <v>3296</v>
      </c>
      <c r="Y31" s="2938" t="s">
        <v>3297</v>
      </c>
      <c r="Z31" s="2938" t="s">
        <v>3298</v>
      </c>
      <c r="AA31" s="2938" t="s">
        <v>3298</v>
      </c>
      <c r="AB31" s="2938" t="s">
        <v>3294</v>
      </c>
      <c r="AC31" s="2938" t="s">
        <v>3055</v>
      </c>
      <c r="AD31" s="2938" t="s">
        <v>3299</v>
      </c>
      <c r="AE31" s="2938">
        <v>15000</v>
      </c>
      <c r="AF31" s="2938">
        <v>47570</v>
      </c>
      <c r="AG31" s="2938">
        <v>47570</v>
      </c>
      <c r="AH31" s="2938">
        <v>372.68</v>
      </c>
      <c r="AI31" s="2938">
        <v>372.68</v>
      </c>
      <c r="AJ31" s="2938">
        <v>2540.98</v>
      </c>
      <c r="AK31" s="2938">
        <v>2540.98</v>
      </c>
      <c r="AL31" s="2938">
        <f t="shared" si="1"/>
        <v>5590</v>
      </c>
      <c r="AM31" s="2938" t="s">
        <v>2812</v>
      </c>
      <c r="AN31" s="2938">
        <v>0</v>
      </c>
      <c r="AO31" s="2938" t="s">
        <v>3300</v>
      </c>
      <c r="AP31" s="2938" t="s">
        <v>2812</v>
      </c>
      <c r="AQ31" s="2938" t="s">
        <v>2812</v>
      </c>
      <c r="AR31" s="2938" t="s">
        <v>2812</v>
      </c>
    </row>
    <row r="32" spans="1:44" s="2938" customFormat="1">
      <c r="A32" s="2938" t="s">
        <v>3301</v>
      </c>
      <c r="B32" s="2938" t="s">
        <v>2978</v>
      </c>
      <c r="C32" s="2938" t="s">
        <v>3150</v>
      </c>
      <c r="D32" s="2938" t="s">
        <v>3049</v>
      </c>
      <c r="E32" s="2938" t="s">
        <v>2812</v>
      </c>
      <c r="F32" s="2938" t="s">
        <v>3301</v>
      </c>
      <c r="G32" s="2938" t="s">
        <v>3050</v>
      </c>
      <c r="H32" s="2938" t="s">
        <v>3302</v>
      </c>
      <c r="I32" s="2938" t="s">
        <v>3172</v>
      </c>
      <c r="J32" s="2938">
        <v>8982.5</v>
      </c>
      <c r="K32" s="2938">
        <v>16168.5</v>
      </c>
      <c r="L32" s="2938" t="s">
        <v>3303</v>
      </c>
      <c r="M32" s="2938" t="s">
        <v>2812</v>
      </c>
      <c r="N32" s="2938" t="s">
        <v>3070</v>
      </c>
      <c r="O32" s="2938" t="s">
        <v>2812</v>
      </c>
      <c r="P32" s="2938" t="s">
        <v>2812</v>
      </c>
      <c r="Q32" s="2938" t="s">
        <v>2812</v>
      </c>
      <c r="R32" s="2938" t="s">
        <v>2812</v>
      </c>
      <c r="S32" s="2938" t="s">
        <v>2812</v>
      </c>
      <c r="T32" s="2938" t="s">
        <v>3147</v>
      </c>
      <c r="U32" s="2938" t="s">
        <v>3064</v>
      </c>
      <c r="V32" s="2938" t="s">
        <v>2812</v>
      </c>
      <c r="W32" s="2938" t="s">
        <v>3058</v>
      </c>
      <c r="X32" s="2938" t="s">
        <v>3304</v>
      </c>
      <c r="Y32" s="2938" t="s">
        <v>3305</v>
      </c>
      <c r="Z32" s="2938" t="s">
        <v>3306</v>
      </c>
      <c r="AA32" s="2938" t="s">
        <v>3306</v>
      </c>
      <c r="AB32" s="2938" t="s">
        <v>3302</v>
      </c>
      <c r="AC32" s="2938" t="s">
        <v>3055</v>
      </c>
      <c r="AD32" s="2938" t="s">
        <v>3307</v>
      </c>
      <c r="AE32" s="2938">
        <v>5670</v>
      </c>
      <c r="AF32" s="2938">
        <v>5670</v>
      </c>
      <c r="AG32" s="2938">
        <v>8505</v>
      </c>
      <c r="AH32" s="2938">
        <v>420.82</v>
      </c>
      <c r="AI32" s="2938">
        <v>631.23</v>
      </c>
      <c r="AJ32" s="2938">
        <v>3506.81</v>
      </c>
      <c r="AK32" s="2938">
        <v>5260.22</v>
      </c>
      <c r="AL32" s="2938">
        <f t="shared" si="1"/>
        <v>9468</v>
      </c>
      <c r="AM32" s="2938" t="s">
        <v>2812</v>
      </c>
      <c r="AN32" s="2938">
        <v>50</v>
      </c>
      <c r="AO32" s="2938" t="s">
        <v>3308</v>
      </c>
      <c r="AP32" s="2938" t="s">
        <v>2812</v>
      </c>
      <c r="AQ32" s="2938" t="s">
        <v>2812</v>
      </c>
      <c r="AR32" s="2938" t="s">
        <v>2812</v>
      </c>
    </row>
    <row r="33" spans="1:44" s="2938" customFormat="1">
      <c r="A33" s="2938" t="s">
        <v>3309</v>
      </c>
      <c r="B33" s="2938" t="s">
        <v>2978</v>
      </c>
      <c r="C33" s="2938" t="s">
        <v>3150</v>
      </c>
      <c r="D33" s="2938" t="s">
        <v>3049</v>
      </c>
      <c r="E33" s="2938" t="s">
        <v>2812</v>
      </c>
      <c r="F33" s="2938" t="s">
        <v>3309</v>
      </c>
      <c r="G33" s="2938" t="s">
        <v>3050</v>
      </c>
      <c r="H33" s="2938" t="s">
        <v>3310</v>
      </c>
      <c r="I33" s="2938" t="s">
        <v>3311</v>
      </c>
      <c r="J33" s="2938">
        <v>149245.1</v>
      </c>
      <c r="K33" s="2938">
        <v>173024</v>
      </c>
      <c r="L33" s="2938" t="s">
        <v>3312</v>
      </c>
      <c r="M33" s="2938" t="s">
        <v>2812</v>
      </c>
      <c r="N33" s="2938" t="s">
        <v>3313</v>
      </c>
      <c r="O33" s="2938" t="s">
        <v>3313</v>
      </c>
      <c r="P33" s="2938" t="s">
        <v>2812</v>
      </c>
      <c r="Q33" s="2938" t="s">
        <v>2812</v>
      </c>
      <c r="R33" s="2938" t="s">
        <v>2812</v>
      </c>
      <c r="S33" s="2938" t="s">
        <v>2812</v>
      </c>
      <c r="T33" s="2938" t="s">
        <v>2812</v>
      </c>
      <c r="U33" s="2938" t="s">
        <v>2812</v>
      </c>
      <c r="V33" s="2938" t="s">
        <v>2812</v>
      </c>
      <c r="W33" s="2938" t="s">
        <v>3058</v>
      </c>
      <c r="X33" s="2938" t="s">
        <v>3314</v>
      </c>
      <c r="Y33" s="2938" t="s">
        <v>3315</v>
      </c>
      <c r="Z33" s="2938" t="s">
        <v>3304</v>
      </c>
      <c r="AA33" s="2938" t="s">
        <v>3304</v>
      </c>
      <c r="AB33" s="2938" t="s">
        <v>3310</v>
      </c>
      <c r="AC33" s="2938" t="s">
        <v>3055</v>
      </c>
      <c r="AD33" s="2938" t="s">
        <v>3316</v>
      </c>
      <c r="AE33" s="2938">
        <v>76750</v>
      </c>
      <c r="AF33" s="2938">
        <v>255830</v>
      </c>
      <c r="AG33" s="2938">
        <v>256030</v>
      </c>
      <c r="AH33" s="2938">
        <v>1142.77</v>
      </c>
      <c r="AI33" s="2938">
        <v>1143.67</v>
      </c>
      <c r="AJ33" s="2938">
        <v>14785.81</v>
      </c>
      <c r="AK33" s="3200">
        <v>14797.37</v>
      </c>
      <c r="AL33" s="2938">
        <f t="shared" si="1"/>
        <v>17155</v>
      </c>
      <c r="AM33" s="2938" t="s">
        <v>2812</v>
      </c>
      <c r="AN33" s="2938">
        <v>0.08</v>
      </c>
      <c r="AO33" s="2938" t="s">
        <v>3317</v>
      </c>
      <c r="AP33" s="2938" t="s">
        <v>2812</v>
      </c>
      <c r="AQ33" s="2938" t="s">
        <v>2812</v>
      </c>
      <c r="AR33" s="2938" t="s">
        <v>2812</v>
      </c>
    </row>
    <row r="34" spans="1:44" s="2938" customFormat="1">
      <c r="A34" s="2938" t="s">
        <v>3318</v>
      </c>
      <c r="B34" s="2938" t="s">
        <v>2978</v>
      </c>
      <c r="C34" s="2938" t="s">
        <v>3150</v>
      </c>
      <c r="D34" s="2938" t="s">
        <v>3049</v>
      </c>
      <c r="E34" s="2938" t="s">
        <v>2812</v>
      </c>
      <c r="F34" s="2938" t="s">
        <v>3318</v>
      </c>
      <c r="G34" s="2938" t="s">
        <v>3050</v>
      </c>
      <c r="H34" s="2938" t="s">
        <v>3319</v>
      </c>
      <c r="I34" s="2938" t="s">
        <v>3172</v>
      </c>
      <c r="J34" s="2938">
        <v>11084.6</v>
      </c>
      <c r="K34" s="2938">
        <v>27710.25</v>
      </c>
      <c r="L34" s="2938" t="s">
        <v>3057</v>
      </c>
      <c r="M34" s="2938" t="s">
        <v>3320</v>
      </c>
      <c r="N34" s="2938" t="s">
        <v>3273</v>
      </c>
      <c r="O34" s="2938" t="s">
        <v>2812</v>
      </c>
      <c r="P34" s="2938" t="s">
        <v>2812</v>
      </c>
      <c r="Q34" s="2938" t="s">
        <v>2812</v>
      </c>
      <c r="R34" s="2938" t="s">
        <v>2812</v>
      </c>
      <c r="S34" s="2938" t="s">
        <v>2812</v>
      </c>
      <c r="T34" s="2938" t="s">
        <v>2812</v>
      </c>
      <c r="U34" s="2938" t="s">
        <v>2812</v>
      </c>
      <c r="V34" s="2938" t="s">
        <v>2812</v>
      </c>
      <c r="W34" s="2938" t="s">
        <v>3058</v>
      </c>
      <c r="X34" s="2938" t="s">
        <v>3321</v>
      </c>
      <c r="Y34" s="2938" t="s">
        <v>3322</v>
      </c>
      <c r="Z34" s="2938" t="s">
        <v>3323</v>
      </c>
      <c r="AA34" s="2938" t="s">
        <v>3323</v>
      </c>
      <c r="AB34" s="2938" t="s">
        <v>3319</v>
      </c>
      <c r="AC34" s="2938" t="s">
        <v>3055</v>
      </c>
      <c r="AD34" s="2938" t="s">
        <v>3324</v>
      </c>
      <c r="AE34" s="2938">
        <v>41660</v>
      </c>
      <c r="AF34" s="2938">
        <v>41660</v>
      </c>
      <c r="AG34" s="2938">
        <v>62490</v>
      </c>
      <c r="AH34" s="2938">
        <v>2505.58</v>
      </c>
      <c r="AI34" s="2938">
        <v>3758.37</v>
      </c>
      <c r="AJ34" s="2938">
        <v>15034.14</v>
      </c>
      <c r="AK34" s="2938">
        <v>22551.22</v>
      </c>
      <c r="AL34" s="2938">
        <f t="shared" si="1"/>
        <v>56376</v>
      </c>
      <c r="AM34" s="2938" t="s">
        <v>2812</v>
      </c>
      <c r="AN34" s="2938">
        <v>50</v>
      </c>
      <c r="AO34" s="2938" t="s">
        <v>3170</v>
      </c>
      <c r="AP34" s="2938" t="s">
        <v>2812</v>
      </c>
      <c r="AQ34" s="2938" t="s">
        <v>2812</v>
      </c>
      <c r="AR34" s="2938" t="s">
        <v>2812</v>
      </c>
    </row>
    <row r="35" spans="1:44" s="2938" customFormat="1">
      <c r="A35" s="2938" t="s">
        <v>3048</v>
      </c>
      <c r="B35" s="2938" t="s">
        <v>2978</v>
      </c>
      <c r="C35" s="2938" t="s">
        <v>3143</v>
      </c>
      <c r="D35" s="2938" t="s">
        <v>3049</v>
      </c>
      <c r="E35" s="2938" t="s">
        <v>2812</v>
      </c>
      <c r="F35" s="2938" t="s">
        <v>3048</v>
      </c>
      <c r="G35" s="2938" t="s">
        <v>3050</v>
      </c>
      <c r="H35" s="2938" t="s">
        <v>3325</v>
      </c>
      <c r="I35" s="2938" t="s">
        <v>3109</v>
      </c>
      <c r="J35" s="2938">
        <v>63514.400000000001</v>
      </c>
      <c r="K35" s="2938">
        <v>127000</v>
      </c>
      <c r="L35" s="2938" t="s">
        <v>3190</v>
      </c>
      <c r="M35" s="2938" t="s">
        <v>2812</v>
      </c>
      <c r="N35" s="2938" t="s">
        <v>3070</v>
      </c>
      <c r="O35" s="2938" t="s">
        <v>3326</v>
      </c>
      <c r="P35" s="2938" t="s">
        <v>2812</v>
      </c>
      <c r="Q35" s="2938" t="s">
        <v>2812</v>
      </c>
      <c r="R35" s="2938" t="s">
        <v>2812</v>
      </c>
      <c r="S35" s="2938" t="s">
        <v>2812</v>
      </c>
      <c r="T35" s="2938" t="s">
        <v>2812</v>
      </c>
      <c r="U35" s="2938" t="s">
        <v>2812</v>
      </c>
      <c r="V35" s="2938" t="s">
        <v>2812</v>
      </c>
      <c r="W35" s="2938" t="s">
        <v>3058</v>
      </c>
      <c r="X35" s="2938" t="s">
        <v>3321</v>
      </c>
      <c r="Y35" s="2938" t="s">
        <v>3327</v>
      </c>
      <c r="Z35" s="2938" t="s">
        <v>3323</v>
      </c>
      <c r="AA35" s="2938" t="s">
        <v>3323</v>
      </c>
      <c r="AB35" s="2938" t="s">
        <v>3325</v>
      </c>
      <c r="AC35" s="2938" t="s">
        <v>3055</v>
      </c>
      <c r="AD35" s="2938" t="s">
        <v>3328</v>
      </c>
      <c r="AE35" s="2938">
        <v>127000</v>
      </c>
      <c r="AF35" s="2938">
        <v>127000</v>
      </c>
      <c r="AG35" s="2938">
        <v>190500</v>
      </c>
      <c r="AH35" s="2938">
        <v>1333.03</v>
      </c>
      <c r="AI35" s="2938">
        <v>1999.55</v>
      </c>
      <c r="AJ35" s="2938">
        <v>10000</v>
      </c>
      <c r="AK35" s="2938">
        <v>15000</v>
      </c>
      <c r="AL35" s="2938">
        <f t="shared" si="1"/>
        <v>29993</v>
      </c>
      <c r="AM35" s="2938" t="s">
        <v>2812</v>
      </c>
      <c r="AN35" s="2938">
        <v>50</v>
      </c>
      <c r="AO35" s="2938" t="s">
        <v>3329</v>
      </c>
      <c r="AP35" s="2938" t="s">
        <v>2812</v>
      </c>
      <c r="AQ35" s="2938" t="s">
        <v>2812</v>
      </c>
      <c r="AR35" s="2938" t="s">
        <v>2812</v>
      </c>
    </row>
    <row r="36" spans="1:44" s="2938" customFormat="1">
      <c r="A36" s="2938" t="s">
        <v>3330</v>
      </c>
      <c r="B36" s="2938" t="s">
        <v>2978</v>
      </c>
      <c r="C36" s="2938" t="s">
        <v>3143</v>
      </c>
      <c r="D36" s="2938" t="s">
        <v>3049</v>
      </c>
      <c r="E36" s="2938" t="s">
        <v>2812</v>
      </c>
      <c r="F36" s="2938" t="s">
        <v>3330</v>
      </c>
      <c r="G36" s="2938" t="s">
        <v>3050</v>
      </c>
      <c r="H36" s="2938" t="s">
        <v>3331</v>
      </c>
      <c r="I36" s="2938" t="s">
        <v>3109</v>
      </c>
      <c r="J36" s="2938">
        <v>124664.3</v>
      </c>
      <c r="K36" s="2938">
        <v>137130.70000000001</v>
      </c>
      <c r="L36" s="2938" t="s">
        <v>3332</v>
      </c>
      <c r="M36" s="2938" t="s">
        <v>2812</v>
      </c>
      <c r="N36" s="2938" t="s">
        <v>3070</v>
      </c>
      <c r="O36" s="2938" t="s">
        <v>3333</v>
      </c>
      <c r="P36" s="2938" t="s">
        <v>2812</v>
      </c>
      <c r="Q36" s="2938" t="s">
        <v>2812</v>
      </c>
      <c r="R36" s="2938" t="s">
        <v>2812</v>
      </c>
      <c r="S36" s="2938" t="s">
        <v>2812</v>
      </c>
      <c r="T36" s="2938" t="s">
        <v>2812</v>
      </c>
      <c r="U36" s="2938" t="s">
        <v>2812</v>
      </c>
      <c r="V36" s="2938" t="s">
        <v>2812</v>
      </c>
      <c r="W36" s="2938" t="s">
        <v>3058</v>
      </c>
      <c r="X36" s="2938" t="s">
        <v>3071</v>
      </c>
      <c r="Y36" s="2938" t="s">
        <v>3334</v>
      </c>
      <c r="Z36" s="2938" t="s">
        <v>3335</v>
      </c>
      <c r="AA36" s="2938" t="s">
        <v>3335</v>
      </c>
      <c r="AB36" s="2938" t="s">
        <v>3331</v>
      </c>
      <c r="AC36" s="2938" t="s">
        <v>3055</v>
      </c>
      <c r="AD36" s="2938" t="s">
        <v>3336</v>
      </c>
      <c r="AE36" s="2938">
        <v>190587.07</v>
      </c>
      <c r="AF36" s="2938">
        <v>190587.1</v>
      </c>
      <c r="AG36" s="2938">
        <v>190587.1</v>
      </c>
      <c r="AH36" s="2938">
        <v>1019.2</v>
      </c>
      <c r="AI36" s="2938">
        <v>1019.2</v>
      </c>
      <c r="AJ36" s="2938">
        <v>13898.2</v>
      </c>
      <c r="AK36" s="3200">
        <v>13898.2</v>
      </c>
      <c r="AL36" s="2938">
        <f t="shared" si="1"/>
        <v>15288</v>
      </c>
      <c r="AM36" s="2938" t="s">
        <v>2812</v>
      </c>
      <c r="AN36" s="2938">
        <v>0</v>
      </c>
      <c r="AO36" s="2938" t="s">
        <v>3337</v>
      </c>
      <c r="AP36" s="2938" t="s">
        <v>2812</v>
      </c>
      <c r="AQ36" s="2938" t="s">
        <v>2812</v>
      </c>
      <c r="AR36" s="2938" t="s">
        <v>2812</v>
      </c>
    </row>
    <row r="37" spans="1:44" s="2938" customFormat="1">
      <c r="A37" s="3205" t="s">
        <v>3477</v>
      </c>
      <c r="B37" s="2938" t="s">
        <v>2978</v>
      </c>
      <c r="C37" s="2938" t="s">
        <v>3143</v>
      </c>
      <c r="D37" s="2938" t="s">
        <v>3049</v>
      </c>
      <c r="E37" s="2938" t="s">
        <v>2812</v>
      </c>
      <c r="F37" s="2938" t="s">
        <v>3330</v>
      </c>
      <c r="G37" s="2938" t="s">
        <v>3050</v>
      </c>
      <c r="H37" s="2938" t="s">
        <v>3338</v>
      </c>
      <c r="I37" s="2938" t="s">
        <v>3109</v>
      </c>
      <c r="J37" s="2938">
        <v>116275.9</v>
      </c>
      <c r="K37" s="2938">
        <v>127903.5</v>
      </c>
      <c r="L37" s="2938" t="s">
        <v>3332</v>
      </c>
      <c r="M37" s="2938" t="s">
        <v>2812</v>
      </c>
      <c r="N37" s="2938" t="s">
        <v>3070</v>
      </c>
      <c r="O37" s="2938" t="s">
        <v>3333</v>
      </c>
      <c r="P37" s="2938" t="s">
        <v>2812</v>
      </c>
      <c r="Q37" s="2938" t="s">
        <v>2812</v>
      </c>
      <c r="R37" s="2938" t="s">
        <v>2812</v>
      </c>
      <c r="S37" s="2938" t="s">
        <v>2812</v>
      </c>
      <c r="T37" s="2938" t="s">
        <v>2812</v>
      </c>
      <c r="U37" s="2938" t="s">
        <v>2812</v>
      </c>
      <c r="V37" s="2938" t="s">
        <v>2812</v>
      </c>
      <c r="W37" s="2938" t="s">
        <v>3058</v>
      </c>
      <c r="X37" s="2938" t="s">
        <v>3071</v>
      </c>
      <c r="Y37" s="2938" t="s">
        <v>3334</v>
      </c>
      <c r="Z37" s="2938" t="s">
        <v>3335</v>
      </c>
      <c r="AA37" s="2938" t="s">
        <v>3335</v>
      </c>
      <c r="AB37" s="2938" t="s">
        <v>3338</v>
      </c>
      <c r="AC37" s="2938" t="s">
        <v>3055</v>
      </c>
      <c r="AD37" s="2938" t="s">
        <v>3339</v>
      </c>
      <c r="AE37" s="2938">
        <v>176124.66</v>
      </c>
      <c r="AF37" s="2938">
        <v>176124.7</v>
      </c>
      <c r="AG37" s="2938">
        <v>176124.7</v>
      </c>
      <c r="AH37" s="2938">
        <v>1009.81</v>
      </c>
      <c r="AI37" s="2938">
        <v>1009.81</v>
      </c>
      <c r="AJ37" s="2938">
        <v>13770.12</v>
      </c>
      <c r="AK37" s="2938">
        <v>13770.12</v>
      </c>
      <c r="AL37" s="2938">
        <f t="shared" si="1"/>
        <v>15147</v>
      </c>
      <c r="AM37" s="2938" t="s">
        <v>2812</v>
      </c>
      <c r="AN37" s="2938">
        <v>0</v>
      </c>
      <c r="AO37" s="2938" t="s">
        <v>3337</v>
      </c>
      <c r="AP37" s="2938" t="s">
        <v>2812</v>
      </c>
      <c r="AQ37" s="2938" t="s">
        <v>2812</v>
      </c>
      <c r="AR37" s="2938" t="s">
        <v>2812</v>
      </c>
    </row>
    <row r="38" spans="1:44" s="2938" customFormat="1">
      <c r="A38" s="2938" t="s">
        <v>3330</v>
      </c>
      <c r="B38" s="2938" t="s">
        <v>2978</v>
      </c>
      <c r="C38" s="2938" t="s">
        <v>3143</v>
      </c>
      <c r="D38" s="2938" t="s">
        <v>3049</v>
      </c>
      <c r="E38" s="2938" t="s">
        <v>2812</v>
      </c>
      <c r="F38" s="2938" t="s">
        <v>3330</v>
      </c>
      <c r="G38" s="2938" t="s">
        <v>3050</v>
      </c>
      <c r="H38" s="2938" t="s">
        <v>3340</v>
      </c>
      <c r="I38" s="2938" t="s">
        <v>3109</v>
      </c>
      <c r="J38" s="2938">
        <v>87339.4</v>
      </c>
      <c r="K38" s="2938">
        <v>96073.34</v>
      </c>
      <c r="L38" s="2938" t="s">
        <v>3332</v>
      </c>
      <c r="M38" s="2938" t="s">
        <v>2812</v>
      </c>
      <c r="N38" s="2938" t="s">
        <v>3070</v>
      </c>
      <c r="O38" s="2938" t="s">
        <v>3333</v>
      </c>
      <c r="P38" s="2938" t="s">
        <v>2812</v>
      </c>
      <c r="Q38" s="2938" t="s">
        <v>2812</v>
      </c>
      <c r="R38" s="2938" t="s">
        <v>2812</v>
      </c>
      <c r="S38" s="2938" t="s">
        <v>2812</v>
      </c>
      <c r="T38" s="2938" t="s">
        <v>2812</v>
      </c>
      <c r="U38" s="2938" t="s">
        <v>2812</v>
      </c>
      <c r="V38" s="2938" t="s">
        <v>2812</v>
      </c>
      <c r="W38" s="2938" t="s">
        <v>3058</v>
      </c>
      <c r="X38" s="2938" t="s">
        <v>3071</v>
      </c>
      <c r="Y38" s="2938" t="s">
        <v>3334</v>
      </c>
      <c r="Z38" s="2938" t="s">
        <v>3335</v>
      </c>
      <c r="AA38" s="2938" t="s">
        <v>3335</v>
      </c>
      <c r="AB38" s="2938" t="s">
        <v>3340</v>
      </c>
      <c r="AC38" s="2938" t="s">
        <v>3055</v>
      </c>
      <c r="AD38" s="2938" t="s">
        <v>3341</v>
      </c>
      <c r="AE38" s="2938">
        <v>131678.81</v>
      </c>
      <c r="AF38" s="2938">
        <v>131678.79</v>
      </c>
      <c r="AG38" s="2938">
        <v>131678.79</v>
      </c>
      <c r="AH38" s="2938">
        <v>1005.11</v>
      </c>
      <c r="AI38" s="2938">
        <v>1005.11</v>
      </c>
      <c r="AJ38" s="2938">
        <v>13706.06</v>
      </c>
      <c r="AK38" s="2938">
        <v>13706.06</v>
      </c>
      <c r="AL38" s="2938">
        <f t="shared" si="1"/>
        <v>15077</v>
      </c>
      <c r="AM38" s="2938" t="s">
        <v>2812</v>
      </c>
      <c r="AN38" s="2938">
        <v>0</v>
      </c>
      <c r="AO38" s="2938" t="s">
        <v>3337</v>
      </c>
      <c r="AP38" s="2938" t="s">
        <v>2812</v>
      </c>
      <c r="AQ38" s="2938" t="s">
        <v>2812</v>
      </c>
      <c r="AR38" s="2938" t="s">
        <v>2812</v>
      </c>
    </row>
    <row r="39" spans="1:44" s="2938" customFormat="1">
      <c r="A39" s="2938" t="s">
        <v>3196</v>
      </c>
      <c r="B39" s="2938" t="s">
        <v>2978</v>
      </c>
      <c r="C39" s="2938" t="s">
        <v>3150</v>
      </c>
      <c r="D39" s="2938" t="s">
        <v>3049</v>
      </c>
      <c r="E39" s="2938" t="s">
        <v>2812</v>
      </c>
      <c r="F39" s="2938" t="s">
        <v>3196</v>
      </c>
      <c r="G39" s="2938" t="s">
        <v>3050</v>
      </c>
      <c r="H39" s="2938" t="s">
        <v>3342</v>
      </c>
      <c r="I39" s="2938" t="s">
        <v>3343</v>
      </c>
      <c r="J39" s="2938">
        <v>116676.1</v>
      </c>
      <c r="K39" s="2938">
        <v>175014.2</v>
      </c>
      <c r="L39" s="2938" t="s">
        <v>3056</v>
      </c>
      <c r="M39" s="2938" t="s">
        <v>2812</v>
      </c>
      <c r="N39" s="2938" t="s">
        <v>3191</v>
      </c>
      <c r="O39" s="2938" t="s">
        <v>2812</v>
      </c>
      <c r="P39" s="2938" t="s">
        <v>2812</v>
      </c>
      <c r="Q39" s="2938" t="s">
        <v>2812</v>
      </c>
      <c r="R39" s="2938" t="s">
        <v>2812</v>
      </c>
      <c r="S39" s="2938" t="s">
        <v>2812</v>
      </c>
      <c r="T39" s="2938" t="s">
        <v>2812</v>
      </c>
      <c r="U39" s="2938" t="s">
        <v>2812</v>
      </c>
      <c r="V39" s="2938" t="s">
        <v>2812</v>
      </c>
      <c r="W39" s="2938" t="s">
        <v>3058</v>
      </c>
      <c r="X39" s="2938" t="s">
        <v>3344</v>
      </c>
      <c r="Y39" s="2938" t="s">
        <v>3345</v>
      </c>
      <c r="Z39" s="2938" t="s">
        <v>3346</v>
      </c>
      <c r="AA39" s="2938" t="s">
        <v>3346</v>
      </c>
      <c r="AB39" s="2938" t="s">
        <v>3342</v>
      </c>
      <c r="AC39" s="2938" t="s">
        <v>3055</v>
      </c>
      <c r="AD39" s="2938" t="s">
        <v>3347</v>
      </c>
      <c r="AE39" s="2938">
        <v>12300</v>
      </c>
      <c r="AF39" s="2938">
        <v>39840</v>
      </c>
      <c r="AG39" s="2938">
        <v>39850</v>
      </c>
      <c r="AH39" s="2938">
        <v>227.64</v>
      </c>
      <c r="AI39" s="2938">
        <v>227.7</v>
      </c>
      <c r="AJ39" s="2938">
        <v>2276.38</v>
      </c>
      <c r="AK39" s="2938">
        <v>2276.96</v>
      </c>
      <c r="AL39" s="2938">
        <f t="shared" si="1"/>
        <v>3415</v>
      </c>
      <c r="AM39" s="2938" t="s">
        <v>2812</v>
      </c>
      <c r="AN39" s="2938">
        <v>0.03</v>
      </c>
      <c r="AO39" s="2938" t="s">
        <v>3170</v>
      </c>
      <c r="AP39" s="2938" t="s">
        <v>2812</v>
      </c>
      <c r="AQ39" s="2938" t="s">
        <v>2812</v>
      </c>
      <c r="AR39" s="2938" t="s">
        <v>2812</v>
      </c>
    </row>
    <row r="40" spans="1:44" s="2938" customFormat="1">
      <c r="A40" s="2938" t="s">
        <v>3196</v>
      </c>
      <c r="B40" s="2938" t="s">
        <v>2978</v>
      </c>
      <c r="C40" s="2938" t="s">
        <v>3150</v>
      </c>
      <c r="D40" s="2938" t="s">
        <v>3049</v>
      </c>
      <c r="E40" s="2938" t="s">
        <v>2812</v>
      </c>
      <c r="F40" s="2938" t="s">
        <v>3196</v>
      </c>
      <c r="G40" s="2938" t="s">
        <v>3050</v>
      </c>
      <c r="H40" s="2938" t="s">
        <v>3348</v>
      </c>
      <c r="I40" s="2938" t="s">
        <v>3343</v>
      </c>
      <c r="J40" s="2938">
        <v>61399.1</v>
      </c>
      <c r="K40" s="2938">
        <v>92098.65</v>
      </c>
      <c r="L40" s="2938" t="s">
        <v>3056</v>
      </c>
      <c r="M40" s="2938" t="s">
        <v>2812</v>
      </c>
      <c r="N40" s="2938" t="s">
        <v>3191</v>
      </c>
      <c r="O40" s="2938" t="s">
        <v>2812</v>
      </c>
      <c r="P40" s="2938" t="s">
        <v>2812</v>
      </c>
      <c r="Q40" s="2938" t="s">
        <v>2812</v>
      </c>
      <c r="R40" s="2938" t="s">
        <v>2812</v>
      </c>
      <c r="S40" s="2938" t="s">
        <v>2812</v>
      </c>
      <c r="T40" s="2938" t="s">
        <v>2812</v>
      </c>
      <c r="U40" s="2938" t="s">
        <v>2812</v>
      </c>
      <c r="V40" s="2938" t="s">
        <v>2812</v>
      </c>
      <c r="W40" s="2938" t="s">
        <v>3058</v>
      </c>
      <c r="X40" s="2938" t="s">
        <v>3344</v>
      </c>
      <c r="Y40" s="2938" t="s">
        <v>3345</v>
      </c>
      <c r="Z40" s="2938" t="s">
        <v>3346</v>
      </c>
      <c r="AA40" s="2938" t="s">
        <v>3346</v>
      </c>
      <c r="AB40" s="2938" t="s">
        <v>3348</v>
      </c>
      <c r="AC40" s="2938" t="s">
        <v>3055</v>
      </c>
      <c r="AD40" s="2938" t="s">
        <v>3349</v>
      </c>
      <c r="AE40" s="2938">
        <v>6500</v>
      </c>
      <c r="AF40" s="2938">
        <v>20950</v>
      </c>
      <c r="AG40" s="2938">
        <v>25700</v>
      </c>
      <c r="AH40" s="2938">
        <v>227.47</v>
      </c>
      <c r="AI40" s="2938">
        <v>279.05</v>
      </c>
      <c r="AJ40" s="2938">
        <v>2274.73</v>
      </c>
      <c r="AK40" s="2938">
        <v>2790.48</v>
      </c>
      <c r="AL40" s="2938">
        <f t="shared" si="1"/>
        <v>4186</v>
      </c>
      <c r="AM40" s="2938" t="s">
        <v>2812</v>
      </c>
      <c r="AN40" s="2938">
        <v>22.67</v>
      </c>
      <c r="AO40" s="2938" t="s">
        <v>3170</v>
      </c>
      <c r="AP40" s="2938" t="s">
        <v>2812</v>
      </c>
      <c r="AQ40" s="2938" t="s">
        <v>2812</v>
      </c>
      <c r="AR40" s="2938" t="s">
        <v>2812</v>
      </c>
    </row>
    <row r="41" spans="1:44" s="2938" customFormat="1">
      <c r="A41" s="2938" t="s">
        <v>3350</v>
      </c>
      <c r="B41" s="2938" t="s">
        <v>2978</v>
      </c>
      <c r="C41" s="2938" t="s">
        <v>3150</v>
      </c>
      <c r="D41" s="2938" t="s">
        <v>3049</v>
      </c>
      <c r="E41" s="2938" t="s">
        <v>2812</v>
      </c>
      <c r="F41" s="2938" t="s">
        <v>3350</v>
      </c>
      <c r="G41" s="2938" t="s">
        <v>3050</v>
      </c>
      <c r="H41" s="2938" t="s">
        <v>3351</v>
      </c>
      <c r="I41" s="2938" t="s">
        <v>3352</v>
      </c>
      <c r="J41" s="2938">
        <v>42386.8</v>
      </c>
      <c r="K41" s="2938">
        <v>76296.240000000005</v>
      </c>
      <c r="L41" s="2938" t="s">
        <v>3353</v>
      </c>
      <c r="M41" s="2938" t="s">
        <v>2812</v>
      </c>
      <c r="N41" s="2938" t="s">
        <v>3216</v>
      </c>
      <c r="O41" s="2938" t="s">
        <v>3217</v>
      </c>
      <c r="P41" s="2938" t="s">
        <v>2812</v>
      </c>
      <c r="Q41" s="2938" t="s">
        <v>2812</v>
      </c>
      <c r="R41" s="2938" t="s">
        <v>2812</v>
      </c>
      <c r="S41" s="2938" t="s">
        <v>2812</v>
      </c>
      <c r="T41" s="2938" t="s">
        <v>2812</v>
      </c>
      <c r="U41" s="2938" t="s">
        <v>2812</v>
      </c>
      <c r="V41" s="2938" t="s">
        <v>2812</v>
      </c>
      <c r="W41" s="2938" t="s">
        <v>3058</v>
      </c>
      <c r="X41" s="2938" t="s">
        <v>3344</v>
      </c>
      <c r="Y41" s="2938" t="s">
        <v>3354</v>
      </c>
      <c r="Z41" s="2938" t="s">
        <v>3346</v>
      </c>
      <c r="AA41" s="2938" t="s">
        <v>3346</v>
      </c>
      <c r="AB41" s="2938" t="s">
        <v>3351</v>
      </c>
      <c r="AC41" s="2938" t="s">
        <v>3055</v>
      </c>
      <c r="AD41" s="2938" t="s">
        <v>3355</v>
      </c>
      <c r="AE41" s="2938">
        <v>34333</v>
      </c>
      <c r="AF41" s="2938">
        <v>34333</v>
      </c>
      <c r="AG41" s="2938">
        <v>34350</v>
      </c>
      <c r="AH41" s="2938">
        <v>540</v>
      </c>
      <c r="AI41" s="2938">
        <v>540.26</v>
      </c>
      <c r="AJ41" s="2938">
        <v>4499.95</v>
      </c>
      <c r="AK41" s="2938">
        <v>4502.18</v>
      </c>
      <c r="AL41" s="2938">
        <f t="shared" si="1"/>
        <v>8104</v>
      </c>
      <c r="AM41" s="2938" t="s">
        <v>2812</v>
      </c>
      <c r="AN41" s="2938">
        <v>0.05</v>
      </c>
      <c r="AO41" s="2938" t="s">
        <v>3308</v>
      </c>
      <c r="AP41" s="2938" t="s">
        <v>2812</v>
      </c>
      <c r="AQ41" s="2938" t="s">
        <v>2812</v>
      </c>
      <c r="AR41" s="2938" t="s">
        <v>2812</v>
      </c>
    </row>
    <row r="42" spans="1:44" s="2938" customFormat="1">
      <c r="A42" s="2938" t="s">
        <v>3350</v>
      </c>
      <c r="B42" s="2938" t="s">
        <v>2978</v>
      </c>
      <c r="C42" s="2938" t="s">
        <v>3150</v>
      </c>
      <c r="D42" s="2938" t="s">
        <v>3049</v>
      </c>
      <c r="E42" s="2938" t="s">
        <v>2812</v>
      </c>
      <c r="F42" s="2938" t="s">
        <v>3350</v>
      </c>
      <c r="G42" s="2938" t="s">
        <v>3050</v>
      </c>
      <c r="H42" s="2938" t="s">
        <v>3356</v>
      </c>
      <c r="I42" s="2938" t="s">
        <v>3352</v>
      </c>
      <c r="J42" s="2938">
        <v>85561.8</v>
      </c>
      <c r="K42" s="2938">
        <v>128342.7</v>
      </c>
      <c r="L42" s="2938" t="s">
        <v>3357</v>
      </c>
      <c r="M42" s="2938" t="s">
        <v>2812</v>
      </c>
      <c r="N42" s="2938" t="s">
        <v>3191</v>
      </c>
      <c r="O42" s="2938" t="s">
        <v>3060</v>
      </c>
      <c r="P42" s="2938" t="s">
        <v>2812</v>
      </c>
      <c r="Q42" s="2938" t="s">
        <v>2812</v>
      </c>
      <c r="R42" s="2938" t="s">
        <v>2812</v>
      </c>
      <c r="S42" s="2938" t="s">
        <v>2812</v>
      </c>
      <c r="T42" s="2938" t="s">
        <v>2812</v>
      </c>
      <c r="U42" s="2938" t="s">
        <v>2812</v>
      </c>
      <c r="V42" s="2938" t="s">
        <v>2812</v>
      </c>
      <c r="W42" s="2938" t="s">
        <v>3058</v>
      </c>
      <c r="X42" s="2938" t="s">
        <v>3344</v>
      </c>
      <c r="Y42" s="2938" t="s">
        <v>3354</v>
      </c>
      <c r="Z42" s="2938" t="s">
        <v>3346</v>
      </c>
      <c r="AA42" s="2938" t="s">
        <v>3346</v>
      </c>
      <c r="AB42" s="2938" t="s">
        <v>3356</v>
      </c>
      <c r="AC42" s="2938" t="s">
        <v>3055</v>
      </c>
      <c r="AD42" s="2938" t="s">
        <v>3358</v>
      </c>
      <c r="AE42" s="2938">
        <v>64170</v>
      </c>
      <c r="AF42" s="2938">
        <v>64170</v>
      </c>
      <c r="AG42" s="2938">
        <v>64170</v>
      </c>
      <c r="AH42" s="2938">
        <v>499.99</v>
      </c>
      <c r="AI42" s="2938">
        <v>499.99</v>
      </c>
      <c r="AJ42" s="2938">
        <v>4999.8900000000003</v>
      </c>
      <c r="AK42" s="2938">
        <v>4999.8900000000003</v>
      </c>
      <c r="AL42" s="2938">
        <f t="shared" si="1"/>
        <v>7500</v>
      </c>
      <c r="AM42" s="2938" t="s">
        <v>2812</v>
      </c>
      <c r="AN42" s="2938">
        <v>0</v>
      </c>
      <c r="AO42" s="2938" t="s">
        <v>3308</v>
      </c>
      <c r="AP42" s="2938" t="s">
        <v>2812</v>
      </c>
      <c r="AQ42" s="2938" t="s">
        <v>2812</v>
      </c>
      <c r="AR42" s="2938" t="s">
        <v>2812</v>
      </c>
    </row>
    <row r="43" spans="1:44" s="2938" customFormat="1">
      <c r="A43" s="2938" t="s">
        <v>3196</v>
      </c>
      <c r="B43" s="2938" t="s">
        <v>2978</v>
      </c>
      <c r="C43" s="2938" t="s">
        <v>3150</v>
      </c>
      <c r="D43" s="2938" t="s">
        <v>3049</v>
      </c>
      <c r="E43" s="2938" t="s">
        <v>2812</v>
      </c>
      <c r="F43" s="2938" t="s">
        <v>3196</v>
      </c>
      <c r="G43" s="2938" t="s">
        <v>3050</v>
      </c>
      <c r="H43" s="2938" t="s">
        <v>3359</v>
      </c>
      <c r="I43" s="2938" t="s">
        <v>3343</v>
      </c>
      <c r="J43" s="2938">
        <v>34500.300000000003</v>
      </c>
      <c r="K43" s="2938">
        <v>69000.600000000006</v>
      </c>
      <c r="L43" s="2938" t="s">
        <v>3051</v>
      </c>
      <c r="M43" s="2938" t="s">
        <v>2812</v>
      </c>
      <c r="N43" s="2938" t="s">
        <v>3070</v>
      </c>
      <c r="O43" s="2938" t="s">
        <v>3217</v>
      </c>
      <c r="P43" s="2938" t="s">
        <v>2812</v>
      </c>
      <c r="Q43" s="2938" t="s">
        <v>2812</v>
      </c>
      <c r="R43" s="2938" t="s">
        <v>2812</v>
      </c>
      <c r="S43" s="2938" t="s">
        <v>2812</v>
      </c>
      <c r="T43" s="2938" t="s">
        <v>2812</v>
      </c>
      <c r="U43" s="2938" t="s">
        <v>2812</v>
      </c>
      <c r="V43" s="2938" t="s">
        <v>2812</v>
      </c>
      <c r="W43" s="2938" t="s">
        <v>3058</v>
      </c>
      <c r="X43" s="2938" t="s">
        <v>3344</v>
      </c>
      <c r="Y43" s="2938" t="s">
        <v>3345</v>
      </c>
      <c r="Z43" s="2938" t="s">
        <v>3346</v>
      </c>
      <c r="AA43" s="2938" t="s">
        <v>3346</v>
      </c>
      <c r="AB43" s="2938" t="s">
        <v>3359</v>
      </c>
      <c r="AC43" s="2938" t="s">
        <v>3055</v>
      </c>
      <c r="AD43" s="2938" t="s">
        <v>3349</v>
      </c>
      <c r="AE43" s="2938">
        <v>3810</v>
      </c>
      <c r="AF43" s="2938">
        <v>12460</v>
      </c>
      <c r="AG43" s="2938">
        <v>15400</v>
      </c>
      <c r="AH43" s="2938">
        <v>240.77</v>
      </c>
      <c r="AI43" s="2938">
        <v>297.58</v>
      </c>
      <c r="AJ43" s="2938">
        <v>1805.78</v>
      </c>
      <c r="AK43" s="2938">
        <v>2231.86</v>
      </c>
      <c r="AL43" s="2938">
        <f t="shared" si="1"/>
        <v>4464</v>
      </c>
      <c r="AM43" s="2938" t="s">
        <v>2812</v>
      </c>
      <c r="AN43" s="2938">
        <v>23.6</v>
      </c>
      <c r="AO43" s="2938" t="s">
        <v>3170</v>
      </c>
      <c r="AP43" s="2938" t="s">
        <v>2812</v>
      </c>
      <c r="AQ43" s="2938" t="s">
        <v>2812</v>
      </c>
      <c r="AR43" s="2938" t="s">
        <v>2812</v>
      </c>
    </row>
    <row r="44" spans="1:44" s="2938" customFormat="1">
      <c r="A44" s="2938" t="s">
        <v>3350</v>
      </c>
      <c r="B44" s="2938" t="s">
        <v>2978</v>
      </c>
      <c r="C44" s="2938" t="s">
        <v>3150</v>
      </c>
      <c r="D44" s="2938" t="s">
        <v>3049</v>
      </c>
      <c r="E44" s="2938" t="s">
        <v>2812</v>
      </c>
      <c r="F44" s="2938" t="s">
        <v>3350</v>
      </c>
      <c r="G44" s="2938" t="s">
        <v>3050</v>
      </c>
      <c r="H44" s="2938" t="s">
        <v>3360</v>
      </c>
      <c r="I44" s="2938" t="s">
        <v>3352</v>
      </c>
      <c r="J44" s="2938">
        <v>48892</v>
      </c>
      <c r="K44" s="2938">
        <v>94850.48</v>
      </c>
      <c r="L44" s="2938" t="s">
        <v>3361</v>
      </c>
      <c r="M44" s="2938" t="s">
        <v>2812</v>
      </c>
      <c r="N44" s="2938" t="s">
        <v>3216</v>
      </c>
      <c r="O44" s="2938" t="s">
        <v>3217</v>
      </c>
      <c r="P44" s="2938" t="s">
        <v>2812</v>
      </c>
      <c r="Q44" s="2938" t="s">
        <v>2812</v>
      </c>
      <c r="R44" s="2938" t="s">
        <v>2812</v>
      </c>
      <c r="S44" s="2938" t="s">
        <v>2812</v>
      </c>
      <c r="T44" s="2938" t="s">
        <v>2812</v>
      </c>
      <c r="U44" s="2938" t="s">
        <v>2812</v>
      </c>
      <c r="V44" s="2938" t="s">
        <v>2812</v>
      </c>
      <c r="W44" s="2938" t="s">
        <v>3058</v>
      </c>
      <c r="X44" s="2938" t="s">
        <v>3344</v>
      </c>
      <c r="Y44" s="2938" t="s">
        <v>3354</v>
      </c>
      <c r="Z44" s="2938" t="s">
        <v>3346</v>
      </c>
      <c r="AA44" s="2938" t="s">
        <v>3346</v>
      </c>
      <c r="AB44" s="2938" t="s">
        <v>3360</v>
      </c>
      <c r="AC44" s="2938" t="s">
        <v>3055</v>
      </c>
      <c r="AD44" s="2938" t="s">
        <v>3362</v>
      </c>
      <c r="AE44" s="2938">
        <v>6100</v>
      </c>
      <c r="AF44" s="2938">
        <v>23130</v>
      </c>
      <c r="AG44" s="2938">
        <v>23130</v>
      </c>
      <c r="AH44" s="2938">
        <v>315.39</v>
      </c>
      <c r="AI44" s="2938">
        <v>315.39</v>
      </c>
      <c r="AJ44" s="2938">
        <v>2438.5700000000002</v>
      </c>
      <c r="AK44" s="2938">
        <v>2438.5700000000002</v>
      </c>
      <c r="AL44" s="2938">
        <f t="shared" si="1"/>
        <v>4731</v>
      </c>
      <c r="AM44" s="2938" t="s">
        <v>2812</v>
      </c>
      <c r="AN44" s="2938">
        <v>0</v>
      </c>
      <c r="AO44" s="2938" t="s">
        <v>3308</v>
      </c>
      <c r="AP44" s="2938" t="s">
        <v>2812</v>
      </c>
      <c r="AQ44" s="2938" t="s">
        <v>2812</v>
      </c>
      <c r="AR44" s="2938" t="s">
        <v>2812</v>
      </c>
    </row>
    <row r="45" spans="1:44" s="2938" customFormat="1">
      <c r="A45" s="2938" t="s">
        <v>3068</v>
      </c>
      <c r="B45" s="2938" t="s">
        <v>2978</v>
      </c>
      <c r="C45" s="2938" t="s">
        <v>3143</v>
      </c>
      <c r="D45" s="2938" t="s">
        <v>3049</v>
      </c>
      <c r="E45" s="2938" t="s">
        <v>2812</v>
      </c>
      <c r="F45" s="2938" t="s">
        <v>3068</v>
      </c>
      <c r="G45" s="2938" t="s">
        <v>3050</v>
      </c>
      <c r="H45" s="2938" t="s">
        <v>3363</v>
      </c>
      <c r="I45" s="2938" t="s">
        <v>3109</v>
      </c>
      <c r="J45" s="2938">
        <v>47242.9</v>
      </c>
      <c r="K45" s="2938">
        <v>61415.77</v>
      </c>
      <c r="L45" s="2938" t="s">
        <v>3077</v>
      </c>
      <c r="M45" s="2938" t="s">
        <v>2812</v>
      </c>
      <c r="N45" s="2938" t="s">
        <v>3273</v>
      </c>
      <c r="O45" s="2938" t="s">
        <v>3069</v>
      </c>
      <c r="P45" s="2938" t="s">
        <v>2812</v>
      </c>
      <c r="Q45" s="2938" t="s">
        <v>2812</v>
      </c>
      <c r="R45" s="2938" t="s">
        <v>2812</v>
      </c>
      <c r="S45" s="2938" t="s">
        <v>2812</v>
      </c>
      <c r="T45" s="2938" t="s">
        <v>2812</v>
      </c>
      <c r="U45" s="2938" t="s">
        <v>2812</v>
      </c>
      <c r="V45" s="2938" t="s">
        <v>2812</v>
      </c>
      <c r="W45" s="2938" t="s">
        <v>3058</v>
      </c>
      <c r="X45" s="2938" t="s">
        <v>3364</v>
      </c>
      <c r="Y45" s="2938" t="s">
        <v>3365</v>
      </c>
      <c r="Z45" s="2938" t="s">
        <v>3366</v>
      </c>
      <c r="AA45" s="2938" t="s">
        <v>3366</v>
      </c>
      <c r="AB45" s="2938" t="s">
        <v>3363</v>
      </c>
      <c r="AC45" s="2938" t="s">
        <v>3055</v>
      </c>
      <c r="AD45" s="2938" t="s">
        <v>3367</v>
      </c>
      <c r="AE45" s="2938">
        <v>29620</v>
      </c>
      <c r="AF45" s="2938">
        <v>33340</v>
      </c>
      <c r="AG45" s="2938">
        <v>195000</v>
      </c>
      <c r="AH45" s="2938">
        <v>470.48</v>
      </c>
      <c r="AI45" s="2938">
        <v>2751.74</v>
      </c>
      <c r="AJ45" s="2938">
        <v>5428.57</v>
      </c>
      <c r="AK45" s="2938">
        <v>31750.79</v>
      </c>
      <c r="AL45" s="2938">
        <f t="shared" si="1"/>
        <v>41276</v>
      </c>
      <c r="AM45" s="2938" t="s">
        <v>2812</v>
      </c>
      <c r="AN45" s="2938">
        <v>484.88</v>
      </c>
      <c r="AO45" s="2938" t="s">
        <v>3329</v>
      </c>
      <c r="AP45" s="2938" t="s">
        <v>2812</v>
      </c>
      <c r="AQ45" s="2938" t="s">
        <v>2812</v>
      </c>
      <c r="AR45" s="2938" t="s">
        <v>2812</v>
      </c>
    </row>
    <row r="46" spans="1:44" s="2938" customFormat="1">
      <c r="A46" s="2938" t="s">
        <v>3068</v>
      </c>
      <c r="B46" s="2938" t="s">
        <v>2978</v>
      </c>
      <c r="C46" s="2938" t="s">
        <v>3143</v>
      </c>
      <c r="D46" s="2938" t="s">
        <v>3049</v>
      </c>
      <c r="E46" s="2938" t="s">
        <v>2812</v>
      </c>
      <c r="F46" s="2938" t="s">
        <v>3068</v>
      </c>
      <c r="G46" s="2938" t="s">
        <v>3050</v>
      </c>
      <c r="H46" s="2938" t="s">
        <v>3368</v>
      </c>
      <c r="I46" s="2938" t="s">
        <v>3109</v>
      </c>
      <c r="J46" s="2938">
        <v>44935.1</v>
      </c>
      <c r="K46" s="2938">
        <v>58415.63</v>
      </c>
      <c r="L46" s="2938" t="s">
        <v>3077</v>
      </c>
      <c r="M46" s="2938" t="s">
        <v>2812</v>
      </c>
      <c r="N46" s="2938" t="s">
        <v>3273</v>
      </c>
      <c r="O46" s="2938" t="s">
        <v>3069</v>
      </c>
      <c r="P46" s="2938" t="s">
        <v>2812</v>
      </c>
      <c r="Q46" s="2938" t="s">
        <v>2812</v>
      </c>
      <c r="R46" s="2938" t="s">
        <v>2812</v>
      </c>
      <c r="S46" s="2938" t="s">
        <v>2812</v>
      </c>
      <c r="T46" s="2938" t="s">
        <v>2812</v>
      </c>
      <c r="U46" s="2938" t="s">
        <v>2812</v>
      </c>
      <c r="V46" s="2938" t="s">
        <v>2812</v>
      </c>
      <c r="W46" s="2938" t="s">
        <v>3058</v>
      </c>
      <c r="X46" s="2938" t="s">
        <v>3364</v>
      </c>
      <c r="Y46" s="2938" t="s">
        <v>3365</v>
      </c>
      <c r="Z46" s="2938" t="s">
        <v>3366</v>
      </c>
      <c r="AA46" s="2938" t="s">
        <v>3366</v>
      </c>
      <c r="AB46" s="2938" t="s">
        <v>3368</v>
      </c>
      <c r="AC46" s="2938" t="s">
        <v>3055</v>
      </c>
      <c r="AD46" s="2938" t="s">
        <v>3367</v>
      </c>
      <c r="AE46" s="2938">
        <v>28430</v>
      </c>
      <c r="AF46" s="2938">
        <v>31970</v>
      </c>
      <c r="AG46" s="2938">
        <v>184000</v>
      </c>
      <c r="AH46" s="2938">
        <v>474.31</v>
      </c>
      <c r="AI46" s="2938">
        <v>2729.86</v>
      </c>
      <c r="AJ46" s="2938">
        <v>5472.85</v>
      </c>
      <c r="AK46" s="2938">
        <v>31498.41</v>
      </c>
      <c r="AL46" s="2938">
        <f t="shared" si="1"/>
        <v>40948</v>
      </c>
      <c r="AM46" s="2938" t="s">
        <v>2812</v>
      </c>
      <c r="AN46" s="2938">
        <v>475.54</v>
      </c>
      <c r="AO46" s="2938" t="s">
        <v>3329</v>
      </c>
      <c r="AP46" s="2938" t="s">
        <v>2812</v>
      </c>
      <c r="AQ46" s="2938" t="s">
        <v>2812</v>
      </c>
      <c r="AR46" s="2938" t="s">
        <v>2812</v>
      </c>
    </row>
    <row r="47" spans="1:44" s="2938" customFormat="1">
      <c r="A47" s="2938" t="s">
        <v>3068</v>
      </c>
      <c r="B47" s="2938" t="s">
        <v>2978</v>
      </c>
      <c r="C47" s="2938" t="s">
        <v>3143</v>
      </c>
      <c r="D47" s="2938" t="s">
        <v>3049</v>
      </c>
      <c r="E47" s="2938" t="s">
        <v>2812</v>
      </c>
      <c r="F47" s="2938" t="s">
        <v>3068</v>
      </c>
      <c r="G47" s="2938" t="s">
        <v>3050</v>
      </c>
      <c r="H47" s="2938" t="s">
        <v>3369</v>
      </c>
      <c r="I47" s="2938" t="s">
        <v>3109</v>
      </c>
      <c r="J47" s="2938">
        <v>40170.699999999997</v>
      </c>
      <c r="K47" s="2938">
        <v>60256.05</v>
      </c>
      <c r="L47" s="2938" t="s">
        <v>3056</v>
      </c>
      <c r="M47" s="2938" t="s">
        <v>2812</v>
      </c>
      <c r="N47" s="2938" t="s">
        <v>3273</v>
      </c>
      <c r="O47" s="2938" t="s">
        <v>3069</v>
      </c>
      <c r="P47" s="2938" t="s">
        <v>2812</v>
      </c>
      <c r="Q47" s="2938" t="s">
        <v>2812</v>
      </c>
      <c r="R47" s="2938" t="s">
        <v>2812</v>
      </c>
      <c r="S47" s="2938" t="s">
        <v>2812</v>
      </c>
      <c r="T47" s="2938" t="s">
        <v>2812</v>
      </c>
      <c r="U47" s="2938" t="s">
        <v>2812</v>
      </c>
      <c r="V47" s="2938" t="s">
        <v>2812</v>
      </c>
      <c r="W47" s="2938" t="s">
        <v>3058</v>
      </c>
      <c r="X47" s="2938" t="s">
        <v>3364</v>
      </c>
      <c r="Y47" s="2938" t="s">
        <v>3365</v>
      </c>
      <c r="Z47" s="2938" t="s">
        <v>3366</v>
      </c>
      <c r="AA47" s="2938" t="s">
        <v>3366</v>
      </c>
      <c r="AB47" s="2938" t="s">
        <v>3369</v>
      </c>
      <c r="AC47" s="2938" t="s">
        <v>3055</v>
      </c>
      <c r="AD47" s="2938" t="s">
        <v>3367</v>
      </c>
      <c r="AE47" s="2938">
        <v>28130</v>
      </c>
      <c r="AF47" s="2938">
        <v>31580</v>
      </c>
      <c r="AG47" s="2938">
        <v>196000</v>
      </c>
      <c r="AH47" s="2938">
        <v>524.1</v>
      </c>
      <c r="AI47" s="2938">
        <v>3252.79</v>
      </c>
      <c r="AJ47" s="2938">
        <v>5240.96</v>
      </c>
      <c r="AK47" s="2938">
        <v>32527.84</v>
      </c>
      <c r="AL47" s="2938">
        <f t="shared" si="1"/>
        <v>48792</v>
      </c>
      <c r="AM47" s="2938" t="s">
        <v>2812</v>
      </c>
      <c r="AN47" s="2938">
        <v>520.65</v>
      </c>
      <c r="AO47" s="2938" t="s">
        <v>3329</v>
      </c>
      <c r="AP47" s="2938" t="s">
        <v>2812</v>
      </c>
      <c r="AQ47" s="2938" t="s">
        <v>2812</v>
      </c>
      <c r="AR47" s="2938" t="s">
        <v>2812</v>
      </c>
    </row>
    <row r="48" spans="1:44" s="2938" customFormat="1">
      <c r="A48" s="2938" t="s">
        <v>3370</v>
      </c>
      <c r="B48" s="2938" t="s">
        <v>2978</v>
      </c>
      <c r="C48" s="2938" t="s">
        <v>3150</v>
      </c>
      <c r="D48" s="2938" t="s">
        <v>3049</v>
      </c>
      <c r="E48" s="2938" t="s">
        <v>2812</v>
      </c>
      <c r="F48" s="2938" t="s">
        <v>3370</v>
      </c>
      <c r="G48" s="2938" t="s">
        <v>3050</v>
      </c>
      <c r="H48" s="2938" t="s">
        <v>3371</v>
      </c>
      <c r="I48" s="2938" t="s">
        <v>3172</v>
      </c>
      <c r="J48" s="2938">
        <v>106984.7</v>
      </c>
      <c r="K48" s="2938">
        <v>262102.7</v>
      </c>
      <c r="L48" s="2938" t="s">
        <v>3372</v>
      </c>
      <c r="M48" s="2938" t="s">
        <v>2812</v>
      </c>
      <c r="N48" s="2938" t="s">
        <v>3076</v>
      </c>
      <c r="O48" s="2938" t="s">
        <v>3373</v>
      </c>
      <c r="P48" s="2938" t="s">
        <v>2812</v>
      </c>
      <c r="Q48" s="2938" t="s">
        <v>2812</v>
      </c>
      <c r="R48" s="2938" t="s">
        <v>2812</v>
      </c>
      <c r="S48" s="2938" t="s">
        <v>2812</v>
      </c>
      <c r="T48" s="2938" t="s">
        <v>2812</v>
      </c>
      <c r="U48" s="2938" t="s">
        <v>2812</v>
      </c>
      <c r="V48" s="2938" t="s">
        <v>2812</v>
      </c>
      <c r="W48" s="2938" t="s">
        <v>3058</v>
      </c>
      <c r="X48" s="2938" t="s">
        <v>3074</v>
      </c>
      <c r="Y48" s="2938" t="s">
        <v>3374</v>
      </c>
      <c r="Z48" s="2938" t="s">
        <v>3375</v>
      </c>
      <c r="AA48" s="2938" t="s">
        <v>3375</v>
      </c>
      <c r="AB48" s="2938" t="s">
        <v>3371</v>
      </c>
      <c r="AC48" s="2938" t="s">
        <v>3055</v>
      </c>
      <c r="AD48" s="2938" t="s">
        <v>3376</v>
      </c>
      <c r="AE48" s="2938">
        <v>37180</v>
      </c>
      <c r="AF48" s="2938">
        <v>140160</v>
      </c>
      <c r="AG48" s="2938">
        <v>577000</v>
      </c>
      <c r="AH48" s="2938">
        <v>873.4</v>
      </c>
      <c r="AI48" s="2938">
        <v>3595.53</v>
      </c>
      <c r="AJ48" s="2938">
        <v>5347.52</v>
      </c>
      <c r="AK48" s="2938">
        <v>22014.27</v>
      </c>
      <c r="AL48" s="2938">
        <f t="shared" si="1"/>
        <v>53933</v>
      </c>
      <c r="AM48" s="2938" t="s">
        <v>2812</v>
      </c>
      <c r="AN48" s="2938">
        <v>311.67</v>
      </c>
      <c r="AO48" s="2938" t="s">
        <v>3170</v>
      </c>
      <c r="AP48" s="2938" t="s">
        <v>2812</v>
      </c>
      <c r="AQ48" s="2938" t="s">
        <v>2812</v>
      </c>
      <c r="AR48" s="2938" t="s">
        <v>2812</v>
      </c>
    </row>
    <row r="49" spans="1:44" s="2938" customFormat="1">
      <c r="A49" s="2938" t="s">
        <v>3072</v>
      </c>
      <c r="B49" s="2938" t="s">
        <v>2978</v>
      </c>
      <c r="C49" s="2938" t="s">
        <v>3150</v>
      </c>
      <c r="D49" s="2938" t="s">
        <v>3049</v>
      </c>
      <c r="E49" s="2938" t="s">
        <v>2812</v>
      </c>
      <c r="F49" s="2938" t="s">
        <v>3072</v>
      </c>
      <c r="G49" s="2938" t="s">
        <v>3050</v>
      </c>
      <c r="H49" s="2938" t="s">
        <v>3377</v>
      </c>
      <c r="I49" s="2938" t="s">
        <v>3172</v>
      </c>
      <c r="J49" s="2938">
        <v>56980</v>
      </c>
      <c r="K49" s="2938">
        <v>85470</v>
      </c>
      <c r="L49" s="2938" t="s">
        <v>3357</v>
      </c>
      <c r="M49" s="2938" t="s">
        <v>2812</v>
      </c>
      <c r="N49" s="2938" t="s">
        <v>3076</v>
      </c>
      <c r="O49" s="2938" t="s">
        <v>3326</v>
      </c>
      <c r="P49" s="2938" t="s">
        <v>2812</v>
      </c>
      <c r="Q49" s="2938" t="s">
        <v>2812</v>
      </c>
      <c r="R49" s="2938" t="s">
        <v>2812</v>
      </c>
      <c r="S49" s="2938" t="s">
        <v>2812</v>
      </c>
      <c r="T49" s="2938" t="s">
        <v>2812</v>
      </c>
      <c r="U49" s="2938" t="s">
        <v>2812</v>
      </c>
      <c r="V49" s="2938" t="s">
        <v>2812</v>
      </c>
      <c r="W49" s="2938" t="s">
        <v>3058</v>
      </c>
      <c r="X49" s="2938" t="s">
        <v>3073</v>
      </c>
      <c r="Y49" s="2938" t="s">
        <v>3074</v>
      </c>
      <c r="Z49" s="2938" t="s">
        <v>3075</v>
      </c>
      <c r="AA49" s="2938" t="s">
        <v>3075</v>
      </c>
      <c r="AB49" s="2938" t="s">
        <v>3377</v>
      </c>
      <c r="AC49" s="2938" t="s">
        <v>3055</v>
      </c>
      <c r="AD49" s="2938" t="s">
        <v>3378</v>
      </c>
      <c r="AE49" s="2938">
        <v>7140</v>
      </c>
      <c r="AF49" s="2938">
        <v>17830</v>
      </c>
      <c r="AG49" s="2938">
        <v>31000</v>
      </c>
      <c r="AH49" s="2938">
        <v>208.61</v>
      </c>
      <c r="AI49" s="2938">
        <v>362.7</v>
      </c>
      <c r="AJ49" s="2938">
        <v>2086.11</v>
      </c>
      <c r="AK49" s="2938">
        <v>3627</v>
      </c>
      <c r="AL49" s="2938">
        <f t="shared" si="1"/>
        <v>5441</v>
      </c>
      <c r="AM49" s="2938" t="s">
        <v>2812</v>
      </c>
      <c r="AN49" s="2938">
        <v>73.86</v>
      </c>
      <c r="AO49" s="2938" t="s">
        <v>3308</v>
      </c>
      <c r="AP49" s="2938" t="s">
        <v>2812</v>
      </c>
      <c r="AQ49" s="2938" t="s">
        <v>2812</v>
      </c>
      <c r="AR49" s="2938" t="s">
        <v>2812</v>
      </c>
    </row>
    <row r="50" spans="1:44" s="2938" customFormat="1">
      <c r="A50" s="2938" t="s">
        <v>3072</v>
      </c>
      <c r="B50" s="2938" t="s">
        <v>2978</v>
      </c>
      <c r="C50" s="2938" t="s">
        <v>3150</v>
      </c>
      <c r="D50" s="2938" t="s">
        <v>3049</v>
      </c>
      <c r="E50" s="2938" t="s">
        <v>2812</v>
      </c>
      <c r="F50" s="2938" t="s">
        <v>3072</v>
      </c>
      <c r="G50" s="2938" t="s">
        <v>3050</v>
      </c>
      <c r="H50" s="2938" t="s">
        <v>3379</v>
      </c>
      <c r="I50" s="2938" t="s">
        <v>3172</v>
      </c>
      <c r="J50" s="2938">
        <v>42331.9</v>
      </c>
      <c r="K50" s="2938">
        <v>61628.25</v>
      </c>
      <c r="L50" s="2938" t="s">
        <v>3357</v>
      </c>
      <c r="M50" s="2938" t="s">
        <v>2812</v>
      </c>
      <c r="N50" s="2938" t="s">
        <v>3076</v>
      </c>
      <c r="O50" s="2938" t="s">
        <v>3326</v>
      </c>
      <c r="P50" s="2938" t="s">
        <v>2812</v>
      </c>
      <c r="Q50" s="2938" t="s">
        <v>2812</v>
      </c>
      <c r="R50" s="2938" t="s">
        <v>2812</v>
      </c>
      <c r="S50" s="2938" t="s">
        <v>2812</v>
      </c>
      <c r="T50" s="2938" t="s">
        <v>2812</v>
      </c>
      <c r="U50" s="2938" t="s">
        <v>2812</v>
      </c>
      <c r="V50" s="2938" t="s">
        <v>2812</v>
      </c>
      <c r="W50" s="2938" t="s">
        <v>3058</v>
      </c>
      <c r="X50" s="2938" t="s">
        <v>3073</v>
      </c>
      <c r="Y50" s="2938" t="s">
        <v>3074</v>
      </c>
      <c r="Z50" s="2938" t="s">
        <v>3075</v>
      </c>
      <c r="AA50" s="2938" t="s">
        <v>3075</v>
      </c>
      <c r="AB50" s="2938" t="s">
        <v>3379</v>
      </c>
      <c r="AC50" s="2938" t="s">
        <v>3055</v>
      </c>
      <c r="AD50" s="2938" t="s">
        <v>3378</v>
      </c>
      <c r="AE50" s="2938">
        <v>5200</v>
      </c>
      <c r="AF50" s="2938">
        <v>13000</v>
      </c>
      <c r="AG50" s="2938">
        <v>26600</v>
      </c>
      <c r="AH50" s="2938">
        <v>204.73</v>
      </c>
      <c r="AI50" s="2938">
        <v>418.91</v>
      </c>
      <c r="AJ50" s="2938">
        <v>2109.42</v>
      </c>
      <c r="AK50" s="2938">
        <v>4316.1899999999996</v>
      </c>
      <c r="AL50" s="2938">
        <f t="shared" si="1"/>
        <v>6284</v>
      </c>
      <c r="AM50" s="2938" t="s">
        <v>2812</v>
      </c>
      <c r="AN50" s="2938">
        <v>104.62</v>
      </c>
      <c r="AO50" s="2938" t="s">
        <v>3308</v>
      </c>
      <c r="AP50" s="2938" t="s">
        <v>2812</v>
      </c>
      <c r="AQ50" s="2938" t="s">
        <v>2812</v>
      </c>
      <c r="AR50" s="2938" t="s">
        <v>2812</v>
      </c>
    </row>
    <row r="51" spans="1:44" s="2938" customFormat="1">
      <c r="A51" s="2938" t="s">
        <v>3380</v>
      </c>
      <c r="B51" s="2938" t="s">
        <v>2978</v>
      </c>
      <c r="C51" s="2938" t="s">
        <v>3150</v>
      </c>
      <c r="D51" s="2938" t="s">
        <v>3049</v>
      </c>
      <c r="E51" s="2938" t="s">
        <v>2812</v>
      </c>
      <c r="F51" s="2938" t="s">
        <v>3380</v>
      </c>
      <c r="G51" s="2938" t="s">
        <v>3050</v>
      </c>
      <c r="H51" s="2938" t="s">
        <v>3381</v>
      </c>
      <c r="I51" s="2938" t="s">
        <v>3172</v>
      </c>
      <c r="J51" s="2938">
        <v>59897</v>
      </c>
      <c r="K51" s="2938">
        <v>119788.2</v>
      </c>
      <c r="L51" s="2938" t="s">
        <v>3051</v>
      </c>
      <c r="M51" s="2938" t="s">
        <v>2812</v>
      </c>
      <c r="N51" s="2938" t="s">
        <v>3273</v>
      </c>
      <c r="O51" s="2938" t="s">
        <v>2812</v>
      </c>
      <c r="P51" s="2938" t="s">
        <v>2812</v>
      </c>
      <c r="Q51" s="2938" t="s">
        <v>2812</v>
      </c>
      <c r="R51" s="2938" t="s">
        <v>2812</v>
      </c>
      <c r="S51" s="2938" t="s">
        <v>2812</v>
      </c>
      <c r="T51" s="2938" t="s">
        <v>2812</v>
      </c>
      <c r="U51" s="2938" t="s">
        <v>2812</v>
      </c>
      <c r="V51" s="2938" t="s">
        <v>2812</v>
      </c>
      <c r="W51" s="2938" t="s">
        <v>3058</v>
      </c>
      <c r="X51" s="2938" t="s">
        <v>3382</v>
      </c>
      <c r="Y51" s="2938" t="s">
        <v>3383</v>
      </c>
      <c r="Z51" s="2938" t="s">
        <v>3384</v>
      </c>
      <c r="AA51" s="2938" t="s">
        <v>3384</v>
      </c>
      <c r="AB51" s="2938" t="s">
        <v>3381</v>
      </c>
      <c r="AC51" s="2938" t="s">
        <v>3055</v>
      </c>
      <c r="AD51" s="2938" t="s">
        <v>3385</v>
      </c>
      <c r="AE51" s="2938">
        <v>8350</v>
      </c>
      <c r="AF51" s="2938">
        <v>28600</v>
      </c>
      <c r="AG51" s="2938">
        <v>28600</v>
      </c>
      <c r="AH51" s="2938">
        <v>318.32</v>
      </c>
      <c r="AI51" s="2938">
        <v>318.32</v>
      </c>
      <c r="AJ51" s="2938">
        <v>2387.54</v>
      </c>
      <c r="AK51" s="2938">
        <v>2387.5500000000002</v>
      </c>
      <c r="AL51" s="2938">
        <f t="shared" si="1"/>
        <v>4775</v>
      </c>
      <c r="AM51" s="2938" t="s">
        <v>2812</v>
      </c>
      <c r="AN51" s="2938">
        <v>0</v>
      </c>
      <c r="AO51" s="2938" t="s">
        <v>3308</v>
      </c>
      <c r="AP51" s="2938" t="s">
        <v>2812</v>
      </c>
      <c r="AQ51" s="2938" t="s">
        <v>2812</v>
      </c>
      <c r="AR51" s="2938" t="s">
        <v>2812</v>
      </c>
    </row>
    <row r="52" spans="1:44" s="2938" customFormat="1">
      <c r="A52" s="2938" t="s">
        <v>3386</v>
      </c>
      <c r="B52" s="2938" t="s">
        <v>2978</v>
      </c>
      <c r="C52" s="2938" t="s">
        <v>3150</v>
      </c>
      <c r="D52" s="2938" t="s">
        <v>3049</v>
      </c>
      <c r="E52" s="2938" t="s">
        <v>2812</v>
      </c>
      <c r="F52" s="2938" t="s">
        <v>3386</v>
      </c>
      <c r="G52" s="2938" t="s">
        <v>3050</v>
      </c>
      <c r="H52" s="2938" t="s">
        <v>3387</v>
      </c>
      <c r="I52" s="2938" t="s">
        <v>3388</v>
      </c>
      <c r="J52" s="2938">
        <v>49123.8</v>
      </c>
      <c r="K52" s="2938">
        <v>103157</v>
      </c>
      <c r="L52" s="2938" t="s">
        <v>3389</v>
      </c>
      <c r="M52" s="2938" t="s">
        <v>2812</v>
      </c>
      <c r="N52" s="2938" t="s">
        <v>3273</v>
      </c>
      <c r="O52" s="2938" t="s">
        <v>3267</v>
      </c>
      <c r="P52" s="2938" t="s">
        <v>2812</v>
      </c>
      <c r="Q52" s="2938" t="s">
        <v>2812</v>
      </c>
      <c r="R52" s="2938" t="s">
        <v>2812</v>
      </c>
      <c r="S52" s="2938" t="s">
        <v>2812</v>
      </c>
      <c r="T52" s="2938" t="s">
        <v>2812</v>
      </c>
      <c r="U52" s="2938" t="s">
        <v>2812</v>
      </c>
      <c r="V52" s="2938" t="s">
        <v>2812</v>
      </c>
      <c r="W52" s="2938" t="s">
        <v>3058</v>
      </c>
      <c r="X52" s="2938" t="s">
        <v>3390</v>
      </c>
      <c r="Y52" s="2938" t="s">
        <v>3391</v>
      </c>
      <c r="Z52" s="2938" t="s">
        <v>3383</v>
      </c>
      <c r="AA52" s="2938" t="s">
        <v>3383</v>
      </c>
      <c r="AB52" s="2938" t="s">
        <v>3387</v>
      </c>
      <c r="AC52" s="2938" t="s">
        <v>3055</v>
      </c>
      <c r="AD52" s="2938" t="s">
        <v>3299</v>
      </c>
      <c r="AE52" s="2938">
        <v>6640</v>
      </c>
      <c r="AF52" s="2938">
        <v>26530</v>
      </c>
      <c r="AG52" s="2938">
        <v>26530</v>
      </c>
      <c r="AH52" s="2938">
        <v>360.04</v>
      </c>
      <c r="AI52" s="2938">
        <v>360.04</v>
      </c>
      <c r="AJ52" s="2938">
        <v>2571.8000000000002</v>
      </c>
      <c r="AK52" s="2938">
        <v>2571.8000000000002</v>
      </c>
      <c r="AL52" s="2938">
        <f t="shared" si="1"/>
        <v>5401</v>
      </c>
      <c r="AM52" s="2938" t="s">
        <v>2812</v>
      </c>
      <c r="AN52" s="2938">
        <v>0</v>
      </c>
      <c r="AO52" s="2938" t="s">
        <v>3308</v>
      </c>
      <c r="AP52" s="2938" t="s">
        <v>2812</v>
      </c>
      <c r="AQ52" s="2938" t="s">
        <v>2812</v>
      </c>
      <c r="AR52" s="2938" t="s">
        <v>2812</v>
      </c>
    </row>
    <row r="53" spans="1:44" s="2938" customFormat="1">
      <c r="A53" s="2938" t="s">
        <v>3392</v>
      </c>
      <c r="B53" s="2938" t="s">
        <v>2978</v>
      </c>
      <c r="C53" s="2938" t="s">
        <v>3143</v>
      </c>
      <c r="D53" s="2938" t="s">
        <v>3049</v>
      </c>
      <c r="E53" s="2938" t="s">
        <v>2812</v>
      </c>
      <c r="F53" s="2938" t="s">
        <v>3392</v>
      </c>
      <c r="G53" s="2938" t="s">
        <v>3050</v>
      </c>
      <c r="H53" s="2938" t="s">
        <v>3393</v>
      </c>
      <c r="I53" s="2938" t="s">
        <v>3109</v>
      </c>
      <c r="J53" s="2938">
        <v>85220.5</v>
      </c>
      <c r="K53" s="2938">
        <v>153396.9</v>
      </c>
      <c r="L53" s="2938" t="s">
        <v>3303</v>
      </c>
      <c r="M53" s="2938" t="s">
        <v>2812</v>
      </c>
      <c r="N53" s="2938" t="s">
        <v>3076</v>
      </c>
      <c r="O53" s="2938" t="s">
        <v>3394</v>
      </c>
      <c r="P53" s="2938" t="s">
        <v>2812</v>
      </c>
      <c r="Q53" s="2938" t="s">
        <v>2812</v>
      </c>
      <c r="R53" s="2938" t="s">
        <v>2812</v>
      </c>
      <c r="S53" s="2938" t="s">
        <v>2812</v>
      </c>
      <c r="T53" s="2938" t="s">
        <v>2812</v>
      </c>
      <c r="U53" s="2938" t="s">
        <v>2812</v>
      </c>
      <c r="V53" s="2938" t="s">
        <v>2812</v>
      </c>
      <c r="W53" s="2938" t="s">
        <v>3058</v>
      </c>
      <c r="X53" s="2938" t="s">
        <v>3395</v>
      </c>
      <c r="Y53" s="2938" t="s">
        <v>3396</v>
      </c>
      <c r="Z53" s="2938" t="s">
        <v>3397</v>
      </c>
      <c r="AA53" s="2938" t="s">
        <v>3397</v>
      </c>
      <c r="AB53" s="2938" t="s">
        <v>3393</v>
      </c>
      <c r="AC53" s="2938" t="s">
        <v>3055</v>
      </c>
      <c r="AD53" s="2938" t="s">
        <v>3398</v>
      </c>
      <c r="AE53" s="2938">
        <v>6980</v>
      </c>
      <c r="AF53" s="2938">
        <v>23265.31</v>
      </c>
      <c r="AG53" s="2938">
        <v>122200</v>
      </c>
      <c r="AH53" s="2938">
        <v>182</v>
      </c>
      <c r="AI53" s="2938">
        <v>955.95</v>
      </c>
      <c r="AJ53" s="2938">
        <v>1516.67</v>
      </c>
      <c r="AK53" s="2938">
        <v>7966.26</v>
      </c>
      <c r="AL53" s="2938">
        <f t="shared" si="1"/>
        <v>14339</v>
      </c>
      <c r="AM53" s="2938" t="s">
        <v>2812</v>
      </c>
      <c r="AN53" s="2938">
        <v>425.25</v>
      </c>
      <c r="AO53" s="2938" t="s">
        <v>3399</v>
      </c>
      <c r="AP53" s="2938" t="s">
        <v>2812</v>
      </c>
      <c r="AQ53" s="2938" t="s">
        <v>2812</v>
      </c>
      <c r="AR53" s="2938" t="s">
        <v>2812</v>
      </c>
    </row>
    <row r="54" spans="1:44" s="2938" customFormat="1">
      <c r="A54" s="2938" t="s">
        <v>3392</v>
      </c>
      <c r="B54" s="2938" t="s">
        <v>2978</v>
      </c>
      <c r="C54" s="2938" t="s">
        <v>3143</v>
      </c>
      <c r="D54" s="2938" t="s">
        <v>3049</v>
      </c>
      <c r="E54" s="2938" t="s">
        <v>2812</v>
      </c>
      <c r="F54" s="2938" t="s">
        <v>3392</v>
      </c>
      <c r="G54" s="2938" t="s">
        <v>3050</v>
      </c>
      <c r="H54" s="2938" t="s">
        <v>3400</v>
      </c>
      <c r="I54" s="2938" t="s">
        <v>3109</v>
      </c>
      <c r="J54" s="2938">
        <v>37059.300000000003</v>
      </c>
      <c r="K54" s="2938">
        <v>48177.09</v>
      </c>
      <c r="L54" s="2938" t="s">
        <v>3077</v>
      </c>
      <c r="M54" s="2938" t="s">
        <v>2812</v>
      </c>
      <c r="N54" s="2938" t="s">
        <v>3076</v>
      </c>
      <c r="O54" s="2938" t="s">
        <v>3146</v>
      </c>
      <c r="P54" s="2938" t="s">
        <v>2812</v>
      </c>
      <c r="Q54" s="2938" t="s">
        <v>2812</v>
      </c>
      <c r="R54" s="2938" t="s">
        <v>2812</v>
      </c>
      <c r="S54" s="2938" t="s">
        <v>2812</v>
      </c>
      <c r="T54" s="2938" t="s">
        <v>2812</v>
      </c>
      <c r="U54" s="2938" t="s">
        <v>2812</v>
      </c>
      <c r="V54" s="2938" t="s">
        <v>2812</v>
      </c>
      <c r="W54" s="2938" t="s">
        <v>3058</v>
      </c>
      <c r="X54" s="2938" t="s">
        <v>3395</v>
      </c>
      <c r="Y54" s="2938" t="s">
        <v>3396</v>
      </c>
      <c r="Z54" s="2938" t="s">
        <v>3397</v>
      </c>
      <c r="AA54" s="2938" t="s">
        <v>3397</v>
      </c>
      <c r="AB54" s="2938" t="s">
        <v>3400</v>
      </c>
      <c r="AC54" s="2938" t="s">
        <v>3055</v>
      </c>
      <c r="AD54" s="2938" t="s">
        <v>3398</v>
      </c>
      <c r="AE54" s="2938">
        <v>3335</v>
      </c>
      <c r="AF54" s="2938">
        <v>11117.79</v>
      </c>
      <c r="AG54" s="2938">
        <v>38000</v>
      </c>
      <c r="AH54" s="2938">
        <v>200</v>
      </c>
      <c r="AI54" s="2938">
        <v>683.59</v>
      </c>
      <c r="AJ54" s="2938">
        <v>2307.69</v>
      </c>
      <c r="AK54" s="2938">
        <v>7887.56</v>
      </c>
      <c r="AL54" s="2938">
        <f t="shared" si="1"/>
        <v>10254</v>
      </c>
      <c r="AM54" s="2938" t="s">
        <v>2812</v>
      </c>
      <c r="AN54" s="2938">
        <v>241.79</v>
      </c>
      <c r="AO54" s="2938" t="s">
        <v>3399</v>
      </c>
      <c r="AP54" s="2938" t="s">
        <v>2812</v>
      </c>
      <c r="AQ54" s="2938" t="s">
        <v>2812</v>
      </c>
      <c r="AR54" s="2938" t="s">
        <v>2812</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L1" workbookViewId="0">
      <selection activeCell="N70" sqref="N1:Y70"/>
    </sheetView>
  </sheetViews>
  <sheetFormatPr defaultRowHeight="13.5"/>
  <sheetData/>
  <phoneticPr fontId="233" type="noConversion"/>
  <pageMargins left="0.7" right="0.7" top="0.75" bottom="0.75" header="0.3" footer="0.3"/>
  <pageSetup paperSize="9" scale="2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2037</v>
      </c>
      <c r="B1" s="3226"/>
      <c r="C1" s="3226"/>
      <c r="D1" s="3226"/>
      <c r="E1" s="3226"/>
      <c r="F1" s="3226"/>
      <c r="G1" s="3226"/>
      <c r="H1" s="3226"/>
      <c r="I1" s="3226"/>
      <c r="J1" s="3226"/>
      <c r="K1" s="3226"/>
      <c r="L1" s="3226"/>
      <c r="M1" s="3226"/>
      <c r="N1" s="3226"/>
      <c r="O1" s="3226"/>
      <c r="P1" s="3226"/>
      <c r="Q1" s="3226"/>
      <c r="R1" s="3226"/>
    </row>
    <row r="2" spans="1:18">
      <c r="A2" s="1808" t="s">
        <v>2039</v>
      </c>
      <c r="B2" s="1808"/>
      <c r="C2" s="1808"/>
      <c r="D2" s="1808"/>
      <c r="E2" s="1808"/>
      <c r="F2" s="1808"/>
      <c r="G2" s="1808"/>
      <c r="H2" s="1808"/>
      <c r="I2" s="1809"/>
      <c r="J2" s="1809"/>
      <c r="K2" s="1810" t="str">
        <f>"估价期日："&amp;TEXT(项目基本情况!D3,"yyyy年m月d日;;")</f>
        <v>估价期日：2018年8月13日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7" t="s">
        <v>2028</v>
      </c>
      <c r="B3" s="3227" t="s">
        <v>2725</v>
      </c>
      <c r="C3" s="3228" t="s">
        <v>2029</v>
      </c>
      <c r="D3" s="3227" t="s">
        <v>2729</v>
      </c>
      <c r="E3" s="3230" t="s">
        <v>2030</v>
      </c>
      <c r="F3" s="3230"/>
      <c r="G3" s="3230"/>
      <c r="H3" s="3230" t="s">
        <v>2031</v>
      </c>
      <c r="I3" s="3230"/>
      <c r="J3" s="3230"/>
      <c r="K3" s="3228" t="s">
        <v>2032</v>
      </c>
      <c r="L3" s="3228" t="s">
        <v>2033</v>
      </c>
      <c r="M3" s="3227" t="s">
        <v>2726</v>
      </c>
      <c r="N3" s="3229" t="str">
        <f>"（分摊）"&amp;项目基本情况!B16&amp;"国有建设用地使用权面积/㎡"</f>
        <v>（分摊）出让国有建设用地使用权面积/㎡</v>
      </c>
      <c r="O3" s="3227" t="s">
        <v>2062</v>
      </c>
      <c r="P3" s="3228" t="s">
        <v>2042</v>
      </c>
      <c r="Q3" s="3228" t="s">
        <v>2063</v>
      </c>
      <c r="R3" s="3228" t="s">
        <v>2034</v>
      </c>
    </row>
    <row r="4" spans="1:18" ht="36.75" customHeight="1">
      <c r="A4" s="3227"/>
      <c r="B4" s="3227"/>
      <c r="C4" s="3228"/>
      <c r="D4" s="3227"/>
      <c r="E4" s="2649" t="s">
        <v>2041</v>
      </c>
      <c r="F4" s="2649" t="s">
        <v>2738</v>
      </c>
      <c r="G4" s="2649" t="s">
        <v>2035</v>
      </c>
      <c r="H4" s="2649" t="s">
        <v>2036</v>
      </c>
      <c r="I4" s="2649" t="s">
        <v>2739</v>
      </c>
      <c r="J4" s="2649" t="s">
        <v>2035</v>
      </c>
      <c r="K4" s="3228"/>
      <c r="L4" s="3228"/>
      <c r="M4" s="3227"/>
      <c r="N4" s="3229"/>
      <c r="O4" s="3227"/>
      <c r="P4" s="3228"/>
      <c r="Q4" s="3228"/>
      <c r="R4" s="3228"/>
    </row>
    <row r="5" spans="1:18" ht="135" customHeight="1">
      <c r="A5" s="1943" t="s">
        <v>2649</v>
      </c>
      <c r="B5" s="2867" t="s">
        <v>2647</v>
      </c>
      <c r="C5" s="2648">
        <v>22</v>
      </c>
      <c r="D5" s="2647" t="s">
        <v>2648</v>
      </c>
      <c r="E5" s="1811" t="str">
        <f>项目基本情况!B12</f>
        <v>城镇住宅用地</v>
      </c>
      <c r="F5" s="2647">
        <v>258</v>
      </c>
      <c r="G5" s="1811" t="str">
        <f>项目基本情况!B13</f>
        <v>住宅、地下车库</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住宅55.7年、地下车库35.7年</v>
      </c>
      <c r="N5" s="1811">
        <f>项目基本情况!C22</f>
        <v>51383.96</v>
      </c>
      <c r="O5" s="1811">
        <f>项目基本情况!C21</f>
        <v>160029.13999999998</v>
      </c>
      <c r="P5" s="1811">
        <f ca="1">结果表!E42</f>
        <v>33996</v>
      </c>
      <c r="Q5" s="1811">
        <f ca="1">结果表!D42</f>
        <v>10916</v>
      </c>
      <c r="R5" s="1812">
        <f ca="1">结果表!C42</f>
        <v>174684</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3">
        <f ca="1">结果表!O39</f>
        <v>174684</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3" t="str">
        <f>结果表!O40</f>
        <v>——</v>
      </c>
    </row>
    <row r="8" spans="1:18">
      <c r="A8" s="3223" t="str">
        <f>IF(项目基本情况!B9="市场价格","——",项目基本情况!E9)</f>
        <v>抵押净值</v>
      </c>
      <c r="B8" s="3224"/>
      <c r="C8" s="3224"/>
      <c r="D8" s="3224"/>
      <c r="E8" s="3224"/>
      <c r="F8" s="3224"/>
      <c r="G8" s="3224"/>
      <c r="H8" s="3224"/>
      <c r="I8" s="3224"/>
      <c r="J8" s="3224"/>
      <c r="K8" s="3224"/>
      <c r="L8" s="3224"/>
      <c r="M8" s="3224"/>
      <c r="N8" s="3224"/>
      <c r="O8" s="3224"/>
      <c r="P8" s="3224"/>
      <c r="Q8" s="3225"/>
      <c r="R8" s="1813">
        <f ca="1">结果表!O41</f>
        <v>95870</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32" t="s">
        <v>2064</v>
      </c>
      <c r="B1" s="3232"/>
      <c r="C1" s="3232"/>
      <c r="D1" s="3232"/>
    </row>
    <row r="2" spans="1:4" ht="47.25" customHeight="1">
      <c r="A2" s="3233" t="str">
        <f>"1.权利限制："&amp;项目基本情况!L24&amp;"未设定租赁等其他他项权利。"</f>
        <v>1.权利限制：根据估价对象《国有土地使用证》原件、，截至估价期日，估价对象抵押权未见登记。未设定租赁等其他他项权利。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2"/>
      <c r="C3" s="3232"/>
      <c r="D3" s="3232"/>
    </row>
    <row r="4" spans="1:4" ht="36.75" customHeight="1">
      <c r="A4" s="3232" t="str">
        <f>"3.估价规划限制条件：详见"&amp;项目基本情况!E21&amp;"。"</f>
        <v>3.估价规划限制条件：详见《建设工程规划许可证》[]、《经济技术指标》。</v>
      </c>
      <c r="B4" s="3232"/>
      <c r="C4" s="3232"/>
      <c r="D4" s="3232"/>
    </row>
    <row r="5" spans="1:4">
      <c r="A5" s="3231" t="s">
        <v>2065</v>
      </c>
      <c r="B5" s="3231"/>
      <c r="C5" s="3231"/>
      <c r="D5" s="3231"/>
    </row>
    <row r="6" spans="1:4">
      <c r="A6" s="3232" t="s">
        <v>2043</v>
      </c>
      <c r="B6" s="3232"/>
      <c r="C6" s="3232"/>
      <c r="D6" s="3232"/>
    </row>
    <row r="7" spans="1:4" ht="33" customHeight="1">
      <c r="A7" s="3232" t="s">
        <v>2569</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（1）根据估价对象《国有土地使用证》原件、，截至估价期日，估价对象抵押权未见登记。</v>
      </c>
      <c r="B11" s="3234"/>
      <c r="C11" s="3234"/>
      <c r="D11" s="3234"/>
    </row>
    <row r="12" spans="1:4" ht="168" customHeight="1">
      <c r="A12" s="3231" t="s">
        <v>2067</v>
      </c>
      <c r="B12" s="3231"/>
      <c r="C12" s="3231"/>
      <c r="D12" s="3231"/>
    </row>
    <row r="13" spans="1:4">
      <c r="A13" s="3235" t="s">
        <v>2740</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2696</v>
      </c>
      <c r="B17" s="3232"/>
      <c r="C17" s="3232"/>
      <c r="D17" s="3232"/>
    </row>
    <row r="18" spans="1:4">
      <c r="A18" s="3232" t="s">
        <v>2688</v>
      </c>
      <c r="B18" s="3232"/>
      <c r="C18" s="3232"/>
      <c r="D18" s="3232"/>
    </row>
    <row r="19" spans="1:4">
      <c r="A19" s="2868" t="s">
        <v>2689</v>
      </c>
      <c r="B19" s="2868" t="s">
        <v>2690</v>
      </c>
      <c r="C19" s="2868" t="s">
        <v>2691</v>
      </c>
      <c r="D19" s="2868" t="s">
        <v>2692</v>
      </c>
    </row>
    <row r="20" spans="1:4">
      <c r="A20" s="2868" t="str">
        <f>项目基本情况!B4</f>
        <v>赵雯</v>
      </c>
      <c r="B20" s="2868">
        <f ca="1">项目基本情况!C4</f>
        <v>2011110090</v>
      </c>
      <c r="C20" s="2870"/>
      <c r="D20" s="1801" t="s">
        <v>2697</v>
      </c>
    </row>
    <row r="21" spans="1:4">
      <c r="A21" s="2868" t="str">
        <f>项目基本情况!D4</f>
        <v>崔锴</v>
      </c>
      <c r="B21" s="2868">
        <f ca="1">项目基本情况!E4</f>
        <v>2010110070</v>
      </c>
      <c r="C21" s="2870"/>
      <c r="D21" s="1801" t="s">
        <v>2698</v>
      </c>
    </row>
    <row r="23" spans="1:4">
      <c r="A23" s="3232" t="s">
        <v>2693</v>
      </c>
      <c r="B23" s="3232"/>
      <c r="C23" s="3232"/>
      <c r="D23" s="3232"/>
    </row>
    <row r="24" spans="1:4">
      <c r="A24" s="2868" t="s">
        <v>2689</v>
      </c>
      <c r="B24" s="2868" t="s">
        <v>2694</v>
      </c>
      <c r="C24" s="2868" t="s">
        <v>2691</v>
      </c>
      <c r="D24" s="2868" t="s">
        <v>2692</v>
      </c>
    </row>
    <row r="25" spans="1:4">
      <c r="A25" s="2871" t="s">
        <v>2695</v>
      </c>
      <c r="B25" s="2868" t="s">
        <v>950</v>
      </c>
      <c r="C25" s="2870"/>
      <c r="D25" s="1801" t="s">
        <v>2698</v>
      </c>
    </row>
    <row r="29" spans="1:4">
      <c r="D29" s="2869" t="s">
        <v>2038</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43" t="s">
        <v>53</v>
      </c>
      <c r="B15" s="3244" t="s">
        <v>844</v>
      </c>
      <c r="C15" s="3240"/>
    </row>
    <row r="16" spans="1:7" ht="14.25">
      <c r="A16" s="3243"/>
      <c r="B16" s="3241" t="s">
        <v>54</v>
      </c>
      <c r="C16" s="1172" t="s">
        <v>53</v>
      </c>
    </row>
    <row r="17" spans="1:3" ht="14.25">
      <c r="A17" s="3243"/>
      <c r="B17" s="3241"/>
      <c r="C17" s="1172" t="s">
        <v>55</v>
      </c>
    </row>
    <row r="18" spans="1:3" ht="14.25">
      <c r="A18" s="3243"/>
      <c r="B18" s="3241"/>
      <c r="C18" s="1172" t="s">
        <v>56</v>
      </c>
    </row>
    <row r="19" spans="1:3" ht="14.25">
      <c r="A19" s="3243"/>
      <c r="B19" s="3239" t="s">
        <v>57</v>
      </c>
      <c r="C19" s="3240"/>
    </row>
    <row r="20" spans="1:3" ht="14.25">
      <c r="A20" s="1173" t="s">
        <v>58</v>
      </c>
      <c r="B20" s="1174"/>
      <c r="C20" s="1175"/>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6" t="s">
        <v>835</v>
      </c>
    </row>
    <row r="25" spans="1:3" ht="14.25">
      <c r="A25" s="3242"/>
      <c r="B25" s="3246"/>
      <c r="C25" s="1176" t="s">
        <v>836</v>
      </c>
    </row>
    <row r="26" spans="1:3" ht="14.25">
      <c r="A26" s="3242"/>
      <c r="B26" s="3246"/>
      <c r="C26" s="1176" t="s">
        <v>837</v>
      </c>
    </row>
    <row r="27" spans="1:3" ht="14.25">
      <c r="A27" s="3242"/>
      <c r="B27" s="3246"/>
      <c r="C27" s="1176" t="s">
        <v>838</v>
      </c>
    </row>
    <row r="28" spans="1:3" ht="14.25">
      <c r="A28" s="3242"/>
      <c r="B28" s="3246"/>
      <c r="C28" s="1176" t="s">
        <v>839</v>
      </c>
    </row>
    <row r="29" spans="1:3" ht="14.25">
      <c r="A29" s="3242"/>
      <c r="B29" s="3246"/>
      <c r="C29" s="1176" t="s">
        <v>840</v>
      </c>
    </row>
    <row r="30" spans="1:3" ht="14.25">
      <c r="A30" s="3242"/>
      <c r="B30" s="3246"/>
      <c r="C30" s="1176" t="s">
        <v>841</v>
      </c>
    </row>
    <row r="31" spans="1:3" ht="14.25">
      <c r="A31" s="3242"/>
      <c r="B31" s="3246"/>
      <c r="C31" s="1176" t="s">
        <v>842</v>
      </c>
    </row>
    <row r="32" spans="1:3" ht="14.25">
      <c r="A32" s="3242"/>
      <c r="B32" s="3246"/>
      <c r="C32" s="1176" t="s">
        <v>1645</v>
      </c>
    </row>
    <row r="33" spans="1:3" ht="14.25">
      <c r="A33" s="3242"/>
      <c r="B33" s="3236" t="s">
        <v>1651</v>
      </c>
      <c r="C33" s="1176" t="s">
        <v>1646</v>
      </c>
    </row>
    <row r="34" spans="1:3" ht="14.25">
      <c r="A34" s="3242"/>
      <c r="B34" s="3237"/>
      <c r="C34" s="1181" t="s">
        <v>1647</v>
      </c>
    </row>
    <row r="35" spans="1:3" ht="14.25">
      <c r="A35" s="3242"/>
      <c r="B35" s="3237"/>
      <c r="C35" s="1182" t="s">
        <v>1648</v>
      </c>
    </row>
    <row r="36" spans="1:3" ht="14.25">
      <c r="A36" s="3242"/>
      <c r="B36" s="3237"/>
      <c r="C36" s="1182" t="s">
        <v>1649</v>
      </c>
    </row>
    <row r="37" spans="1:3" ht="14.25">
      <c r="A37" s="3242"/>
      <c r="B37" s="3238"/>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7">
        <f ca="1">TODAY()</f>
        <v>43332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44395</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2966</v>
      </c>
      <c r="B12" s="2343">
        <v>1120110054</v>
      </c>
      <c r="C12" s="3005">
        <v>43937</v>
      </c>
      <c r="D12" s="2343" t="s">
        <v>2966</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2568</v>
      </c>
      <c r="B15" s="2343">
        <v>1120070085</v>
      </c>
      <c r="C15" s="3005">
        <v>43814</v>
      </c>
      <c r="D15" s="2343" t="s">
        <v>2568</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44339</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2052</v>
      </c>
      <c r="B24" s="2345" t="s">
        <v>2052</v>
      </c>
      <c r="C24" s="3005"/>
      <c r="D24" s="3007" t="s">
        <v>2052</v>
      </c>
      <c r="E24" s="2345" t="s">
        <v>2052</v>
      </c>
      <c r="F24" s="2346"/>
    </row>
    <row r="25" spans="1:7" ht="20.25" customHeight="1">
      <c r="A25" s="3247" t="s">
        <v>1927</v>
      </c>
      <c r="B25" s="3247"/>
      <c r="C25" s="3247"/>
      <c r="D25" s="3247"/>
      <c r="E25" s="3247"/>
      <c r="F25" s="3247"/>
      <c r="G25" s="3247"/>
    </row>
    <row r="26" spans="1:7" ht="20.25" customHeight="1">
      <c r="A26" s="3248" t="s">
        <v>1928</v>
      </c>
      <c r="B26" s="3248"/>
      <c r="C26" s="3248"/>
      <c r="D26" s="3248" t="s">
        <v>1929</v>
      </c>
      <c r="E26" s="3248"/>
      <c r="F26" s="3248"/>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2932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6" sqref="A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130</v>
      </c>
      <c r="C1" s="1550" t="s">
        <v>1707</v>
      </c>
      <c r="D1" s="6" t="s">
        <v>131</v>
      </c>
      <c r="E1" s="6" t="s">
        <v>132</v>
      </c>
      <c r="F1" s="6" t="s">
        <v>133</v>
      </c>
      <c r="G1" s="6" t="s">
        <v>134</v>
      </c>
      <c r="H1" s="6" t="s">
        <v>135</v>
      </c>
      <c r="I1" s="6" t="s">
        <v>136</v>
      </c>
      <c r="J1" s="6" t="s">
        <v>137</v>
      </c>
      <c r="K1" s="6" t="s">
        <v>138</v>
      </c>
      <c r="L1" s="6" t="s">
        <v>139</v>
      </c>
      <c r="M1" s="6" t="s">
        <v>140</v>
      </c>
      <c r="N1" s="6" t="s">
        <v>141</v>
      </c>
      <c r="O1" s="6" t="s">
        <v>142</v>
      </c>
      <c r="P1" s="6" t="s">
        <v>143</v>
      </c>
      <c r="Q1" s="2583" t="s">
        <v>2539</v>
      </c>
      <c r="R1" s="2582" t="s">
        <v>2533</v>
      </c>
      <c r="S1" s="6" t="s">
        <v>144</v>
      </c>
      <c r="T1" s="7" t="s">
        <v>145</v>
      </c>
      <c r="U1" s="6" t="s">
        <v>146</v>
      </c>
      <c r="V1" s="6" t="s">
        <v>147</v>
      </c>
      <c r="W1" s="1004" t="s">
        <v>872</v>
      </c>
    </row>
    <row r="2" spans="1:23">
      <c r="A2" s="8" t="s">
        <v>73</v>
      </c>
      <c r="B2" s="8" t="s">
        <v>148</v>
      </c>
      <c r="C2" s="1551" t="s">
        <v>1708</v>
      </c>
      <c r="D2" s="9" t="s">
        <v>74</v>
      </c>
      <c r="E2" s="9" t="s">
        <v>125</v>
      </c>
      <c r="F2" s="9" t="s">
        <v>126</v>
      </c>
      <c r="G2" s="9">
        <v>40</v>
      </c>
      <c r="H2" s="9" t="s">
        <v>127</v>
      </c>
      <c r="I2" s="9" t="s">
        <v>128</v>
      </c>
      <c r="J2" s="9" t="s">
        <v>129</v>
      </c>
      <c r="K2" s="9" t="s">
        <v>75</v>
      </c>
      <c r="L2" s="9" t="s">
        <v>75</v>
      </c>
      <c r="M2" s="9" t="s">
        <v>75</v>
      </c>
      <c r="N2" s="9" t="s">
        <v>75</v>
      </c>
      <c r="O2" s="9" t="s">
        <v>75</v>
      </c>
      <c r="P2" s="1006" t="s">
        <v>878</v>
      </c>
      <c r="Q2" s="9" t="s">
        <v>75</v>
      </c>
      <c r="R2" s="1006" t="s">
        <v>2534</v>
      </c>
      <c r="S2" s="9" t="s">
        <v>75</v>
      </c>
      <c r="T2" s="9" t="s">
        <v>76</v>
      </c>
      <c r="U2" s="9" t="s">
        <v>75</v>
      </c>
      <c r="V2" s="9" t="s">
        <v>77</v>
      </c>
      <c r="W2" s="9" t="s">
        <v>873</v>
      </c>
    </row>
    <row r="3" spans="1:23">
      <c r="A3" s="8" t="s">
        <v>78</v>
      </c>
      <c r="B3" s="10" t="s">
        <v>149</v>
      </c>
      <c r="C3" s="1552"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2535</v>
      </c>
      <c r="S3" s="9" t="s">
        <v>84</v>
      </c>
      <c r="T3" s="9" t="s">
        <v>85</v>
      </c>
      <c r="U3" s="9" t="s">
        <v>84</v>
      </c>
      <c r="V3" s="9" t="s">
        <v>86</v>
      </c>
      <c r="W3" s="9" t="s">
        <v>874</v>
      </c>
    </row>
    <row r="4" spans="1:23">
      <c r="A4" s="1149" t="s">
        <v>3128</v>
      </c>
      <c r="B4" s="8" t="s">
        <v>150</v>
      </c>
      <c r="C4" s="1551" t="s">
        <v>1710</v>
      </c>
      <c r="D4" s="9" t="s">
        <v>1994</v>
      </c>
      <c r="E4" s="9" t="s">
        <v>87</v>
      </c>
      <c r="F4" s="9" t="s">
        <v>88</v>
      </c>
      <c r="G4" s="9">
        <v>70</v>
      </c>
      <c r="H4" s="9" t="s">
        <v>89</v>
      </c>
      <c r="I4" s="9" t="s">
        <v>90</v>
      </c>
      <c r="K4" s="9" t="s">
        <v>91</v>
      </c>
      <c r="L4" s="9" t="s">
        <v>91</v>
      </c>
      <c r="M4" s="9" t="s">
        <v>91</v>
      </c>
      <c r="N4" s="9" t="s">
        <v>91</v>
      </c>
      <c r="O4" s="9" t="s">
        <v>91</v>
      </c>
      <c r="P4" s="1006" t="s">
        <v>758</v>
      </c>
      <c r="Q4" s="9" t="s">
        <v>91</v>
      </c>
      <c r="R4" s="1006" t="s">
        <v>2536</v>
      </c>
      <c r="S4" s="9" t="s">
        <v>91</v>
      </c>
      <c r="T4" s="9" t="s">
        <v>92</v>
      </c>
      <c r="U4" s="9" t="s">
        <v>91</v>
      </c>
      <c r="W4" s="9" t="s">
        <v>875</v>
      </c>
    </row>
    <row r="5" spans="1:23">
      <c r="A5" s="1149" t="s">
        <v>3130</v>
      </c>
      <c r="B5" s="8" t="s">
        <v>151</v>
      </c>
      <c r="C5" s="1551" t="s">
        <v>1711</v>
      </c>
      <c r="F5" s="9" t="s">
        <v>93</v>
      </c>
      <c r="H5" s="9" t="s">
        <v>70</v>
      </c>
      <c r="I5" s="9" t="s">
        <v>94</v>
      </c>
      <c r="K5" s="9" t="s">
        <v>95</v>
      </c>
      <c r="L5" s="9" t="s">
        <v>95</v>
      </c>
      <c r="M5" s="9" t="s">
        <v>95</v>
      </c>
      <c r="N5" s="9" t="s">
        <v>95</v>
      </c>
      <c r="O5" s="9" t="s">
        <v>95</v>
      </c>
      <c r="P5" s="1006" t="s">
        <v>544</v>
      </c>
      <c r="Q5" s="9" t="s">
        <v>95</v>
      </c>
      <c r="R5" s="1006" t="s">
        <v>2537</v>
      </c>
      <c r="S5" s="9" t="s">
        <v>95</v>
      </c>
      <c r="T5" s="9" t="s">
        <v>96</v>
      </c>
      <c r="U5" s="9" t="s">
        <v>95</v>
      </c>
      <c r="W5" s="9" t="s">
        <v>876</v>
      </c>
    </row>
    <row r="6" spans="1:23">
      <c r="A6" s="8" t="s">
        <v>97</v>
      </c>
      <c r="B6" s="1149" t="s">
        <v>1639</v>
      </c>
      <c r="C6" s="1553" t="s">
        <v>1712</v>
      </c>
      <c r="F6" s="9" t="s">
        <v>71</v>
      </c>
      <c r="H6" s="9" t="s">
        <v>72</v>
      </c>
      <c r="I6" s="9" t="s">
        <v>98</v>
      </c>
      <c r="K6" s="9" t="s">
        <v>99</v>
      </c>
      <c r="L6" s="9" t="s">
        <v>99</v>
      </c>
      <c r="M6" s="9" t="s">
        <v>99</v>
      </c>
      <c r="N6" s="9" t="s">
        <v>99</v>
      </c>
      <c r="O6" s="9" t="s">
        <v>99</v>
      </c>
      <c r="P6" s="1006" t="s">
        <v>879</v>
      </c>
      <c r="Q6" s="9" t="s">
        <v>99</v>
      </c>
      <c r="R6" s="1006" t="s">
        <v>2538</v>
      </c>
      <c r="S6" s="9" t="s">
        <v>99</v>
      </c>
      <c r="T6" s="9"/>
      <c r="U6" s="9" t="s">
        <v>99</v>
      </c>
      <c r="W6" s="9" t="s">
        <v>877</v>
      </c>
    </row>
    <row r="7" spans="1:23">
      <c r="A7" s="8" t="s">
        <v>100</v>
      </c>
      <c r="B7" s="8" t="s">
        <v>101</v>
      </c>
      <c r="C7" s="1551" t="s">
        <v>1713</v>
      </c>
      <c r="F7" s="9" t="s">
        <v>152</v>
      </c>
      <c r="H7" s="9" t="s">
        <v>102</v>
      </c>
      <c r="I7" s="9" t="s">
        <v>103</v>
      </c>
    </row>
    <row r="8" spans="1:23">
      <c r="A8" s="8" t="s">
        <v>104</v>
      </c>
      <c r="B8" s="8" t="s">
        <v>105</v>
      </c>
      <c r="C8" s="1551" t="s">
        <v>1714</v>
      </c>
      <c r="F8" s="9" t="s">
        <v>153</v>
      </c>
      <c r="H8" s="9"/>
      <c r="I8" s="9" t="s">
        <v>106</v>
      </c>
    </row>
    <row r="9" spans="1:23">
      <c r="A9" s="8" t="s">
        <v>107</v>
      </c>
      <c r="B9" s="8" t="s">
        <v>154</v>
      </c>
      <c r="C9" s="1551" t="s">
        <v>1715</v>
      </c>
      <c r="F9" s="9" t="s">
        <v>108</v>
      </c>
      <c r="H9" s="9"/>
    </row>
    <row r="10" spans="1:23">
      <c r="A10" s="8" t="s">
        <v>109</v>
      </c>
      <c r="B10" s="8" t="s">
        <v>155</v>
      </c>
      <c r="C10" s="1551" t="s">
        <v>1716</v>
      </c>
      <c r="F10" s="9" t="s">
        <v>6</v>
      </c>
    </row>
    <row r="11" spans="1:23">
      <c r="A11" s="8" t="s">
        <v>110</v>
      </c>
      <c r="B11" s="8" t="s">
        <v>156</v>
      </c>
      <c r="C11" s="1551" t="s">
        <v>1717</v>
      </c>
    </row>
    <row r="12" spans="1:23">
      <c r="A12" s="8" t="s">
        <v>111</v>
      </c>
      <c r="B12" s="8" t="s">
        <v>157</v>
      </c>
      <c r="C12" s="1551" t="s">
        <v>1718</v>
      </c>
    </row>
    <row r="13" spans="1:23">
      <c r="A13" s="8" t="s">
        <v>112</v>
      </c>
      <c r="B13" s="8" t="s">
        <v>158</v>
      </c>
      <c r="C13" s="1551" t="s">
        <v>1719</v>
      </c>
    </row>
    <row r="14" spans="1:23">
      <c r="A14" s="8" t="s">
        <v>113</v>
      </c>
      <c r="B14" s="8" t="s">
        <v>159</v>
      </c>
      <c r="C14" s="1554" t="s">
        <v>1895</v>
      </c>
    </row>
    <row r="15" spans="1:23">
      <c r="A15" s="8" t="s">
        <v>114</v>
      </c>
      <c r="B15" s="8" t="s">
        <v>1680</v>
      </c>
      <c r="C15" s="1554"/>
    </row>
    <row r="16" spans="1:23">
      <c r="A16" s="8" t="s">
        <v>115</v>
      </c>
      <c r="B16" s="8" t="s">
        <v>1681</v>
      </c>
      <c r="C16" s="1554"/>
    </row>
    <row r="17" spans="1:3">
      <c r="A17" s="8" t="s">
        <v>116</v>
      </c>
      <c r="B17" s="8" t="s">
        <v>1682</v>
      </c>
      <c r="C17" s="1554"/>
    </row>
    <row r="18" spans="1:3">
      <c r="A18" s="8" t="s">
        <v>117</v>
      </c>
      <c r="B18" s="3109" t="s">
        <v>2944</v>
      </c>
      <c r="C18" s="1554"/>
    </row>
    <row r="19" spans="1:3">
      <c r="A19" s="8" t="s">
        <v>118</v>
      </c>
      <c r="B19" s="3109" t="s">
        <v>2952</v>
      </c>
      <c r="C19" s="1554"/>
    </row>
    <row r="20" spans="1:3">
      <c r="A20" s="8" t="s">
        <v>119</v>
      </c>
      <c r="B20" s="8" t="s">
        <v>1640</v>
      </c>
      <c r="C20" s="1554"/>
    </row>
    <row r="21" spans="1:3">
      <c r="A21" s="8" t="s">
        <v>120</v>
      </c>
      <c r="B21" s="8" t="s">
        <v>1640</v>
      </c>
      <c r="C21" s="1554"/>
    </row>
    <row r="22" spans="1:3">
      <c r="A22" s="8" t="s">
        <v>121</v>
      </c>
      <c r="B22" s="8" t="s">
        <v>1640</v>
      </c>
      <c r="C22" s="1554"/>
    </row>
    <row r="23" spans="1:3">
      <c r="A23" s="8" t="s">
        <v>122</v>
      </c>
      <c r="B23" s="8" t="s">
        <v>1640</v>
      </c>
      <c r="C23" s="1554"/>
    </row>
    <row r="24" spans="1:3">
      <c r="A24" s="8" t="s">
        <v>12</v>
      </c>
      <c r="B24" s="8" t="s">
        <v>1640</v>
      </c>
      <c r="C24" s="1554"/>
    </row>
    <row r="25" spans="1:3">
      <c r="A25" s="8" t="s">
        <v>123</v>
      </c>
      <c r="B25" s="8" t="s">
        <v>1640</v>
      </c>
      <c r="C25" s="1554"/>
    </row>
    <row r="26" spans="1:3">
      <c r="A26" s="8" t="s">
        <v>124</v>
      </c>
      <c r="B26" s="8" t="s">
        <v>1640</v>
      </c>
      <c r="C26" s="1554"/>
    </row>
    <row r="27" spans="1:3">
      <c r="A27" s="8" t="s">
        <v>1640</v>
      </c>
      <c r="B27" s="8" t="s">
        <v>1640</v>
      </c>
      <c r="C27" s="1554"/>
    </row>
    <row r="28" spans="1:3">
      <c r="A28" s="8" t="s">
        <v>1640</v>
      </c>
      <c r="B28" s="8" t="s">
        <v>1640</v>
      </c>
      <c r="C28" s="1554"/>
    </row>
    <row r="29" spans="1:3">
      <c r="A29" s="8" t="s">
        <v>1640</v>
      </c>
      <c r="B29" s="8" t="s">
        <v>1640</v>
      </c>
      <c r="C29" s="1554"/>
    </row>
    <row r="30" spans="1:3">
      <c r="A30" s="8" t="s">
        <v>1640</v>
      </c>
      <c r="B30" s="8" t="s">
        <v>1640</v>
      </c>
      <c r="C30" s="1554"/>
    </row>
    <row r="31" spans="1:3">
      <c r="A31" s="8" t="s">
        <v>1640</v>
      </c>
      <c r="B31" s="8" t="s">
        <v>1640</v>
      </c>
      <c r="C31" s="1554"/>
    </row>
    <row r="32" spans="1:3">
      <c r="A32" s="8" t="s">
        <v>1640</v>
      </c>
      <c r="B32" s="8" t="s">
        <v>1640</v>
      </c>
      <c r="C32" s="1554"/>
    </row>
    <row r="33" spans="1:3">
      <c r="A33" s="8" t="s">
        <v>1640</v>
      </c>
      <c r="B33" s="8" t="s">
        <v>1640</v>
      </c>
      <c r="C33" s="1554"/>
    </row>
    <row r="34" spans="1:3">
      <c r="A34" s="8" t="s">
        <v>1640</v>
      </c>
      <c r="B34" s="8" t="s">
        <v>1640</v>
      </c>
      <c r="C34" s="1554"/>
    </row>
    <row r="35" spans="1:3">
      <c r="A35" s="8" t="s">
        <v>1640</v>
      </c>
      <c r="B35" s="8" t="s">
        <v>1640</v>
      </c>
      <c r="C35" s="1554"/>
    </row>
    <row r="36" spans="1:3">
      <c r="A36" s="8" t="s">
        <v>1640</v>
      </c>
      <c r="B36" s="8" t="s">
        <v>1640</v>
      </c>
      <c r="C36" s="1554"/>
    </row>
    <row r="37" spans="1:3">
      <c r="A37" s="8" t="s">
        <v>1640</v>
      </c>
      <c r="B37" s="8" t="s">
        <v>1640</v>
      </c>
      <c r="C37" s="1554"/>
    </row>
    <row r="38" spans="1:3">
      <c r="A38" s="8" t="s">
        <v>1640</v>
      </c>
      <c r="B38" s="8" t="s">
        <v>1640</v>
      </c>
      <c r="C38" s="1554"/>
    </row>
    <row r="39" spans="1:3">
      <c r="A39" s="8" t="s">
        <v>1640</v>
      </c>
      <c r="B39" s="8" t="s">
        <v>1640</v>
      </c>
      <c r="C39" s="1554"/>
    </row>
    <row r="40" spans="1:3">
      <c r="A40" s="8" t="s">
        <v>1640</v>
      </c>
      <c r="B40" s="8" t="s">
        <v>1640</v>
      </c>
      <c r="C40" s="1554"/>
    </row>
    <row r="41" spans="1:3">
      <c r="A41" s="8" t="s">
        <v>1640</v>
      </c>
      <c r="B41" s="8" t="s">
        <v>1640</v>
      </c>
      <c r="C41" s="1554"/>
    </row>
    <row r="42" spans="1:3">
      <c r="A42" s="8" t="s">
        <v>1640</v>
      </c>
      <c r="B42" s="8" t="s">
        <v>1640</v>
      </c>
      <c r="C42" s="1554"/>
    </row>
    <row r="43" spans="1:3">
      <c r="A43" s="8" t="s">
        <v>1640</v>
      </c>
      <c r="B43" s="8" t="s">
        <v>1640</v>
      </c>
      <c r="C43" s="1554"/>
    </row>
    <row r="44" spans="1:3">
      <c r="A44" s="8" t="s">
        <v>1640</v>
      </c>
      <c r="B44" s="8" t="s">
        <v>1640</v>
      </c>
      <c r="C44" s="1554"/>
    </row>
    <row r="45" spans="1:3">
      <c r="A45" s="8" t="s">
        <v>1640</v>
      </c>
      <c r="B45" s="8" t="s">
        <v>1640</v>
      </c>
      <c r="C45" s="1554"/>
    </row>
    <row r="46" spans="1:3">
      <c r="A46" s="8" t="s">
        <v>1640</v>
      </c>
      <c r="B46" s="8" t="s">
        <v>1640</v>
      </c>
      <c r="C46" s="1554"/>
    </row>
    <row r="47" spans="1:3">
      <c r="A47" s="8" t="s">
        <v>1640</v>
      </c>
      <c r="B47" s="8" t="s">
        <v>1640</v>
      </c>
      <c r="C47" s="1554"/>
    </row>
    <row r="48" spans="1:3">
      <c r="A48" s="8" t="s">
        <v>1640</v>
      </c>
      <c r="B48" s="8" t="s">
        <v>1640</v>
      </c>
      <c r="C48" s="1554"/>
    </row>
    <row r="49" spans="1:5">
      <c r="A49" s="8" t="s">
        <v>1640</v>
      </c>
      <c r="B49" s="8" t="s">
        <v>1640</v>
      </c>
      <c r="C49" s="1554"/>
    </row>
    <row r="50" spans="1:5">
      <c r="A50" s="8" t="s">
        <v>1640</v>
      </c>
      <c r="B50" s="8" t="s">
        <v>1640</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城投滨海房地产经营有限公司拟使用天津市滨海新区开发区海滨大道以西、新港四号路以北远洋琨庭项目110地块住宅、商业用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9"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13日，在规划利用条件下、设定土地开发程度为红线外“七通”、宗地内场地平整，设定用途为住宅、地下车库，剩余土地使用年限为住宅55.7年、地下车库35.7年的出让国有建设用地使用权价格。</v>
      </c>
      <c r="D53" s="1768"/>
      <c r="E53" s="1768"/>
    </row>
    <row r="54" spans="1:5">
      <c r="A54" s="3249"/>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9"/>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9"/>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9"/>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开发后案例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2018-08-16T10:07:27Z</cp:lastPrinted>
  <dcterms:created xsi:type="dcterms:W3CDTF">2015-07-13T07:17:23Z</dcterms:created>
  <dcterms:modified xsi:type="dcterms:W3CDTF">2018-08-20T08:21:40Z</dcterms:modified>
</cp:coreProperties>
</file>