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基准地价修正" sheetId="43" r:id="rId21"/>
    <sheet name="土地比较法-工业" sheetId="40" r:id="rId22"/>
    <sheet name="成本法 (元)" sheetId="69" state="hidden" r:id="rId23"/>
    <sheet name="假设开发法" sheetId="12" state="hidden" r:id="rId24"/>
    <sheet name="土地案例" sheetId="79" r:id="rId25"/>
    <sheet name="年期修正系数" sheetId="80" r:id="rId26"/>
    <sheet name="修正" sheetId="45"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1" r:id="rId48"/>
  </sheets>
  <externalReferences>
    <externalReference r:id="rId49"/>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21">'土地比较法-工业'!$A$1:$K$61,'土地比较法-工业'!$A$64:$M$121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 localSheetId="25">[1]区片价!$P$1:$P$40</definedName>
    <definedName name="八级">区片价!$O$1:$O$40</definedName>
    <definedName name="办公层高" localSheetId="25">'[2]比较法-办公'!$B$119:$M$119</definedName>
    <definedName name="办公层高">'比较法-办公'!$B$119:$M$119</definedName>
    <definedName name="办公朝向" localSheetId="25">'[2]比较法-办公'!$B$91:$M$91</definedName>
    <definedName name="办公朝向">'比较法-办公'!$B$91:$M$91</definedName>
    <definedName name="办公道路级别" localSheetId="25">'[2]比较法-办公'!$B$87:$M$87</definedName>
    <definedName name="办公道路级别">'比较法-办公'!$B$87:$M$87</definedName>
    <definedName name="办公公共部分装修" localSheetId="25">'[2]比较法-办公'!$B$108:$M$108</definedName>
    <definedName name="办公公共部分装修">'比较法-办公'!$B$108:$M$108</definedName>
    <definedName name="办公基础设施水平" localSheetId="25">'[2]比较法-办公'!$B$117:$M$117</definedName>
    <definedName name="办公基础设施水平">'比较法-办公'!$B$117:$M$117</definedName>
    <definedName name="办公集聚程度" localSheetId="25">[2]定义!$M$1:$M$6</definedName>
    <definedName name="办公集聚程度">定义!$M$1:$M$6</definedName>
    <definedName name="办公建筑结构" localSheetId="25">'[2]比较法-办公'!$B$106:$M$106</definedName>
    <definedName name="办公建筑结构">'比较法-办公'!$B$106:$M$106</definedName>
    <definedName name="办公建筑类型" localSheetId="25">'[2]比较法-办公'!$B$101:$M$101</definedName>
    <definedName name="办公建筑类型">'比较法-办公'!$B$101:$M$101</definedName>
    <definedName name="办公交易情况" localSheetId="25">'[2]比较法-办公'!$A$62:$M$62</definedName>
    <definedName name="办公交易情况">'比较法-办公'!$A$62:$M$62</definedName>
    <definedName name="办公楼层" localSheetId="25">'[2]比较法-办公'!$B$89:$M$89</definedName>
    <definedName name="办公楼层">'比较法-办公'!$B$89:$M$89</definedName>
    <definedName name="办公内部装修" localSheetId="25">'[2]比较法-办公'!$B$123:$M$123</definedName>
    <definedName name="办公内部装修">'比较法-办公'!$B$123:$M$123</definedName>
    <definedName name="办公物业管理" localSheetId="25">'[2]比较法-办公'!$B$115:$M$115</definedName>
    <definedName name="办公物业管理">'比较法-办公'!$B$115:$M$115</definedName>
    <definedName name="办公用途" localSheetId="25">'[2]比较法-办公'!$B$64:$M$64</definedName>
    <definedName name="办公用途">'比较法-办公'!$B$64:$M$64</definedName>
    <definedName name="仓储公共部分装修" localSheetId="25">'[2]比较法-仓储'!$B$77:$M$77</definedName>
    <definedName name="仓储公共部分装修">'比较法-仓储'!$B$77:$M$77</definedName>
    <definedName name="仓储交易情况" localSheetId="25">'[2]比较法-仓储'!$A$49:$M$49</definedName>
    <definedName name="仓储交易情况">'比较法-仓储'!$A$49:$M$49</definedName>
    <definedName name="仓储楼层" localSheetId="25">'[2]比较法-仓储'!$B$69:$M$69</definedName>
    <definedName name="仓储楼层">'比较法-仓储'!$B$69:$M$69</definedName>
    <definedName name="仓储物业等级" localSheetId="25">'[2]比较法-仓储'!$B$82:$M$82</definedName>
    <definedName name="仓储物业等级">'比较法-仓储'!$B$82:$M$82</definedName>
    <definedName name="仓储用途" localSheetId="25">'[2]比较法-仓储'!$B$51:$M$51</definedName>
    <definedName name="仓储用途">'比较法-仓储'!$B$51:$M$51</definedName>
    <definedName name="产业集聚程度" localSheetId="25">[2]定义!$N$1:$N$6</definedName>
    <definedName name="产业集聚程度">定义!$N$1:$N$6</definedName>
    <definedName name="车位公共部分装修" localSheetId="25">'[2]比较法-车位'!$B$83:$M$83</definedName>
    <definedName name="车位公共部分装修">'比较法-车位'!$B$83:$M$83</definedName>
    <definedName name="车位交易情况" localSheetId="25">'[2]比较法-车位'!$A$51:$M$51</definedName>
    <definedName name="车位交易情况">'比较法-车位'!$A$51:$M$51</definedName>
    <definedName name="车位类型" localSheetId="25">'[2]比较法-车位'!$B$93:$M$93</definedName>
    <definedName name="车位类型">'比较法-车位'!$B$93:$M$93</definedName>
    <definedName name="车位楼层" localSheetId="25">'[2]比较法-车位'!$B$71:$M$71</definedName>
    <definedName name="车位楼层">'比较法-车位'!$B$71:$M$71</definedName>
    <definedName name="车位配套类型" localSheetId="25">'[2]比较法-车位'!$B$79:$M$79</definedName>
    <definedName name="车位配套类型">'比较法-车位'!$B$79:$M$79</definedName>
    <definedName name="车位物业等级" localSheetId="25">'[2]比较法-车位'!$B$88:$M$88</definedName>
    <definedName name="车位物业等级">'比较法-车位'!$B$88:$M$88</definedName>
    <definedName name="车位用途" localSheetId="25">'[2]比较法-车位'!$B$53:$M$53</definedName>
    <definedName name="车位用途">'比较法-车位'!$B$53:$M$53</definedName>
    <definedName name="城镇土地纳税等级分级范围" localSheetId="25">'[2]数据-取费表'!$A$53:$A$63</definedName>
    <definedName name="城镇土地纳税等级分级范围">'数据-取费表'!$A$53:$A$63</definedName>
    <definedName name="单价内涵" localSheetId="25">[2]定义!$V$1:$V$3</definedName>
    <definedName name="单价内涵">定义!$V$1:$V$3</definedName>
    <definedName name="地类判定" localSheetId="25">[2]定义!$H$1:$H$9</definedName>
    <definedName name="地类判定">定义!$H$1:$H$9</definedName>
    <definedName name="二级" localSheetId="25">[1]区片价!$J$1:$J$20</definedName>
    <definedName name="二级">区片价!$I$1:$I$20</definedName>
    <definedName name="二级分类" localSheetId="25">[2]修正!$C$17:$C$39</definedName>
    <definedName name="二级分类">修正!$C$17:$C$39</definedName>
    <definedName name="法定最高年限" localSheetId="25">[3]定义!$F$2:$F$4</definedName>
    <definedName name="法定最高年限">定义!$G$1:$G$4</definedName>
    <definedName name="工业公共部分装修" localSheetId="25">'[2]比较法-工业'!$B$95:$M$95</definedName>
    <definedName name="工业公共部分装修">'比较法-工业'!$B$95:$M$95</definedName>
    <definedName name="工业基础设施水平" localSheetId="25">'[2]比较法-工业'!$B$102:$M$102</definedName>
    <definedName name="工业基础设施水平">'比较法-工业'!$B$102:$M$102</definedName>
    <definedName name="工业建筑结构" localSheetId="25">'[2]比较法-工业'!$B$93:$M$93</definedName>
    <definedName name="工业建筑结构">'比较法-工业'!$B$93:$M$93</definedName>
    <definedName name="工业建筑类型" localSheetId="25">'[2]比较法-工业'!$B$88:$M$88</definedName>
    <definedName name="工业建筑类型">'比较法-工业'!$B$88:$M$88</definedName>
    <definedName name="工业交易情况" localSheetId="25">'[2]比较法-工业'!$A$55:$M$55</definedName>
    <definedName name="工业交易情况">'比较法-工业'!$A$55:$M$55</definedName>
    <definedName name="工业内部装修" localSheetId="25">'[2]比较法-工业'!$B$104:$M$104</definedName>
    <definedName name="工业内部装修">'比较法-工业'!$B$104:$M$104</definedName>
    <definedName name="工业物业管理" localSheetId="25">'[2]比较法-工业'!$B$100:$M$100</definedName>
    <definedName name="工业物业管理">'比较法-工业'!$B$100:$M$100</definedName>
    <definedName name="工业用途" localSheetId="25">'[2]比较法-工业'!$B$57:$M$57</definedName>
    <definedName name="工业用途">'比较法-工业'!$B$57:$M$57</definedName>
    <definedName name="公共配套设施" localSheetId="25">[2]定义!$Q$1:$Q$6</definedName>
    <definedName name="公共配套设施">定义!$Q$1:$Q$6</definedName>
    <definedName name="估价方法" localSheetId="25">[2]定义!$B$1:$B$50</definedName>
    <definedName name="估价方法">定义!$B$1:$B$50</definedName>
    <definedName name="环境" localSheetId="25">[2]定义!$S$1:$S$6</definedName>
    <definedName name="环境">定义!$S$1:$S$6</definedName>
    <definedName name="基础设施水平" localSheetId="25">[2]定义!$R$1:$R$6</definedName>
    <definedName name="基础设施水平">定义!$R$1:$R$6</definedName>
    <definedName name="季度" localSheetId="25">[1]基准地价!$N$19:$AB$19</definedName>
    <definedName name="季度">基准地价修正!$Q$19:$AD$19</definedName>
    <definedName name="季度2014">[1]地价!$A$2:$A$31</definedName>
    <definedName name="价值类型2" localSheetId="25">[2]定义!$B$54:$B$56</definedName>
    <definedName name="价值类型2">定义!$B$54:$B$56</definedName>
    <definedName name="交通便捷度" localSheetId="25">[2]定义!$O$1:$O$6</definedName>
    <definedName name="交通便捷度">定义!$O$1:$O$6</definedName>
    <definedName name="九级" localSheetId="25">[1]区片价!$Q$1:$Q$46</definedName>
    <definedName name="九级">区片价!$P$1:$P$46</definedName>
    <definedName name="居住社区成熟度" localSheetId="25">[2]定义!$K$1:$K$6</definedName>
    <definedName name="居住社区成熟度">定义!$K$1:$K$6</definedName>
    <definedName name="类别" localSheetId="25">[2]定义!$J$1:$J$3</definedName>
    <definedName name="类别">定义!$J$1:$J$3</definedName>
    <definedName name="临街状况" localSheetId="25">[2]定义!$T$1:$T$5</definedName>
    <definedName name="临街状况">定义!$T$1:$T$5</definedName>
    <definedName name="六级" localSheetId="25">[1]区片价!$N$1:$N$49</definedName>
    <definedName name="六级">区片价!$M$1:$M$49</definedName>
    <definedName name="内部装修维护情况" localSheetId="25">[2]定义!$U$1:$U$6</definedName>
    <definedName name="内部装修维护情况">定义!$U$1:$U$6</definedName>
    <definedName name="判定" localSheetId="25">[2]定义!$D$1:$D$4</definedName>
    <definedName name="判定" localSheetId="29">[4]定义!$D$1:$D$4</definedName>
    <definedName name="判定">定义!$D$1:$D$4</definedName>
    <definedName name="七级" localSheetId="25">[1]区片价!$O$1:$O$49</definedName>
    <definedName name="七级">区片价!$N$1:$N$49</definedName>
    <definedName name="七通一平" localSheetId="25">[2]修正!$A$6:$A$14</definedName>
    <definedName name="七通一平">修正!$A$6:$A$14</definedName>
    <definedName name="区域土地利用方向" localSheetId="25">[2]定义!$P$1:$P$6</definedName>
    <definedName name="区域土地利用方向">定义!$P$1:$P$6</definedName>
    <definedName name="三级" localSheetId="25">[1]区片价!$K$1:$K$21</definedName>
    <definedName name="三级">区片价!$J$1:$J$21</definedName>
    <definedName name="商业层高" localSheetId="25">'[2]比较法-商业'!$B$116:$M$116</definedName>
    <definedName name="商业层高">'比较法-商业'!$B$116:$M$116</definedName>
    <definedName name="商业成新度" localSheetId="25">'[1]不动产比较法-商业'!$B$109:$M$109</definedName>
    <definedName name="商业成新度">'比较法-商业'!$B$109:$M$109</definedName>
    <definedName name="商业繁华度" localSheetId="25">[2]定义!$L$1:$L$6</definedName>
    <definedName name="商业繁华度">定义!$L$1:$L$6</definedName>
    <definedName name="商业公共部分装修" localSheetId="25">'[2]比较法-商业'!$B$107:$M$107</definedName>
    <definedName name="商业公共部分装修">'比较法-商业'!$B$107:$M$107</definedName>
    <definedName name="商业基础设施水平" localSheetId="25">'[2]比较法-商业'!$B$112:$M$112</definedName>
    <definedName name="商业基础设施水平">'比较法-商业'!$B$112:$M$112</definedName>
    <definedName name="商业建筑结构" localSheetId="25">'[2]比较法-商业'!$B$105:$M$105</definedName>
    <definedName name="商业建筑结构">'比较法-商业'!$B$105:$M$105</definedName>
    <definedName name="商业交易情况" localSheetId="25">'[2]比较法-商业'!$A$61:$M$61</definedName>
    <definedName name="商业交易情况">'比较法-商业'!$A$61:$M$61</definedName>
    <definedName name="商业街名称" localSheetId="25">[2]修正!$C$59:$C$119</definedName>
    <definedName name="商业街名称">修正!$C$59:$C$119</definedName>
    <definedName name="商业进深比" localSheetId="25">'[2]比较法-商业'!$B$120:$M$120</definedName>
    <definedName name="商业进深比">'比较法-商业'!$B$120:$M$120</definedName>
    <definedName name="商业类型" localSheetId="25">'[2]比较法-商业'!$B$100:$M$100</definedName>
    <definedName name="商业类型">'比较法-商业'!$B$100:$M$100</definedName>
    <definedName name="商业临街状况" localSheetId="25">'[2]比较法-商业'!$B$86:$M$86</definedName>
    <definedName name="商业临街状况">'比较法-商业'!$B$86:$M$86</definedName>
    <definedName name="商业楼层" localSheetId="25">'[2]比较法-商业'!$B$92:$M$92</definedName>
    <definedName name="商业楼层">'比较法-商业'!$B$92:$M$92</definedName>
    <definedName name="商业内部装修" localSheetId="25">'[2]比较法-商业'!$B$122:$M$122</definedName>
    <definedName name="商业内部装修">'比较法-商业'!$B$122:$M$122</definedName>
    <definedName name="商业人流量" localSheetId="25">'[2]比较法-商业'!$B$90:$M$90</definedName>
    <definedName name="商业人流量">'比较法-商业'!$B$90:$M$90</definedName>
    <definedName name="商业业态" localSheetId="25">'[2]比较法-商业'!$B$114:$M$114</definedName>
    <definedName name="商业业态">'比较法-商业'!$B$114:$M$114</definedName>
    <definedName name="商业用途" localSheetId="25">'[2]比较法-商业'!$B$63:$M$63</definedName>
    <definedName name="商业用途">'比较法-商业'!$B$63:$M$63</definedName>
    <definedName name="十二级" localSheetId="25">[1]区片价!$T$1:$T$8</definedName>
    <definedName name="十二级">区片价!$S$1:$S$8</definedName>
    <definedName name="十级" localSheetId="25">[1]区片价!$R$1:$R$27</definedName>
    <definedName name="十级">区片价!$Q$1:$Q$27</definedName>
    <definedName name="十一级" localSheetId="25">[1]区片价!$S$1:$S$22</definedName>
    <definedName name="十一级">区片价!$R$1:$R$22</definedName>
    <definedName name="是否封闭" localSheetId="25">'[2]比较法-仓储'!$B$89:$M$89</definedName>
    <definedName name="是否封闭">'比较法-仓储'!$B$89:$M$89</definedName>
    <definedName name="是否直接入户" localSheetId="25">'[2]比较法-车位'!$B$95:$M$95</definedName>
    <definedName name="是否直接入户">'比较法-车位'!$B$95:$M$95</definedName>
    <definedName name="四级" localSheetId="25">[1]区片价!$L$1:$L$28</definedName>
    <definedName name="四级">区片价!$K$1:$K$28</definedName>
    <definedName name="套工道路等级" localSheetId="25">'[2]土地比较法-工业'!$B$97:$M$97</definedName>
    <definedName name="套工道路等级">'土地比较法-工业'!$B$97:$M$97</definedName>
    <definedName name="套工地质条件" localSheetId="25">'[2]土地比较法-工业'!$B$114:$M$114</definedName>
    <definedName name="套工地质条件">'土地比较法-工业'!$B$114:$M$114</definedName>
    <definedName name="套工工程地质条件">'[1]比较法-工业'!$B$116:$M$116</definedName>
    <definedName name="套工交易情况" localSheetId="25">'[2]土地比较法-住宅、综合'!$A$73:$M$73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25">'[2]土地比较法-工业'!$B$99:$M$99</definedName>
    <definedName name="套工土地级别">'土地比较法-工业'!$B$99:$M$99</definedName>
    <definedName name="套工用途" localSheetId="25">'[2]土地比较法-工业'!$B$70:$M$70</definedName>
    <definedName name="套工用途">'土地比较法-工业'!$B$70:$M$70</definedName>
    <definedName name="套工宗地开发程度" localSheetId="25">'[2]土地比较法-工业'!$B$112:$M$112</definedName>
    <definedName name="套工宗地开发程度">'土地比较法-工业'!$B$112:$M$112</definedName>
    <definedName name="套工宗地形状" localSheetId="25">'[2]土地比较法-工业'!$B$110:$M$110</definedName>
    <definedName name="套工宗地形状">'土地比较法-工业'!$B$110:$M$110</definedName>
    <definedName name="套综道路等级" localSheetId="25">'[2]土地比较法-住宅、综合'!$B$106:$M$106</definedName>
    <definedName name="套综道路等级">'土地比较法-住宅、综合'!$B$106:$M$106</definedName>
    <definedName name="套综工程地质条件" localSheetId="25">'[2]土地比较法-住宅、综合'!$B$125:$M$125</definedName>
    <definedName name="套综工程地质条件">'土地比较法-住宅、综合'!$B$125:$M$125</definedName>
    <definedName name="套综交易情况" localSheetId="25">'[2]土地比较法-住宅、综合'!$A$73:$M$73</definedName>
    <definedName name="套综交易情况">'土地比较法-住宅、综合'!$A$73:$M$73</definedName>
    <definedName name="套综临街宽度及深度" localSheetId="25">'[2]土地比较法-住宅、综合'!$B$121:$M$121</definedName>
    <definedName name="套综临街宽度及深度">'土地比较法-住宅、综合'!$B$121:$M$121</definedName>
    <definedName name="套综土地级别" localSheetId="25">'[2]土地比较法-住宅、综合'!$B$108:$M$108</definedName>
    <definedName name="套综土地级别">'土地比较法-住宅、综合'!$B$108:$M$108</definedName>
    <definedName name="套综用途" localSheetId="25">'[2]土地比较法-住宅、综合'!$B$75:$M$75</definedName>
    <definedName name="套综用途">'土地比较法-住宅、综合'!$B$75:$M$75</definedName>
    <definedName name="套综宗地内开发程度" localSheetId="25">'[2]土地比较法-住宅、综合'!$B$123:$M$123</definedName>
    <definedName name="套综宗地内开发程度">'土地比较法-住宅、综合'!$B$123:$M$123</definedName>
    <definedName name="套综宗地形状" localSheetId="25">'[2]土地比较法-住宅、综合'!$B$119:$M$119</definedName>
    <definedName name="套综宗地形状">'土地比较法-住宅、综合'!$B$119:$M$119</definedName>
    <definedName name="土地估价师" localSheetId="25">[1]估价师及机构信息!$D$3:$D$24</definedName>
    <definedName name="土地估价师">估价师及机构信息!$D$3:$D$24</definedName>
    <definedName name="土地级别" localSheetId="25">[2]定义!$C$1:$C$14</definedName>
    <definedName name="土地级别">定义!$C$1:$C$14</definedName>
    <definedName name="土地利用方向" localSheetId="25">[1]定义!$P$1:$P$6</definedName>
    <definedName name="土地利用方向">定义!$P$1:$P$6</definedName>
    <definedName name="土地年限区间" localSheetId="25">[2]定义!$I$1:$I$8</definedName>
    <definedName name="土地年限区间">定义!$I$1:$I$8</definedName>
    <definedName name="位置" localSheetId="25">[2]定义!$E$2:$E$4</definedName>
    <definedName name="位置">定义!$E$2:$E$4</definedName>
    <definedName name="五等判定" localSheetId="25">[2]定义!$W$1:$W$6</definedName>
    <definedName name="五等判定">定义!$W$1:$W$6</definedName>
    <definedName name="五级" localSheetId="25">[1]区片价!$M$1:$M$35</definedName>
    <definedName name="五级">区片价!$L$1:$L$35</definedName>
    <definedName name="项目类型" localSheetId="25">'[2]数据-汇总表'!$C$17:$C$26</definedName>
    <definedName name="项目类型" localSheetId="29">'[4]数据-汇总表'!$C$17:$C$26</definedName>
    <definedName name="项目类型">'数据-汇总表'!$C$17:$C$26</definedName>
    <definedName name="写字楼等级" localSheetId="25">'[2]比较法-办公'!$B$113:$M$113</definedName>
    <definedName name="写字楼等级">'比较法-办公'!$B$113:$M$113</definedName>
    <definedName name="一级" localSheetId="25">[1]区片价!$I$1:$I$6</definedName>
    <definedName name="一级">区片价!$H$1:$H$6</definedName>
    <definedName name="一修多修正项2" localSheetId="25">[2]典型户型修正!$5:$5</definedName>
    <definedName name="一修多修正项2">典型户型修正!$5:$5</definedName>
    <definedName name="一修多修正项3" localSheetId="25">[2]典型户型修正!$7:$7</definedName>
    <definedName name="一修多修正项3">典型户型修正!$7:$7</definedName>
    <definedName name="一修多修正项4" localSheetId="25">[2]典型户型修正!$9:$9</definedName>
    <definedName name="一修多修正项4">典型户型修正!$9:$9</definedName>
    <definedName name="一修多修正项5" localSheetId="25">[2]典型户型修正!$11:$11</definedName>
    <definedName name="一修多修正项5">典型户型修正!$11:$11</definedName>
    <definedName name="一修多修正项6" localSheetId="25">[2]典型户型修正!$13:$13</definedName>
    <definedName name="一修多修正项6">典型户型修正!$13:$13</definedName>
    <definedName name="一修多修正项7" localSheetId="25">[2]典型户型修正!$15:$15</definedName>
    <definedName name="一修多修正项7">典型户型修正!$15:$15</definedName>
    <definedName name="一修多修正项8" localSheetId="25">[2]典型户型修正!$17:$17</definedName>
    <definedName name="一修多修正项8">典型户型修正!$17:$17</definedName>
    <definedName name="用途类型">[1]定义!$A$1:$A$50</definedName>
    <definedName name="用途明细" localSheetId="25">[2]定义!$A$1:$A$50</definedName>
    <definedName name="用途明细">定义!$A$1:$A$50</definedName>
    <definedName name="有无电梯" localSheetId="25">'[2]比较法-仓储'!$B$84:$M$84</definedName>
    <definedName name="有无电梯">'比较法-仓储'!$B$84:$M$84</definedName>
    <definedName name="主用途" localSheetId="25">[2]定义!$F$1:$F$10</definedName>
    <definedName name="主用途">定义!$F$1:$F$10</definedName>
    <definedName name="住宅朝向" localSheetId="25">'[2]比较法-住宅'!$B$88:$M$88</definedName>
    <definedName name="住宅朝向">'比较法-住宅'!$B$88:$M$88</definedName>
    <definedName name="住宅房型" localSheetId="25">'[2]比较法-住宅'!$B$118:$M$118</definedName>
    <definedName name="住宅房型">'比较法-住宅'!$B$118:$M$118</definedName>
    <definedName name="住宅公共部分装修" localSheetId="25">'[2]比较法-住宅'!$B$109:$M$109</definedName>
    <definedName name="住宅公共部分装修">'比较法-住宅'!$B$109:$M$109</definedName>
    <definedName name="住宅基础设施水平" localSheetId="25">'[2]比较法-住宅'!$B$116:$M$116</definedName>
    <definedName name="住宅基础设施水平">'比较法-住宅'!$B$116:$M$116</definedName>
    <definedName name="住宅建筑结构" localSheetId="25">'[2]比较法-住宅'!$B$105:$M$105</definedName>
    <definedName name="住宅建筑结构">'比较法-住宅'!$B$105:$M$105</definedName>
    <definedName name="住宅建筑类型" localSheetId="25">'[2]比较法-住宅'!$B$100:$M$100</definedName>
    <definedName name="住宅建筑类型">'比较法-住宅'!$B$100:$M$100</definedName>
    <definedName name="住宅建筑品质" localSheetId="25">'[2]比较法-住宅'!$B$107:$M$107</definedName>
    <definedName name="住宅建筑品质">'比较法-住宅'!$B$107:$M$107</definedName>
    <definedName name="住宅交易情况" localSheetId="25">'[2]比较法-住宅'!$A$61:$M$61</definedName>
    <definedName name="住宅交易情况">'比较法-住宅'!$A$61:$M$61</definedName>
    <definedName name="住宅楼层" localSheetId="25">'[2]比较法-住宅'!$B$86:$M$86</definedName>
    <definedName name="住宅楼层">'比较法-住宅'!$B$86:$M$86</definedName>
    <definedName name="住宅内部装修" localSheetId="25">'[2]比较法-住宅'!$B$122:$M$122</definedName>
    <definedName name="住宅内部装修">'比较法-住宅'!$B$122:$M$122</definedName>
    <definedName name="住宅物业管理" localSheetId="25">'[2]比较法-住宅'!$B$114:$M$114</definedName>
    <definedName name="住宅物业管理">'比较法-住宅'!$B$114:$M$114</definedName>
    <definedName name="住宅用途" localSheetId="25">'[2]比较法-住宅'!$B$63:$M$63</definedName>
    <definedName name="住宅用途">'比较法-住宅'!$B$63:$M$63</definedName>
    <definedName name="住宅主力户型面积" localSheetId="25">'[1]不动产比较法-住宅'!$B$120:$M$120</definedName>
    <definedName name="住宅主力户型面积">'比较法-住宅'!$B$120:$M$120</definedName>
    <definedName name="注册房地产估价师" localSheetId="25">[2]估价师及机构信息!$A$3:$A$24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0" i="40" l="1"/>
  <c r="W2" i="79"/>
  <c r="I34" i="40"/>
  <c r="I7" i="40"/>
  <c r="I5" i="40"/>
  <c r="J21" i="1" l="1"/>
  <c r="N27" i="1" l="1"/>
  <c r="I23" i="78"/>
  <c r="X21" i="79" l="1"/>
  <c r="X3" i="79"/>
  <c r="I13" i="3" l="1"/>
  <c r="N22" i="1"/>
  <c r="N21" i="1"/>
  <c r="O22" i="1"/>
  <c r="O21" i="1"/>
  <c r="W3" i="79" l="1"/>
  <c r="W6" i="79"/>
  <c r="W21" i="79"/>
  <c r="G9" i="80"/>
  <c r="F7" i="78"/>
  <c r="G34" i="40" l="1"/>
  <c r="G7" i="40"/>
  <c r="G5" i="40"/>
  <c r="E5" i="40"/>
  <c r="E34" i="40"/>
  <c r="E7" i="40"/>
  <c r="W63" i="79"/>
  <c r="W62" i="79"/>
  <c r="W55" i="79"/>
  <c r="W50" i="79"/>
  <c r="W24" i="79"/>
  <c r="W17" i="79"/>
  <c r="W9" i="79"/>
  <c r="W10" i="79"/>
  <c r="W8" i="79"/>
  <c r="C3" i="80"/>
  <c r="D3" i="80" s="1"/>
  <c r="C4" i="80"/>
  <c r="E4" i="80"/>
  <c r="D4" i="80" s="1"/>
  <c r="C5" i="80"/>
  <c r="D5" i="80" s="1"/>
  <c r="D9" i="80"/>
  <c r="F9" i="80" s="1"/>
  <c r="D10" i="80"/>
  <c r="F10" i="80" s="1"/>
  <c r="G10" i="80" s="1"/>
  <c r="B16" i="80" l="1"/>
  <c r="B13" i="80"/>
  <c r="W12" i="79" l="1"/>
  <c r="W14" i="79"/>
  <c r="W16" i="79"/>
  <c r="W19" i="79"/>
  <c r="W23" i="79"/>
  <c r="W26" i="79"/>
  <c r="W28" i="79"/>
  <c r="W30" i="79"/>
  <c r="W32" i="79"/>
  <c r="W34" i="79"/>
  <c r="W36" i="79"/>
  <c r="W38" i="79"/>
  <c r="W40" i="79"/>
  <c r="W42" i="79"/>
  <c r="W44" i="79"/>
  <c r="W46" i="79"/>
  <c r="W48" i="79"/>
  <c r="W51" i="79"/>
  <c r="W53" i="79"/>
  <c r="W56" i="79"/>
  <c r="W58" i="79"/>
  <c r="W60" i="79"/>
  <c r="W64" i="79"/>
  <c r="W4" i="79"/>
  <c r="W11" i="79"/>
  <c r="W13" i="79"/>
  <c r="W15" i="79"/>
  <c r="W18" i="79"/>
  <c r="W20" i="79"/>
  <c r="W22" i="79"/>
  <c r="W25" i="79"/>
  <c r="W27" i="79"/>
  <c r="W29" i="79"/>
  <c r="W31" i="79"/>
  <c r="W33" i="79"/>
  <c r="W35" i="79"/>
  <c r="W37" i="79"/>
  <c r="W39" i="79"/>
  <c r="W41" i="79"/>
  <c r="W43" i="79"/>
  <c r="W45" i="79"/>
  <c r="W47" i="79"/>
  <c r="W49" i="79"/>
  <c r="W52" i="79"/>
  <c r="W54" i="79"/>
  <c r="W57" i="79"/>
  <c r="W59" i="79"/>
  <c r="W61" i="79"/>
  <c r="W5" i="79"/>
  <c r="W7" i="79"/>
  <c r="D66" i="40"/>
  <c r="E66" i="40" s="1"/>
  <c r="F66" i="40" s="1"/>
  <c r="G66" i="40" s="1"/>
  <c r="H66" i="40" s="1"/>
  <c r="I66" i="40" s="1"/>
  <c r="J66" i="40" s="1"/>
  <c r="K66" i="40" s="1"/>
  <c r="L66" i="40" s="1"/>
  <c r="M66" i="40" s="1"/>
  <c r="N66" i="40" s="1"/>
  <c r="O66" i="40" s="1"/>
  <c r="Y6" i="1"/>
  <c r="K13" i="3"/>
  <c r="G19" i="6" s="1"/>
  <c r="F19" i="6"/>
  <c r="I13" i="4"/>
  <c r="H23" i="78"/>
  <c r="C34" i="40"/>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H25" i="40"/>
  <c r="AB25" i="40" s="1"/>
  <c r="J25" i="40"/>
  <c r="AC25" i="40" s="1"/>
  <c r="F103" i="39"/>
  <c r="H29" i="39"/>
  <c r="G103" i="39"/>
  <c r="J29" i="39"/>
  <c r="J18" i="36"/>
  <c r="F68" i="35"/>
  <c r="H18" i="35"/>
  <c r="S18" i="35"/>
  <c r="G68" i="35"/>
  <c r="J18" i="35"/>
  <c r="H21" i="37"/>
  <c r="F21" i="37"/>
  <c r="F84" i="34"/>
  <c r="H21" i="34"/>
  <c r="AB21" i="34" s="1"/>
  <c r="F83" i="33"/>
  <c r="H21" i="33"/>
  <c r="U21" i="33" s="1"/>
  <c r="F21" i="33"/>
  <c r="E83" i="21"/>
  <c r="F83" i="21" s="1"/>
  <c r="G83" i="21" s="1"/>
  <c r="S21" i="21"/>
  <c r="H1" i="69"/>
  <c r="AB29" i="39"/>
  <c r="U29" i="39"/>
  <c r="AC29" i="39"/>
  <c r="W29" i="39"/>
  <c r="AC18" i="36"/>
  <c r="W18" i="36"/>
  <c r="AB21" i="37"/>
  <c r="U21" i="37"/>
  <c r="AA21" i="37"/>
  <c r="S21" i="37"/>
  <c r="U21" i="34"/>
  <c r="AB21" i="33"/>
  <c r="AA21" i="33"/>
  <c r="S21" i="33"/>
  <c r="AB18" i="35"/>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G41" i="43" s="1"/>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E493" i="3"/>
  <c r="BF493" i="3"/>
  <c r="BF5" i="3" s="1"/>
  <c r="BG493" i="3"/>
  <c r="BH493" i="3"/>
  <c r="BI493" i="3"/>
  <c r="BJ493" i="3"/>
  <c r="BJ5" i="3" s="1"/>
  <c r="BK493" i="3"/>
  <c r="BM493" i="3"/>
  <c r="BM5" i="3" s="1"/>
  <c r="F29" i="6" s="1"/>
  <c r="BN493" i="3"/>
  <c r="BO493" i="3"/>
  <c r="BP493" i="3"/>
  <c r="BR493" i="3"/>
  <c r="BS493" i="3"/>
  <c r="BT493" i="3"/>
  <c r="H494" i="3"/>
  <c r="AC494" i="3"/>
  <c r="G494" i="3" s="1"/>
  <c r="BB494" i="3"/>
  <c r="BC494" i="3"/>
  <c r="BA494" i="3" s="1"/>
  <c r="AZ494" i="3" s="1"/>
  <c r="BD494" i="3"/>
  <c r="BE494" i="3"/>
  <c r="BF494" i="3"/>
  <c r="BG494" i="3"/>
  <c r="BG5" i="3" s="1"/>
  <c r="BH494" i="3"/>
  <c r="BI494" i="3"/>
  <c r="BJ494" i="3"/>
  <c r="BK494" i="3"/>
  <c r="BK5" i="3" s="1"/>
  <c r="BM494" i="3"/>
  <c r="BN494" i="3"/>
  <c r="BN5" i="3" s="1"/>
  <c r="G29" i="6" s="1"/>
  <c r="E29" i="6"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c r="C26" i="35"/>
  <c r="C79" i="35"/>
  <c r="J31" i="35"/>
  <c r="W31" i="35"/>
  <c r="H31" i="35"/>
  <c r="F31" i="35"/>
  <c r="S31" i="35" s="1"/>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J42" i="34"/>
  <c r="W42" i="34"/>
  <c r="F42" i="34"/>
  <c r="J38" i="34"/>
  <c r="D114" i="34"/>
  <c r="E114" i="34" s="1"/>
  <c r="F114" i="34" s="1"/>
  <c r="G114" i="34" s="1"/>
  <c r="H114" i="34" s="1"/>
  <c r="F38" i="34"/>
  <c r="S38" i="34"/>
  <c r="D112" i="34"/>
  <c r="E112" i="34"/>
  <c r="F112" i="34" s="1"/>
  <c r="G112" i="34" s="1"/>
  <c r="H112" i="34" s="1"/>
  <c r="I112" i="34"/>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F86" i="40" s="1"/>
  <c r="G86" i="40" s="1"/>
  <c r="D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c r="J9" i="40"/>
  <c r="W9" i="40" s="1"/>
  <c r="H9" i="40"/>
  <c r="AB9" i="40" s="1"/>
  <c r="F9" i="40"/>
  <c r="S9" i="40" s="1"/>
  <c r="J8" i="40"/>
  <c r="AC8" i="40"/>
  <c r="H8" i="40"/>
  <c r="AB8" i="40" s="1"/>
  <c r="F8" i="40"/>
  <c r="AA8"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F46" i="33" s="1"/>
  <c r="AA46" i="33" s="1"/>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F36" i="34"/>
  <c r="J35" i="34"/>
  <c r="U34" i="34"/>
  <c r="H39" i="33"/>
  <c r="AB39" i="33"/>
  <c r="S40" i="33"/>
  <c r="S27" i="35"/>
  <c r="F11" i="40"/>
  <c r="AA11" i="40" s="1"/>
  <c r="H11" i="40"/>
  <c r="AB11" i="40" s="1"/>
  <c r="W8" i="40"/>
  <c r="AC40"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s="1"/>
  <c r="H36" i="40"/>
  <c r="AB36" i="40" s="1"/>
  <c r="F35" i="40"/>
  <c r="AA35" i="40" s="1"/>
  <c r="H17" i="40"/>
  <c r="U17" i="40" s="1"/>
  <c r="J11" i="40"/>
  <c r="W11" i="40" s="1"/>
  <c r="AB8" i="39"/>
  <c r="AC12" i="34"/>
  <c r="AB12" i="35"/>
  <c r="W32" i="40"/>
  <c r="S44" i="39"/>
  <c r="F37" i="39"/>
  <c r="AA37" i="39" s="1"/>
  <c r="J34" i="36"/>
  <c r="J30" i="35"/>
  <c r="W30" i="35"/>
  <c r="H30" i="35"/>
  <c r="AB30" i="35"/>
  <c r="F22" i="35"/>
  <c r="AA22" i="35"/>
  <c r="H10" i="35"/>
  <c r="U10" i="35"/>
  <c r="AC16" i="36"/>
  <c r="F33" i="36"/>
  <c r="AA33" i="36" s="1"/>
  <c r="W30" i="36"/>
  <c r="H16" i="36"/>
  <c r="AB16" i="36"/>
  <c r="E85" i="36"/>
  <c r="F85" i="36"/>
  <c r="G85" i="36" s="1"/>
  <c r="H85" i="36" s="1"/>
  <c r="I85" i="36" s="1"/>
  <c r="J85" i="36"/>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H101" i="37"/>
  <c r="I101" i="37" s="1"/>
  <c r="J101" i="37" s="1"/>
  <c r="K101" i="37" s="1"/>
  <c r="L101" i="37" s="1"/>
  <c r="M101" i="37" s="1"/>
  <c r="J34" i="37"/>
  <c r="W34" i="37" s="1"/>
  <c r="S10" i="37"/>
  <c r="AB34" i="37"/>
  <c r="J33" i="37"/>
  <c r="AC33" i="37"/>
  <c r="H40" i="34"/>
  <c r="U40" i="34" s="1"/>
  <c r="H36" i="34"/>
  <c r="U36" i="34"/>
  <c r="F37" i="34"/>
  <c r="AA37" i="34"/>
  <c r="F28" i="34"/>
  <c r="F25" i="34"/>
  <c r="S25" i="34" s="1"/>
  <c r="H23" i="34"/>
  <c r="J23" i="34"/>
  <c r="F19" i="34"/>
  <c r="H17" i="34"/>
  <c r="F15" i="34"/>
  <c r="AA15" i="34" s="1"/>
  <c r="J15" i="34"/>
  <c r="H15" i="34"/>
  <c r="AB15" i="34" s="1"/>
  <c r="S9" i="34"/>
  <c r="W8" i="34"/>
  <c r="J28" i="34"/>
  <c r="F41" i="33"/>
  <c r="E113" i="33"/>
  <c r="F32" i="33"/>
  <c r="AA32" i="33" s="1"/>
  <c r="J19" i="33"/>
  <c r="AC19" i="33" s="1"/>
  <c r="J15" i="33"/>
  <c r="AC15" i="33" s="1"/>
  <c r="F11" i="33"/>
  <c r="AA11" i="33" s="1"/>
  <c r="U40" i="33"/>
  <c r="W40" i="33"/>
  <c r="S8" i="33"/>
  <c r="F37" i="40"/>
  <c r="AA37" i="40" s="1"/>
  <c r="F36" i="40"/>
  <c r="AA36" i="40" s="1"/>
  <c r="H28" i="40"/>
  <c r="U28" i="40"/>
  <c r="F23" i="40"/>
  <c r="AA23" i="40" s="1"/>
  <c r="F17" i="40"/>
  <c r="AA17" i="40" s="1"/>
  <c r="U30" i="35"/>
  <c r="F29" i="35"/>
  <c r="S29" i="35" s="1"/>
  <c r="H29" i="35"/>
  <c r="AB29" i="35" s="1"/>
  <c r="H33" i="37"/>
  <c r="AB33" i="37" s="1"/>
  <c r="F33" i="37"/>
  <c r="AA33" i="37" s="1"/>
  <c r="U34" i="37"/>
  <c r="W33" i="37"/>
  <c r="S34" i="37"/>
  <c r="AA34" i="37"/>
  <c r="J43" i="34"/>
  <c r="J40" i="34"/>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G123" i="21"/>
  <c r="H123" i="21" s="1"/>
  <c r="I123" i="21"/>
  <c r="J123" i="21" s="1"/>
  <c r="K123" i="21" s="1"/>
  <c r="L123" i="21" s="1"/>
  <c r="M123" i="2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F14" i="33"/>
  <c r="S14" i="33" s="1"/>
  <c r="J44" i="33"/>
  <c r="J46" i="33"/>
  <c r="AC46" i="33" s="1"/>
  <c r="H46" i="33"/>
  <c r="J13" i="34"/>
  <c r="W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4" i="33"/>
  <c r="J36" i="37"/>
  <c r="AC36" i="37"/>
  <c r="J10" i="36"/>
  <c r="AC10" i="36" s="1"/>
  <c r="AB26" i="33"/>
  <c r="AB30" i="21"/>
  <c r="AA14" i="37"/>
  <c r="AC13" i="36"/>
  <c r="W13" i="36"/>
  <c r="S11" i="36"/>
  <c r="W11" i="36"/>
  <c r="W11" i="35"/>
  <c r="AB46" i="34"/>
  <c r="AC30" i="34"/>
  <c r="AA14" i="34"/>
  <c r="S45" i="33"/>
  <c r="AB45" i="33"/>
  <c r="AB31" i="33"/>
  <c r="U31" i="33"/>
  <c r="W29" i="33"/>
  <c r="U13" i="33"/>
  <c r="AC28" i="21"/>
  <c r="BA585" i="3"/>
  <c r="F17" i="21"/>
  <c r="AA17" i="21" s="1"/>
  <c r="H17" i="21"/>
  <c r="AB17" i="21" s="1"/>
  <c r="F15" i="21"/>
  <c r="S15" i="21" s="1"/>
  <c r="AB11" i="21"/>
  <c r="J41" i="39"/>
  <c r="W41"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AZ563" i="3" s="1"/>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AB43" i="33"/>
  <c r="H17" i="37"/>
  <c r="U17" i="37"/>
  <c r="AB2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G123" i="33"/>
  <c r="H123" i="33" s="1"/>
  <c r="I123" i="33" s="1"/>
  <c r="J123" i="33" s="1"/>
  <c r="K123" i="33" s="1"/>
  <c r="L123" i="33" s="1"/>
  <c r="M123" i="33" s="1"/>
  <c r="H42" i="33"/>
  <c r="AB42" i="33"/>
  <c r="J43" i="33"/>
  <c r="AC43" i="33" s="1"/>
  <c r="U43" i="33"/>
  <c r="S28" i="31"/>
  <c r="S27" i="31"/>
  <c r="S26" i="31"/>
  <c r="U14" i="40"/>
  <c r="AC33" i="36"/>
  <c r="AA12" i="35"/>
  <c r="W14" i="37"/>
  <c r="AB28" i="37"/>
  <c r="U33" i="37"/>
  <c r="W26" i="37"/>
  <c r="AC8" i="37"/>
  <c r="U26" i="37"/>
  <c r="W37" i="34"/>
  <c r="AB37" i="34"/>
  <c r="AC36" i="34"/>
  <c r="AA13" i="33"/>
  <c r="U11" i="33"/>
  <c r="U19" i="21"/>
  <c r="U26" i="21"/>
  <c r="F43" i="33"/>
  <c r="AA43" i="33"/>
  <c r="W15" i="34"/>
  <c r="AC15" i="34"/>
  <c r="W16" i="35"/>
  <c r="G107"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94" i="37" s="1"/>
  <c r="F31" i="37"/>
  <c r="S31" i="37"/>
  <c r="J42" i="39"/>
  <c r="AC42" i="39"/>
  <c r="AC12" i="37"/>
  <c r="G94" i="37"/>
  <c r="H94" i="37" s="1"/>
  <c r="I94" i="37" s="1"/>
  <c r="J94" i="37" s="1"/>
  <c r="K94" i="37" s="1"/>
  <c r="L94" i="37" s="1"/>
  <c r="M94" i="37" s="1"/>
  <c r="H31" i="37"/>
  <c r="U31" i="37"/>
  <c r="F71" i="37"/>
  <c r="G71" i="37"/>
  <c r="J15" i="37"/>
  <c r="W15" i="37"/>
  <c r="U12" i="37"/>
  <c r="AT6"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c r="J11" i="39"/>
  <c r="W11" i="39"/>
  <c r="F11" i="39"/>
  <c r="AA11" i="39"/>
  <c r="S11" i="39"/>
  <c r="G4" i="4"/>
  <c r="I4" i="4"/>
  <c r="A2" i="9"/>
  <c r="F59" i="43"/>
  <c r="H62" i="43" s="1"/>
  <c r="AZ20" i="3"/>
  <c r="AZ24" i="3"/>
  <c r="AZ28" i="3"/>
  <c r="AZ32"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G548" i="3"/>
  <c r="G538" i="3"/>
  <c r="G502" i="3"/>
  <c r="BP5" i="3"/>
  <c r="AZ343" i="3"/>
  <c r="BI5" i="3"/>
  <c r="BE5" i="3"/>
  <c r="G17" i="3"/>
  <c r="BA17" i="3"/>
  <c r="BT5" i="3"/>
  <c r="AZ350" i="3"/>
  <c r="AZ352" i="3"/>
  <c r="AZ360" i="3"/>
  <c r="AZ368" i="3"/>
  <c r="BA15" i="3"/>
  <c r="AZ15" i="3"/>
  <c r="BR5" i="3"/>
  <c r="G28" i="6" s="1"/>
  <c r="G30" i="6" s="1"/>
  <c r="G31" i="6" s="1"/>
  <c r="AZ380" i="3"/>
  <c r="AZ388" i="3"/>
  <c r="AZ396" i="3"/>
  <c r="G509" i="3"/>
  <c r="AZ491" i="3"/>
  <c r="AZ390" i="3"/>
  <c r="F36" i="43"/>
  <c r="H113" i="43"/>
  <c r="F48" i="43"/>
  <c r="H52" i="43" s="1"/>
  <c r="F70" i="43"/>
  <c r="H73" i="43" s="1"/>
  <c r="M11" i="43"/>
  <c r="D17" i="43"/>
  <c r="F39" i="43"/>
  <c r="I17" i="43"/>
  <c r="F35" i="43"/>
  <c r="J17" i="43"/>
  <c r="F6" i="1"/>
  <c r="U17" i="39"/>
  <c r="S14" i="35"/>
  <c r="U43" i="21"/>
  <c r="AC35" i="21"/>
  <c r="U10"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M6" i="1" s="1"/>
  <c r="O6" i="1" s="1"/>
  <c r="P6" i="1" s="1"/>
  <c r="AB34" i="36"/>
  <c r="U34" i="36"/>
  <c r="AB33" i="36"/>
  <c r="U33" i="36"/>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W38" i="40"/>
  <c r="AA32" i="40"/>
  <c r="AB27" i="40"/>
  <c r="S30" i="40"/>
  <c r="S28" i="40"/>
  <c r="AA27"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S9" i="39"/>
  <c r="U14" i="39"/>
  <c r="AC13" i="39"/>
  <c r="U12" i="39"/>
  <c r="S23" i="36"/>
  <c r="AC27"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F26" i="35"/>
  <c r="AA26" i="35"/>
  <c r="J26" i="35"/>
  <c r="H26" i="35"/>
  <c r="U26" i="35" s="1"/>
  <c r="AB40" i="37"/>
  <c r="S25" i="37"/>
  <c r="W27" i="37"/>
  <c r="S26" i="37"/>
  <c r="AC29" i="37"/>
  <c r="U29" i="37"/>
  <c r="S32" i="37"/>
  <c r="AB31" i="37"/>
  <c r="W30" i="37"/>
  <c r="S36" i="37"/>
  <c r="AA38" i="37"/>
  <c r="W38" i="37"/>
  <c r="AC35"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F11" i="37"/>
  <c r="S11" i="37"/>
  <c r="W25" i="34"/>
  <c r="AB8" i="34"/>
  <c r="AA33" i="34"/>
  <c r="U44" i="34"/>
  <c r="U43" i="34"/>
  <c r="AC39" i="34"/>
  <c r="W41" i="34"/>
  <c r="AC42" i="34"/>
  <c r="AB35" i="34"/>
  <c r="U39" i="34"/>
  <c r="S43" i="34"/>
  <c r="AB41" i="34"/>
  <c r="W34" i="34"/>
  <c r="AA25" i="34"/>
  <c r="U28" i="34"/>
  <c r="S17" i="34"/>
  <c r="S23" i="34"/>
  <c r="U15" i="34"/>
  <c r="S10"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C7" i="43"/>
  <c r="E48" i="43"/>
  <c r="B46" i="43"/>
  <c r="E70" i="43"/>
  <c r="B68" i="43"/>
  <c r="F100" i="43"/>
  <c r="H17" i="43"/>
  <c r="G6" i="1"/>
  <c r="H53"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L20" i="6"/>
  <c r="B6" i="1"/>
  <c r="E6" i="1"/>
  <c r="S8" i="1"/>
  <c r="K11" i="1"/>
  <c r="M11" i="1" s="1"/>
  <c r="AP6" i="1"/>
  <c r="B9" i="1"/>
  <c r="E9" i="1" s="1"/>
  <c r="K7" i="1"/>
  <c r="H16" i="1" s="1"/>
  <c r="G1" i="15"/>
  <c r="G1" i="69"/>
  <c r="G1" i="67"/>
  <c r="U32" i="40"/>
  <c r="AB31" i="40"/>
  <c r="AB28" i="40"/>
  <c r="W28" i="40"/>
  <c r="W34" i="40"/>
  <c r="W19" i="40"/>
  <c r="AC14" i="40"/>
  <c r="S13" i="40"/>
  <c r="S33" i="40"/>
  <c r="U11" i="40"/>
  <c r="S31" i="40"/>
  <c r="AB13"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S31" i="33"/>
  <c r="AA31" i="33"/>
  <c r="W13" i="33"/>
  <c r="AC13" i="33"/>
  <c r="U15" i="33"/>
  <c r="S11" i="33"/>
  <c r="U37" i="33"/>
  <c r="AC28" i="33"/>
  <c r="S28" i="33"/>
  <c r="W9" i="33"/>
  <c r="W8" i="33"/>
  <c r="AB42" i="21"/>
  <c r="U28" i="21"/>
  <c r="AA11" i="21"/>
  <c r="S45" i="21"/>
  <c r="J101" i="21"/>
  <c r="K101" i="21" s="1"/>
  <c r="L101" i="21"/>
  <c r="M101" i="21" s="1"/>
  <c r="F33" i="21"/>
  <c r="AA33" i="21" s="1"/>
  <c r="J33" i="21"/>
  <c r="H33" i="21"/>
  <c r="AB33" i="21" s="1"/>
  <c r="F37" i="21"/>
  <c r="AA26" i="21"/>
  <c r="AB14" i="21"/>
  <c r="U40" i="21"/>
  <c r="AB31" i="21"/>
  <c r="U31" i="21"/>
  <c r="AC15"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Q9" i="1"/>
  <c r="AR11" i="1"/>
  <c r="T9" i="1"/>
  <c r="T13" i="1"/>
  <c r="D9" i="68"/>
  <c r="C9" i="68" s="1"/>
  <c r="AA39" i="40"/>
  <c r="S39" i="40"/>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S13" i="21"/>
  <c r="AR8" i="1"/>
  <c r="AQ8" i="1"/>
  <c r="T8" i="1"/>
  <c r="R22" i="31"/>
  <c r="L27" i="6"/>
  <c r="AP7" i="1"/>
  <c r="M7" i="1"/>
  <c r="O7" i="1" s="1"/>
  <c r="P7" i="1" s="1"/>
  <c r="AB45" i="21"/>
  <c r="AC33" i="21"/>
  <c r="W33" i="21"/>
  <c r="S33" i="21"/>
  <c r="W32" i="21"/>
  <c r="AC32" i="21"/>
  <c r="AB9" i="21"/>
  <c r="U9" i="21"/>
  <c r="AA32" i="21"/>
  <c r="W9" i="21"/>
  <c r="AB32" i="21"/>
  <c r="AA10" i="21"/>
  <c r="S10" i="21"/>
  <c r="AB32" i="39"/>
  <c r="AC32" i="39"/>
  <c r="W32" i="39"/>
  <c r="AC19" i="37"/>
  <c r="W23" i="37"/>
  <c r="AC23" i="37"/>
  <c r="U11"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F34" i="11"/>
  <c r="C36" i="11" s="1"/>
  <c r="F11" i="12"/>
  <c r="F34" i="68"/>
  <c r="R8" i="1"/>
  <c r="AE8" i="1"/>
  <c r="AG6" i="1"/>
  <c r="H109" i="9"/>
  <c r="H110" i="9"/>
  <c r="D18" i="53" s="1"/>
  <c r="B35" i="72" s="1"/>
  <c r="D124" i="9"/>
  <c r="H14" i="74" s="1"/>
  <c r="B7" i="74" s="1"/>
  <c r="D16" i="53"/>
  <c r="D10" i="52"/>
  <c r="D125" i="9"/>
  <c r="D11" i="52" s="1"/>
  <c r="H112" i="9"/>
  <c r="D21" i="53" s="1"/>
  <c r="B39" i="72" s="1"/>
  <c r="H111" i="9"/>
  <c r="D126" i="9" s="1"/>
  <c r="I14" i="74" s="1"/>
  <c r="B8" i="74"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F42" i="15"/>
  <c r="F38" i="67"/>
  <c r="B8" i="76"/>
  <c r="F4" i="73"/>
  <c r="M26" i="67"/>
  <c r="F16" i="67"/>
  <c r="D2" i="33"/>
  <c r="F38" i="15"/>
  <c r="AO10" i="1"/>
  <c r="F43" i="15"/>
  <c r="C76" i="67"/>
  <c r="B7" i="76"/>
  <c r="M28" i="67"/>
  <c r="M27" i="67"/>
  <c r="F3" i="73"/>
  <c r="E2" i="69"/>
  <c r="M23" i="15"/>
  <c r="AO9" i="1"/>
  <c r="E12" i="76"/>
  <c r="F6" i="67"/>
  <c r="D2" i="21"/>
  <c r="F43" i="67"/>
  <c r="F40" i="15"/>
  <c r="F37" i="15"/>
  <c r="M8" i="15"/>
  <c r="F8" i="67"/>
  <c r="F7" i="15"/>
  <c r="M29" i="15"/>
  <c r="D2" i="34"/>
  <c r="B11" i="76"/>
  <c r="D4" i="73"/>
  <c r="E2" i="68"/>
  <c r="E9" i="76"/>
  <c r="B9" i="76"/>
  <c r="F36" i="67"/>
  <c r="D6" i="73"/>
  <c r="M9" i="15"/>
  <c r="D2" i="37"/>
  <c r="E10" i="76"/>
  <c r="AO12" i="1"/>
  <c r="B13" i="76"/>
  <c r="AO11" i="1"/>
  <c r="M28" i="15"/>
  <c r="F16" i="15"/>
  <c r="L47" i="67"/>
  <c r="D3" i="73"/>
  <c r="F7" i="73"/>
  <c r="F6" i="73"/>
  <c r="F37" i="67"/>
  <c r="F9" i="15"/>
  <c r="F20" i="31"/>
  <c r="L48" i="15"/>
  <c r="M6" i="15"/>
  <c r="B12" i="76"/>
  <c r="E7" i="76"/>
  <c r="E13" i="76"/>
  <c r="J15" i="15"/>
  <c r="M27" i="15"/>
  <c r="D7" i="73"/>
  <c r="F42" i="67"/>
  <c r="M26" i="15"/>
  <c r="E8" i="76"/>
  <c r="AO13" i="1"/>
  <c r="L48" i="67"/>
  <c r="M8" i="67"/>
  <c r="AO8" i="1"/>
  <c r="D5" i="73"/>
  <c r="F6" i="15"/>
  <c r="D2" i="36"/>
  <c r="M22" i="67"/>
  <c r="F9" i="67"/>
  <c r="F36" i="15"/>
  <c r="F13" i="67"/>
  <c r="M23" i="67"/>
  <c r="M22" i="15"/>
  <c r="F5" i="73"/>
  <c r="M29" i="67"/>
  <c r="F13" i="15"/>
  <c r="B10" i="76"/>
  <c r="F8" i="15"/>
  <c r="D2" i="35"/>
  <c r="E11" i="76"/>
  <c r="C76" i="15"/>
  <c r="M6" i="67"/>
  <c r="F40" i="67"/>
  <c r="M24" i="15"/>
  <c r="M24" i="67"/>
  <c r="L47" i="15"/>
  <c r="F26" i="67"/>
  <c r="F7" i="67"/>
  <c r="J15" i="67"/>
  <c r="F26" i="15"/>
  <c r="M9" i="67"/>
  <c r="J17" i="40" l="1"/>
  <c r="W17" i="40" s="1"/>
  <c r="F21" i="40"/>
  <c r="AA21" i="40" s="1"/>
  <c r="S35" i="40"/>
  <c r="W35" i="40"/>
  <c r="AC36" i="40"/>
  <c r="H23" i="40"/>
  <c r="AB23" i="40" s="1"/>
  <c r="J23" i="40"/>
  <c r="AC23" i="40" s="1"/>
  <c r="AC9" i="40"/>
  <c r="S23" i="40"/>
  <c r="W37" i="40"/>
  <c r="AB37" i="40"/>
  <c r="S37" i="40"/>
  <c r="U9" i="40"/>
  <c r="AA9" i="40"/>
  <c r="W25" i="40"/>
  <c r="U25" i="40"/>
  <c r="S25" i="40"/>
  <c r="Q16" i="1"/>
  <c r="F27" i="69" s="1"/>
  <c r="F45" i="69" s="1"/>
  <c r="E16" i="71"/>
  <c r="E15" i="71" s="1"/>
  <c r="E14" i="71" s="1"/>
  <c r="E13" i="71" s="1"/>
  <c r="V17" i="71"/>
  <c r="B34" i="72"/>
  <c r="D17" i="53"/>
  <c r="B36" i="72" s="1"/>
  <c r="AC17" i="21"/>
  <c r="W17" i="21"/>
  <c r="W37" i="21"/>
  <c r="AC37" i="21"/>
  <c r="AA37" i="21"/>
  <c r="S37" i="21"/>
  <c r="AZ522" i="3"/>
  <c r="AZ500" i="3"/>
  <c r="E28" i="6"/>
  <c r="K14" i="1" s="1"/>
  <c r="F30" i="6"/>
  <c r="AZ495" i="3"/>
  <c r="D19" i="53"/>
  <c r="AC11" i="34"/>
  <c r="S17" i="33"/>
  <c r="U15" i="21"/>
  <c r="AB15" i="21"/>
  <c r="AZ586" i="3"/>
  <c r="AZ557" i="3"/>
  <c r="AZ517" i="3"/>
  <c r="AZ571" i="3"/>
  <c r="AZ575" i="3"/>
  <c r="AZ579" i="3"/>
  <c r="AZ518" i="3"/>
  <c r="W32" i="36"/>
  <c r="AC32" i="36"/>
  <c r="U11" i="35"/>
  <c r="AB11" i="35"/>
  <c r="W31" i="33"/>
  <c r="AC31" i="33"/>
  <c r="AA44" i="34"/>
  <c r="S44" i="34"/>
  <c r="AA28" i="34"/>
  <c r="S28" i="34"/>
  <c r="W34" i="36"/>
  <c r="AC34" i="36"/>
  <c r="AC36" i="39"/>
  <c r="W36" i="39"/>
  <c r="AB34" i="21"/>
  <c r="U34" i="21"/>
  <c r="BA587" i="3"/>
  <c r="AZ587" i="3" s="1"/>
  <c r="F12" i="21"/>
  <c r="J12" i="21"/>
  <c r="H12" i="21"/>
  <c r="AB8" i="33"/>
  <c r="U8" i="33"/>
  <c r="AA9" i="33"/>
  <c r="S9" i="33"/>
  <c r="U12" i="33"/>
  <c r="AB12" i="33"/>
  <c r="AB33" i="33"/>
  <c r="U33" i="33"/>
  <c r="AB35" i="33"/>
  <c r="U35" i="33"/>
  <c r="AC39" i="33"/>
  <c r="W39" i="33"/>
  <c r="AA34" i="34"/>
  <c r="S34" i="34"/>
  <c r="J27" i="34"/>
  <c r="F27" i="34"/>
  <c r="H27" i="34"/>
  <c r="J12" i="36"/>
  <c r="H12" i="36"/>
  <c r="F12" i="36"/>
  <c r="J24" i="36"/>
  <c r="H24" i="36"/>
  <c r="F24" i="36"/>
  <c r="J9" i="37"/>
  <c r="H9" i="37"/>
  <c r="F9" i="37"/>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A493" i="3"/>
  <c r="G5" i="3"/>
  <c r="B3" i="3" s="1"/>
  <c r="E524" i="3" s="1"/>
  <c r="C23" i="12"/>
  <c r="E13" i="3"/>
  <c r="AA19" i="33"/>
  <c r="AC37" i="33"/>
  <c r="AB35" i="37"/>
  <c r="S20" i="36"/>
  <c r="AA39" i="39"/>
  <c r="H72" i="43"/>
  <c r="H78" i="43"/>
  <c r="D120" i="9"/>
  <c r="W43" i="33"/>
  <c r="U32" i="37"/>
  <c r="U13" i="36"/>
  <c r="S15" i="39"/>
  <c r="AB19" i="40"/>
  <c r="AA19" i="40"/>
  <c r="U35" i="40"/>
  <c r="U35" i="21"/>
  <c r="BL493" i="3"/>
  <c r="BB5" i="3"/>
  <c r="E13" i="6" s="1"/>
  <c r="BC5" i="3"/>
  <c r="AC5" i="3"/>
  <c r="K5" i="4"/>
  <c r="B47" i="48" s="1"/>
  <c r="W40" i="37"/>
  <c r="AB38" i="21"/>
  <c r="AC45" i="33"/>
  <c r="AZ567" i="3"/>
  <c r="AZ581" i="3"/>
  <c r="AZ562" i="3"/>
  <c r="AB11" i="36"/>
  <c r="AB46" i="33"/>
  <c r="U46" i="33"/>
  <c r="AC44" i="33"/>
  <c r="W44" i="33"/>
  <c r="S38" i="33"/>
  <c r="W28" i="34"/>
  <c r="AC28" i="34"/>
  <c r="U17" i="34"/>
  <c r="AB17" i="34"/>
  <c r="W9" i="34"/>
  <c r="S36" i="39"/>
  <c r="AA36" i="39"/>
  <c r="W45" i="39"/>
  <c r="AC45" i="39"/>
  <c r="J27" i="21"/>
  <c r="H27" i="21"/>
  <c r="F27" i="21"/>
  <c r="H46" i="21"/>
  <c r="J46" i="21"/>
  <c r="F46" i="21"/>
  <c r="AC34" i="35"/>
  <c r="W34" i="35"/>
  <c r="H14" i="33"/>
  <c r="J14" i="33"/>
  <c r="H30" i="33"/>
  <c r="F30" i="33"/>
  <c r="J30" i="33"/>
  <c r="H44" i="33"/>
  <c r="F44" i="33"/>
  <c r="H13" i="34"/>
  <c r="F13" i="34"/>
  <c r="F29" i="34"/>
  <c r="H29" i="34"/>
  <c r="J31" i="34"/>
  <c r="H31" i="34"/>
  <c r="F31" i="34"/>
  <c r="H45" i="34"/>
  <c r="J45" i="34"/>
  <c r="F45" i="34"/>
  <c r="H47" i="34"/>
  <c r="F47" i="34"/>
  <c r="J47" i="34"/>
  <c r="F13" i="35"/>
  <c r="J13" i="35"/>
  <c r="H13" i="35"/>
  <c r="J25" i="35"/>
  <c r="F25" i="35"/>
  <c r="H25" i="35"/>
  <c r="J35" i="35"/>
  <c r="F35" i="35"/>
  <c r="H35" i="35"/>
  <c r="J39" i="37"/>
  <c r="H39" i="37"/>
  <c r="F39" i="37"/>
  <c r="J12" i="39"/>
  <c r="F12" i="39"/>
  <c r="AB38" i="40"/>
  <c r="U38" i="40"/>
  <c r="E84" i="40"/>
  <c r="H15" i="40" s="1"/>
  <c r="F15" i="40"/>
  <c r="F90" i="40"/>
  <c r="G90" i="40" s="1"/>
  <c r="J21" i="40"/>
  <c r="W21" i="40" s="1"/>
  <c r="H21" i="40"/>
  <c r="AC31" i="40"/>
  <c r="W31" i="40"/>
  <c r="AC41" i="33"/>
  <c r="W41" i="33"/>
  <c r="U30" i="36"/>
  <c r="AB30" i="36"/>
  <c r="AB36" i="39"/>
  <c r="U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AZ585" i="3"/>
  <c r="AA41" i="33"/>
  <c r="S41" i="33"/>
  <c r="U23" i="34"/>
  <c r="AB23" i="34"/>
  <c r="AB33" i="35"/>
  <c r="U33" i="35"/>
  <c r="H13" i="21"/>
  <c r="J13" i="21"/>
  <c r="J29" i="21"/>
  <c r="H29" i="21"/>
  <c r="J44" i="21"/>
  <c r="H44" i="21"/>
  <c r="F44" i="21"/>
  <c r="AC33" i="33"/>
  <c r="W33" i="33"/>
  <c r="J26" i="33"/>
  <c r="F26" i="33"/>
  <c r="S12" i="34"/>
  <c r="AA12" i="34"/>
  <c r="AA35" i="34"/>
  <c r="S35" i="34"/>
  <c r="AB34" i="35"/>
  <c r="U34" i="35"/>
  <c r="H23" i="35"/>
  <c r="J23" i="35"/>
  <c r="F23" i="35"/>
  <c r="S31" i="36"/>
  <c r="AA31" i="36"/>
  <c r="U39" i="40"/>
  <c r="AB39" i="40"/>
  <c r="AA38" i="40"/>
  <c r="S38" i="40"/>
  <c r="W38" i="34"/>
  <c r="AC38" i="34"/>
  <c r="U42" i="34"/>
  <c r="AB42" i="34"/>
  <c r="BA551" i="3"/>
  <c r="AZ551" i="3" s="1"/>
  <c r="A15" i="62"/>
  <c r="B61" i="72" s="1"/>
  <c r="AZ399" i="3"/>
  <c r="AZ404" i="3"/>
  <c r="AZ24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22" i="3"/>
  <c r="AZ54" i="3"/>
  <c r="AZ57" i="3"/>
  <c r="AZ70" i="3"/>
  <c r="AZ87" i="3"/>
  <c r="AZ95" i="3"/>
  <c r="AZ100" i="3"/>
  <c r="T41" i="71"/>
  <c r="D41" i="71"/>
  <c r="M19" i="43"/>
  <c r="V37" i="71"/>
  <c r="T37" i="71"/>
  <c r="D37" i="71"/>
  <c r="C24" i="71"/>
  <c r="T25" i="71"/>
  <c r="D25" i="71"/>
  <c r="U25" i="71" s="1"/>
  <c r="D51" i="71"/>
  <c r="C52" i="71"/>
  <c r="AB24" i="71"/>
  <c r="S25" i="71"/>
  <c r="X24" i="71"/>
  <c r="AA33" i="71"/>
  <c r="AB30" i="71"/>
  <c r="Y30" i="71"/>
  <c r="Z30" i="71" s="1"/>
  <c r="X29" i="71"/>
  <c r="X34" i="71"/>
  <c r="AA26" i="71"/>
  <c r="Y6" i="71"/>
  <c r="Z6" i="71" s="1"/>
  <c r="Y7" i="71"/>
  <c r="Z7" i="71" s="1"/>
  <c r="AA6" i="71"/>
  <c r="AA7" i="71"/>
  <c r="AE10" i="43"/>
  <c r="Z12" i="43"/>
  <c r="Z10" i="43"/>
  <c r="AD12" i="43"/>
  <c r="AD10" i="43"/>
  <c r="AH12" i="43"/>
  <c r="AH10" i="43"/>
  <c r="Y18" i="71"/>
  <c r="Z18" i="71" s="1"/>
  <c r="AB18" i="71"/>
  <c r="AA18" i="71"/>
  <c r="X18" i="71"/>
  <c r="Y15" i="71"/>
  <c r="Z15" i="71" s="1"/>
  <c r="X14" i="71"/>
  <c r="Y14" i="71"/>
  <c r="Z14" i="71" s="1"/>
  <c r="AA14" i="71"/>
  <c r="AB15" i="71"/>
  <c r="Y11" i="71"/>
  <c r="Z11" i="71" s="1"/>
  <c r="X6" i="71"/>
  <c r="X7" i="71"/>
  <c r="AB7" i="71"/>
  <c r="AB6" i="71"/>
  <c r="V65" i="71"/>
  <c r="F64" i="71"/>
  <c r="AC12" i="43"/>
  <c r="AC10" i="43"/>
  <c r="AG12" i="43"/>
  <c r="AG10" i="43"/>
  <c r="X21" i="71"/>
  <c r="Y21" i="71"/>
  <c r="Z21" i="71" s="1"/>
  <c r="AA19" i="71"/>
  <c r="X19" i="7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E10" i="43"/>
  <c r="E8" i="43"/>
  <c r="E11" i="43"/>
  <c r="E9" i="43"/>
  <c r="H82" i="43"/>
  <c r="G82" i="43" s="1"/>
  <c r="H81" i="43"/>
  <c r="G81" i="43" s="1"/>
  <c r="H88" i="43"/>
  <c r="G88" i="43" s="1"/>
  <c r="H83" i="43"/>
  <c r="G83" i="43" s="1"/>
  <c r="H86" i="43"/>
  <c r="G86" i="43" s="1"/>
  <c r="H87" i="43"/>
  <c r="G87" i="43" s="1"/>
  <c r="H85" i="43"/>
  <c r="G85" i="43" s="1"/>
  <c r="H84" i="43"/>
  <c r="G84" i="43" s="1"/>
  <c r="G17" i="43"/>
  <c r="C16" i="43" s="1"/>
  <c r="C40" i="68"/>
  <c r="C21" i="68"/>
  <c r="C40" i="69"/>
  <c r="C24" i="12"/>
  <c r="J51" i="15"/>
  <c r="S36" i="40"/>
  <c r="U36" i="40"/>
  <c r="AB17" i="40"/>
  <c r="S17" i="40"/>
  <c r="W27" i="40"/>
  <c r="AC11" i="40"/>
  <c r="P74" i="67"/>
  <c r="P61" i="15"/>
  <c r="C92" i="9"/>
  <c r="C94" i="9"/>
  <c r="F28" i="15"/>
  <c r="C28" i="15" s="1"/>
  <c r="F31" i="12"/>
  <c r="F54" i="9"/>
  <c r="M18" i="67"/>
  <c r="F30" i="68"/>
  <c r="C31" i="12"/>
  <c r="C48" i="68"/>
  <c r="D68" i="9"/>
  <c r="M18" i="15"/>
  <c r="F32" i="15"/>
  <c r="F60" i="15" s="1"/>
  <c r="F30" i="69"/>
  <c r="F32" i="67"/>
  <c r="F60" i="67" s="1"/>
  <c r="F52" i="9"/>
  <c r="F28" i="67"/>
  <c r="C28" i="67" s="1"/>
  <c r="F30" i="11"/>
  <c r="F53" i="9"/>
  <c r="C13" i="12"/>
  <c r="C21" i="69"/>
  <c r="D22" i="67"/>
  <c r="C36" i="69"/>
  <c r="F27" i="68"/>
  <c r="F27" i="11"/>
  <c r="F28" i="12"/>
  <c r="C29" i="12" s="1"/>
  <c r="D28" i="12" s="1"/>
  <c r="E53" i="3"/>
  <c r="E319" i="3"/>
  <c r="E501" i="3"/>
  <c r="E153" i="3"/>
  <c r="E426" i="3"/>
  <c r="E328" i="3"/>
  <c r="E347" i="3"/>
  <c r="E583" i="3"/>
  <c r="AA6"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239" i="3"/>
  <c r="E509" i="3"/>
  <c r="E516" i="3"/>
  <c r="E579" i="3"/>
  <c r="E569" i="3"/>
  <c r="E431" i="3"/>
  <c r="E396" i="3"/>
  <c r="E247" i="3"/>
  <c r="E229" i="3"/>
  <c r="E2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8" i="6"/>
  <c r="E12" i="6"/>
  <c r="E11" i="6"/>
  <c r="E14" i="6"/>
  <c r="E30" i="6"/>
  <c r="K15" i="1"/>
  <c r="K16" i="1" s="1"/>
  <c r="N23" i="1" s="1"/>
  <c r="O9" i="1"/>
  <c r="P9" i="1" s="1"/>
  <c r="O14" i="1"/>
  <c r="P14" i="1" s="1"/>
  <c r="O11" i="1"/>
  <c r="P11" i="1" s="1"/>
  <c r="O12" i="1"/>
  <c r="P12" i="1" s="1"/>
  <c r="O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3" i="1"/>
  <c r="G9" i="1"/>
  <c r="AA5" i="71"/>
  <c r="AB5" i="71"/>
  <c r="X5" i="71"/>
  <c r="Y5" i="71"/>
  <c r="Z5" i="71" s="1"/>
  <c r="D12" i="52"/>
  <c r="D127" i="9"/>
  <c r="D13" i="52" s="1"/>
  <c r="D68" i="39"/>
  <c r="C70" i="39"/>
  <c r="C5" i="43"/>
  <c r="D5"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G1" i="73"/>
  <c r="C16" i="15"/>
  <c r="W23" i="40" l="1"/>
  <c r="AC17" i="40"/>
  <c r="S21" i="40"/>
  <c r="C29" i="69"/>
  <c r="D27" i="69" s="1"/>
  <c r="U23" i="40"/>
  <c r="AC21" i="40"/>
  <c r="C29" i="68"/>
  <c r="D27" i="68" s="1"/>
  <c r="C47" i="69"/>
  <c r="D45" i="69" s="1"/>
  <c r="E508" i="3"/>
  <c r="E305" i="3"/>
  <c r="E343" i="3"/>
  <c r="E530" i="3"/>
  <c r="E175" i="3"/>
  <c r="E567" i="3"/>
  <c r="E545" i="3"/>
  <c r="E539" i="3"/>
  <c r="E329" i="3"/>
  <c r="AJ6" i="3"/>
  <c r="N6" i="3"/>
  <c r="E322" i="3"/>
  <c r="E282" i="3"/>
  <c r="E268" i="3"/>
  <c r="E553" i="3"/>
  <c r="E526" i="3"/>
  <c r="E366" i="3"/>
  <c r="E217" i="3"/>
  <c r="E125" i="3"/>
  <c r="AB15" i="40"/>
  <c r="U15" i="40"/>
  <c r="M85" i="43"/>
  <c r="K85" i="43"/>
  <c r="J85" i="43" s="1"/>
  <c r="M86" i="43"/>
  <c r="N86" i="43" s="1"/>
  <c r="K86" i="43"/>
  <c r="J86" i="43" s="1"/>
  <c r="D86" i="43" s="1"/>
  <c r="M88" i="43"/>
  <c r="N88" i="43" s="1"/>
  <c r="K88" i="43"/>
  <c r="M82" i="43"/>
  <c r="N82" i="43" s="1"/>
  <c r="K82" i="43"/>
  <c r="J82" i="43" s="1"/>
  <c r="C20" i="71"/>
  <c r="T21" i="71"/>
  <c r="D21" i="71"/>
  <c r="U21" i="71" s="1"/>
  <c r="F63" i="71"/>
  <c r="Q64" i="71"/>
  <c r="D52" i="71"/>
  <c r="C53" i="71"/>
  <c r="C23" i="71"/>
  <c r="D23" i="71" s="1"/>
  <c r="D24" i="71"/>
  <c r="AC23" i="35"/>
  <c r="W23" i="35"/>
  <c r="AA26" i="33"/>
  <c r="S26" i="33"/>
  <c r="AA44" i="21"/>
  <c r="S44" i="21"/>
  <c r="AC44" i="21"/>
  <c r="W44" i="21"/>
  <c r="AC29" i="21"/>
  <c r="W29" i="21"/>
  <c r="U13" i="21"/>
  <c r="AB13" i="21"/>
  <c r="AZ554" i="3"/>
  <c r="AZ565" i="3"/>
  <c r="AB21" i="40"/>
  <c r="U21" i="40"/>
  <c r="AA12" i="39"/>
  <c r="S12" i="39"/>
  <c r="S39" i="37"/>
  <c r="AA39" i="37"/>
  <c r="AC39" i="37"/>
  <c r="W39" i="37"/>
  <c r="S35" i="35"/>
  <c r="AA35" i="35"/>
  <c r="U25" i="35"/>
  <c r="AB25" i="35"/>
  <c r="AC25" i="35"/>
  <c r="W25" i="35"/>
  <c r="AC13" i="35"/>
  <c r="W13" i="35"/>
  <c r="W47" i="34"/>
  <c r="AC47" i="34"/>
  <c r="AB47" i="34"/>
  <c r="U47" i="34"/>
  <c r="AC45" i="34"/>
  <c r="W45" i="34"/>
  <c r="AA31" i="34"/>
  <c r="S31" i="34"/>
  <c r="W31" i="34"/>
  <c r="AC31" i="34"/>
  <c r="AA29" i="34"/>
  <c r="S29" i="34"/>
  <c r="U13" i="34"/>
  <c r="AB13" i="34"/>
  <c r="U44" i="33"/>
  <c r="AB44" i="33"/>
  <c r="S30" i="33"/>
  <c r="AA30" i="33"/>
  <c r="AC14" i="33"/>
  <c r="W14" i="33"/>
  <c r="AA46" i="21"/>
  <c r="S46" i="21"/>
  <c r="U46" i="21"/>
  <c r="AB46" i="21"/>
  <c r="AB27" i="21"/>
  <c r="U27" i="21"/>
  <c r="E10" i="6"/>
  <c r="D121" i="9"/>
  <c r="D7" i="52" s="1"/>
  <c r="D6" i="52"/>
  <c r="AZ493" i="3"/>
  <c r="AZ5" i="3" s="1"/>
  <c r="AB9" i="37"/>
  <c r="U9" i="37"/>
  <c r="S24" i="36"/>
  <c r="AA24" i="36"/>
  <c r="AC24" i="36"/>
  <c r="W24" i="36"/>
  <c r="AB12" i="36"/>
  <c r="U12" i="36"/>
  <c r="AB27" i="34"/>
  <c r="U27" i="34"/>
  <c r="AC27" i="34"/>
  <c r="W27" i="34"/>
  <c r="AC12" i="21"/>
  <c r="W12" i="21"/>
  <c r="E15" i="6"/>
  <c r="C19" i="43"/>
  <c r="E494" i="3"/>
  <c r="E496" i="3"/>
  <c r="M84" i="43"/>
  <c r="N84" i="43" s="1"/>
  <c r="K84" i="43"/>
  <c r="J84" i="43" s="1"/>
  <c r="M87" i="43"/>
  <c r="N87" i="43" s="1"/>
  <c r="K87" i="43"/>
  <c r="M83" i="43"/>
  <c r="N83" i="43" s="1"/>
  <c r="K83" i="43"/>
  <c r="M81" i="43"/>
  <c r="N81" i="43" s="1"/>
  <c r="K81" i="43"/>
  <c r="B20" i="71"/>
  <c r="B19" i="71" s="1"/>
  <c r="B18" i="71" s="1"/>
  <c r="B17" i="71" s="1"/>
  <c r="S21" i="71"/>
  <c r="AA23" i="35"/>
  <c r="S23" i="35"/>
  <c r="U23" i="35"/>
  <c r="AB23" i="35"/>
  <c r="W26" i="33"/>
  <c r="AC26" i="33"/>
  <c r="U44" i="21"/>
  <c r="AB44" i="21"/>
  <c r="U29" i="21"/>
  <c r="AB29" i="21"/>
  <c r="AC13" i="21"/>
  <c r="W13" i="21"/>
  <c r="S15" i="40"/>
  <c r="AA15" i="40"/>
  <c r="F84" i="40"/>
  <c r="G84" i="40" s="1"/>
  <c r="J15" i="40"/>
  <c r="W12" i="39"/>
  <c r="AC12" i="39"/>
  <c r="U39" i="37"/>
  <c r="AB39" i="37"/>
  <c r="U35" i="35"/>
  <c r="AB35" i="35"/>
  <c r="AC35" i="35"/>
  <c r="W35" i="35"/>
  <c r="S25" i="35"/>
  <c r="AA25" i="35"/>
  <c r="U13" i="35"/>
  <c r="AB13" i="35"/>
  <c r="AA13" i="35"/>
  <c r="S13" i="35"/>
  <c r="S47" i="34"/>
  <c r="AA47" i="34"/>
  <c r="S45" i="34"/>
  <c r="AA45" i="34"/>
  <c r="U45" i="34"/>
  <c r="AB45" i="34"/>
  <c r="AB31" i="34"/>
  <c r="U31" i="34"/>
  <c r="AB29" i="34"/>
  <c r="U29" i="34"/>
  <c r="AA13" i="34"/>
  <c r="S13" i="34"/>
  <c r="S44" i="33"/>
  <c r="AA44" i="33"/>
  <c r="AC30" i="33"/>
  <c r="W30" i="33"/>
  <c r="U30" i="33"/>
  <c r="AB30" i="33"/>
  <c r="U14" i="33"/>
  <c r="AB14" i="33"/>
  <c r="W46" i="21"/>
  <c r="AC46" i="21"/>
  <c r="AA27" i="21"/>
  <c r="S27" i="21"/>
  <c r="W27" i="21"/>
  <c r="AC27" i="21"/>
  <c r="BL5" i="3"/>
  <c r="BA5" i="3"/>
  <c r="E353" i="3"/>
  <c r="E495" i="3"/>
  <c r="AN6" i="3"/>
  <c r="E586" i="3"/>
  <c r="E402" i="3"/>
  <c r="E350" i="3"/>
  <c r="E303" i="3"/>
  <c r="E301" i="3"/>
  <c r="E196" i="3"/>
  <c r="E136" i="3"/>
  <c r="E156" i="3"/>
  <c r="E236" i="3"/>
  <c r="E148" i="3"/>
  <c r="E269" i="3"/>
  <c r="E122" i="3"/>
  <c r="E89" i="3"/>
  <c r="E120" i="3"/>
  <c r="E45" i="3"/>
  <c r="E277" i="3"/>
  <c r="E224" i="3"/>
  <c r="E177" i="3"/>
  <c r="E193" i="3"/>
  <c r="E133"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AE6" i="3"/>
  <c r="J6" i="3"/>
  <c r="E571" i="3"/>
  <c r="E577" i="3"/>
  <c r="E498"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151" i="3"/>
  <c r="E385" i="3"/>
  <c r="AI6" i="3"/>
  <c r="E423" i="3"/>
  <c r="E263" i="3"/>
  <c r="E159" i="3"/>
  <c r="E99" i="3"/>
  <c r="E228" i="3"/>
  <c r="E157" i="3"/>
  <c r="E85" i="3"/>
  <c r="E238" i="3"/>
  <c r="E116" i="3"/>
  <c r="E105" i="3"/>
  <c r="E312" i="3"/>
  <c r="AD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8" i="3"/>
  <c r="E578" i="3"/>
  <c r="E382" i="3"/>
  <c r="E245" i="3"/>
  <c r="E191" i="3"/>
  <c r="E188" i="3"/>
  <c r="E181" i="3"/>
  <c r="E140" i="3"/>
  <c r="E223" i="3"/>
  <c r="E197" i="3"/>
  <c r="E173" i="3"/>
  <c r="E286" i="3"/>
  <c r="E575"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Z496" i="3"/>
  <c r="AZ504" i="3"/>
  <c r="AZ519" i="3"/>
  <c r="AZ520" i="3"/>
  <c r="AA9" i="37"/>
  <c r="S9" i="37"/>
  <c r="AC9" i="37"/>
  <c r="W9" i="37"/>
  <c r="AB24" i="36"/>
  <c r="U24" i="36"/>
  <c r="AA12" i="36"/>
  <c r="S12" i="36"/>
  <c r="W12" i="36"/>
  <c r="AC12" i="36"/>
  <c r="AA27" i="34"/>
  <c r="S27" i="34"/>
  <c r="U12" i="21"/>
  <c r="AB12" i="21"/>
  <c r="S12" i="21"/>
  <c r="AA12" i="21"/>
  <c r="B38" i="72"/>
  <c r="D20" i="53"/>
  <c r="B40" i="72" s="1"/>
  <c r="M14" i="1"/>
  <c r="M16" i="1" s="1"/>
  <c r="N16" i="1" s="1"/>
  <c r="F50" i="11" s="1"/>
  <c r="C34" i="69"/>
  <c r="E497" i="3"/>
  <c r="E12" i="71"/>
  <c r="E11" i="71" s="1"/>
  <c r="E10" i="71" s="1"/>
  <c r="E9" i="71" s="1"/>
  <c r="V13" i="71"/>
  <c r="G16" i="1"/>
  <c r="F10" i="39" s="1"/>
  <c r="AA10" i="39" s="1"/>
  <c r="F48" i="68"/>
  <c r="C30" i="68"/>
  <c r="C48" i="11"/>
  <c r="C30" i="11"/>
  <c r="F48" i="69"/>
  <c r="C48" i="69"/>
  <c r="C30" i="69"/>
  <c r="F45" i="68"/>
  <c r="C47" i="68"/>
  <c r="D45" i="68" s="1"/>
  <c r="C29" i="11"/>
  <c r="D27" i="11" s="1"/>
  <c r="C47" i="11"/>
  <c r="D45" i="11" s="1"/>
  <c r="E58" i="40"/>
  <c r="E63" i="39"/>
  <c r="H6" i="3"/>
  <c r="O16" i="1"/>
  <c r="D22" i="43"/>
  <c r="E61" i="39"/>
  <c r="E56" i="40"/>
  <c r="F27" i="6"/>
  <c r="D29" i="43" s="1"/>
  <c r="D1" i="43" s="1"/>
  <c r="E51" i="40"/>
  <c r="E56" i="39"/>
  <c r="E16" i="6"/>
  <c r="AC6" i="3"/>
  <c r="E59" i="40"/>
  <c r="E64" i="39"/>
  <c r="E57" i="40"/>
  <c r="E62" i="3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40"/>
  <c r="AB10" i="40" s="1"/>
  <c r="F10" i="40"/>
  <c r="AA10" i="40" s="1"/>
  <c r="J10" i="40"/>
  <c r="W10" i="40" s="1"/>
  <c r="H10" i="39"/>
  <c r="U10" i="39" s="1"/>
  <c r="D70" i="39"/>
  <c r="E68" i="39"/>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7" i="1"/>
  <c r="AE6" i="1"/>
  <c r="C34" i="11" l="1"/>
  <c r="C38" i="11" s="1"/>
  <c r="E6" i="3"/>
  <c r="L16" i="1"/>
  <c r="C34" i="68"/>
  <c r="C35" i="68" s="1"/>
  <c r="S10" i="40"/>
  <c r="J10" i="39"/>
  <c r="AC10" i="39" s="1"/>
  <c r="W10" i="39"/>
  <c r="E3" i="6"/>
  <c r="AY6" i="3"/>
  <c r="E41" i="43"/>
  <c r="C41" i="43" s="1"/>
  <c r="C20" i="43"/>
  <c r="E8" i="71"/>
  <c r="E7" i="71" s="1"/>
  <c r="E6" i="71" s="1"/>
  <c r="E5" i="71" s="1"/>
  <c r="V9" i="71"/>
  <c r="C35" i="69"/>
  <c r="C38" i="69"/>
  <c r="W15" i="40"/>
  <c r="AC15" i="40"/>
  <c r="D81" i="43"/>
  <c r="J81" i="43"/>
  <c r="D83" i="43"/>
  <c r="J83" i="43"/>
  <c r="D87" i="43"/>
  <c r="J87" i="43"/>
  <c r="T53" i="71"/>
  <c r="D53" i="71"/>
  <c r="C19" i="71"/>
  <c r="D20" i="71"/>
  <c r="N85" i="43"/>
  <c r="D85" i="43"/>
  <c r="F50" i="68"/>
  <c r="F50" i="69"/>
  <c r="B16" i="71"/>
  <c r="B15" i="71" s="1"/>
  <c r="B14" i="71" s="1"/>
  <c r="B13" i="71" s="1"/>
  <c r="S17" i="71"/>
  <c r="E60" i="40"/>
  <c r="E65" i="39"/>
  <c r="Q63" i="71"/>
  <c r="Q62" i="71"/>
  <c r="J88" i="43"/>
  <c r="D88" i="43"/>
  <c r="E81" i="43" s="1"/>
  <c r="B79" i="43" s="1"/>
  <c r="C24" i="43" s="1"/>
  <c r="T14" i="43" s="1"/>
  <c r="V14" i="43" s="1"/>
  <c r="AC10" i="40"/>
  <c r="S10" i="39"/>
  <c r="E61" i="40"/>
  <c r="E66" i="39"/>
  <c r="F31" i="6"/>
  <c r="E27" i="6"/>
  <c r="C15" i="12"/>
  <c r="C12" i="12"/>
  <c r="C23" i="43"/>
  <c r="C21" i="43" s="1"/>
  <c r="S7" i="43"/>
  <c r="S3" i="43"/>
  <c r="S5" i="43"/>
  <c r="S4" i="43"/>
  <c r="S2" i="43"/>
  <c r="S6" i="43"/>
  <c r="C115" i="43"/>
  <c r="D113" i="43" s="1"/>
  <c r="U7" i="37"/>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F41" i="15"/>
  <c r="C35" i="11" l="1"/>
  <c r="T2" i="43"/>
  <c r="V2" i="43" s="1"/>
  <c r="T5" i="43"/>
  <c r="V5" i="43" s="1"/>
  <c r="T7" i="43"/>
  <c r="V7" i="43" s="1"/>
  <c r="T6" i="43"/>
  <c r="V6" i="43" s="1"/>
  <c r="T4" i="43"/>
  <c r="V4" i="43" s="1"/>
  <c r="C38" i="68"/>
  <c r="T3" i="43"/>
  <c r="V3" i="43" s="1"/>
  <c r="C29" i="43"/>
  <c r="C30" i="43" s="1"/>
  <c r="E30" i="43" s="1"/>
  <c r="B12" i="71"/>
  <c r="B11" i="71" s="1"/>
  <c r="B10" i="71" s="1"/>
  <c r="B9" i="71" s="1"/>
  <c r="S13" i="71"/>
  <c r="C35" i="43"/>
  <c r="T9" i="43"/>
  <c r="V9" i="43" s="1"/>
  <c r="T12" i="43"/>
  <c r="V12" i="43" s="1"/>
  <c r="C33" i="43"/>
  <c r="C36" i="43"/>
  <c r="T16" i="43"/>
  <c r="V16" i="43" s="1"/>
  <c r="T11" i="43"/>
  <c r="V11" i="43" s="1"/>
  <c r="T10" i="43"/>
  <c r="V10" i="43" s="1"/>
  <c r="T13" i="43"/>
  <c r="V13" i="43" s="1"/>
  <c r="C34" i="43"/>
  <c r="C37" i="43"/>
  <c r="T8" i="43"/>
  <c r="V8" i="43" s="1"/>
  <c r="T15" i="43"/>
  <c r="V15"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207" i="3"/>
  <c r="AY124" i="3"/>
  <c r="AY42" i="3"/>
  <c r="AY281" i="3"/>
  <c r="AY168" i="3"/>
  <c r="AY236" i="3"/>
  <c r="AY366" i="3"/>
  <c r="AY473" i="3"/>
  <c r="AY441" i="3"/>
  <c r="AY2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34"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8" i="71"/>
  <c r="D19" i="71"/>
  <c r="C38" i="43"/>
  <c r="C39" i="43"/>
  <c r="D3" i="34"/>
  <c r="E6" i="6"/>
  <c r="D14" i="12"/>
  <c r="D37" i="11"/>
  <c r="C37" i="11" s="1"/>
  <c r="C33" i="11" s="1"/>
  <c r="C39" i="11" s="1"/>
  <c r="C46" i="11" s="1"/>
  <c r="C45" i="11" s="1"/>
  <c r="D3" i="33"/>
  <c r="M18" i="9"/>
  <c r="B118" i="9" s="1"/>
  <c r="B14" i="74" s="1"/>
  <c r="B1" i="74" s="1"/>
  <c r="D3" i="21"/>
  <c r="C17" i="4"/>
  <c r="B4" i="52" s="1"/>
  <c r="B43" i="72" s="1"/>
  <c r="D3" i="37"/>
  <c r="D19" i="11"/>
  <c r="C19" i="11" s="1"/>
  <c r="C20" i="11" s="1"/>
  <c r="C28" i="11" s="1"/>
  <c r="C27" i="11" s="1"/>
  <c r="L18" i="9"/>
  <c r="F69" i="67"/>
  <c r="F69" i="15"/>
  <c r="J29" i="67"/>
  <c r="J29" i="15"/>
  <c r="K20" i="6"/>
  <c r="K21" i="6"/>
  <c r="M21" i="6" s="1"/>
  <c r="I21" i="6" s="1"/>
  <c r="K24" i="6"/>
  <c r="M24" i="6" s="1"/>
  <c r="I24" i="6" s="1"/>
  <c r="K26" i="6"/>
  <c r="M26" i="6" s="1"/>
  <c r="I26" i="6" s="1"/>
  <c r="K22" i="6"/>
  <c r="M22" i="6" s="1"/>
  <c r="I22" i="6" s="1"/>
  <c r="K19" i="6"/>
  <c r="S6" i="1" s="1"/>
  <c r="K25" i="6"/>
  <c r="M25" i="6" s="1"/>
  <c r="I25" i="6" s="1"/>
  <c r="K23" i="6"/>
  <c r="M23" i="6" s="1"/>
  <c r="I23" i="6" s="1"/>
  <c r="E31" i="6"/>
  <c r="E29" i="43"/>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15"/>
  <c r="C42" i="11" l="1"/>
  <c r="C43" i="11"/>
  <c r="D17" i="12"/>
  <c r="C17" i="12" s="1"/>
  <c r="C14" i="12"/>
  <c r="C16" i="12" s="1"/>
  <c r="E38" i="43"/>
  <c r="G38" i="43"/>
  <c r="I38" i="43" s="1"/>
  <c r="D18" i="71"/>
  <c r="C17" i="71"/>
  <c r="G34" i="43"/>
  <c r="I34" i="43" s="1"/>
  <c r="E34" i="43"/>
  <c r="G33" i="43"/>
  <c r="I33" i="43" s="1"/>
  <c r="E33" i="43"/>
  <c r="E6" i="70"/>
  <c r="C8" i="74"/>
  <c r="C7" i="74"/>
  <c r="D10" i="68"/>
  <c r="D10" i="11"/>
  <c r="C10" i="11" s="1"/>
  <c r="D20" i="12"/>
  <c r="C20" i="12" s="1"/>
  <c r="C18" i="12" s="1"/>
  <c r="D10" i="69"/>
  <c r="G39" i="43"/>
  <c r="I39" i="43" s="1"/>
  <c r="E39" i="43"/>
  <c r="D19" i="6"/>
  <c r="C18" i="4"/>
  <c r="D23" i="6"/>
  <c r="D6" i="6"/>
  <c r="D10" i="6"/>
  <c r="D29" i="6"/>
  <c r="D25" i="6"/>
  <c r="D22" i="6"/>
  <c r="D24" i="6"/>
  <c r="D5" i="6"/>
  <c r="D11" i="6"/>
  <c r="D28" i="6"/>
  <c r="D30" i="6" s="1"/>
  <c r="D26" i="6"/>
  <c r="D8" i="6"/>
  <c r="D14" i="6"/>
  <c r="D9" i="6"/>
  <c r="L19" i="9"/>
  <c r="M19" i="9"/>
  <c r="C118" i="9" s="1"/>
  <c r="C14" i="74" s="1"/>
  <c r="B2" i="74" s="1"/>
  <c r="D15" i="6"/>
  <c r="D21" i="6"/>
  <c r="D20" i="6"/>
  <c r="D12" i="6"/>
  <c r="D13" i="6"/>
  <c r="E37" i="43"/>
  <c r="G37" i="43"/>
  <c r="I37" i="43" s="1"/>
  <c r="E36" i="43"/>
  <c r="G36" i="43"/>
  <c r="I36" i="43" s="1"/>
  <c r="E35" i="43"/>
  <c r="G35" i="43"/>
  <c r="I35" i="43" s="1"/>
  <c r="B8" i="71"/>
  <c r="B7" i="71" s="1"/>
  <c r="B6" i="71" s="1"/>
  <c r="B5" i="71" s="1"/>
  <c r="S9" i="71"/>
  <c r="AQ6" i="1"/>
  <c r="T6" i="1"/>
  <c r="AR6" i="1"/>
  <c r="M20" i="6"/>
  <c r="I20" i="6" s="1"/>
  <c r="S20" i="6" s="1"/>
  <c r="S7" i="1"/>
  <c r="S23" i="6"/>
  <c r="H23" i="6"/>
  <c r="R23" i="6" s="1"/>
  <c r="K27" i="6"/>
  <c r="M19" i="6"/>
  <c r="S26" i="6"/>
  <c r="H26" i="6"/>
  <c r="S21" i="6"/>
  <c r="H21" i="6"/>
  <c r="R21" i="6" s="1"/>
  <c r="S25" i="6"/>
  <c r="H25" i="6"/>
  <c r="R25" i="6" s="1"/>
  <c r="S22" i="6"/>
  <c r="H22" i="6"/>
  <c r="R22" i="6" s="1"/>
  <c r="S24" i="6"/>
  <c r="H24" i="6"/>
  <c r="R24" i="6" s="1"/>
  <c r="H20" i="6"/>
  <c r="R20" i="6" s="1"/>
  <c r="R7" i="1" s="1"/>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3" i="67"/>
  <c r="J59" i="67"/>
  <c r="J60" i="67" s="1"/>
  <c r="C14" i="67"/>
  <c r="M21" i="67"/>
  <c r="C14" i="15"/>
  <c r="F35" i="67"/>
  <c r="C17" i="67"/>
  <c r="C41" i="11" l="1"/>
  <c r="C49" i="11" s="1"/>
  <c r="C51" i="11" s="1"/>
  <c r="C52" i="11" s="1"/>
  <c r="B2" i="11" s="1"/>
  <c r="B3" i="11" s="1"/>
  <c r="R26" i="6"/>
  <c r="C27" i="43"/>
  <c r="C26" i="43"/>
  <c r="B2" i="43" s="1"/>
  <c r="C15" i="15"/>
  <c r="C18" i="15"/>
  <c r="C18" i="67"/>
  <c r="C15" i="67"/>
  <c r="D27" i="6"/>
  <c r="D31" i="6" s="1"/>
  <c r="C10" i="68"/>
  <c r="D19" i="68"/>
  <c r="C16" i="71"/>
  <c r="T17" i="71"/>
  <c r="D17" i="71"/>
  <c r="U17" i="71" s="1"/>
  <c r="C21" i="12"/>
  <c r="C22" i="12" s="1"/>
  <c r="C27" i="12" s="1"/>
  <c r="C25" i="12" s="1"/>
  <c r="S16" i="1"/>
  <c r="E7" i="70"/>
  <c r="E2" i="70" s="1"/>
  <c r="D8" i="74"/>
  <c r="D7" i="74"/>
  <c r="D16" i="6"/>
  <c r="C4" i="52"/>
  <c r="B45" i="72" s="1"/>
  <c r="A10" i="51"/>
  <c r="B9" i="72" s="1"/>
  <c r="A7" i="51"/>
  <c r="B7" i="72" s="1"/>
  <c r="C10" i="69"/>
  <c r="C8" i="69" s="1"/>
  <c r="C5" i="69" s="1"/>
  <c r="D19" i="69"/>
  <c r="J20" i="67"/>
  <c r="F63" i="67"/>
  <c r="C62" i="67" s="1"/>
  <c r="C34" i="67"/>
  <c r="C31" i="67" s="1"/>
  <c r="AQ7" i="1"/>
  <c r="AR7" i="1"/>
  <c r="T7" i="1"/>
  <c r="T16" i="1" s="1"/>
  <c r="I19" i="6"/>
  <c r="M27" i="6"/>
  <c r="H70" i="39"/>
  <c r="I68" i="39"/>
  <c r="I63" i="40"/>
  <c r="H65" i="40"/>
  <c r="I58" i="21"/>
  <c r="J58" i="21" s="1"/>
  <c r="K58" i="21" s="1"/>
  <c r="L58" i="21" s="1"/>
  <c r="M58" i="21" s="1"/>
  <c r="N58" i="21" s="1"/>
  <c r="O58" i="21" s="1"/>
  <c r="H7" i="21" s="1"/>
  <c r="F7" i="21"/>
  <c r="J48" i="35"/>
  <c r="Q48" i="15"/>
  <c r="Q48" i="67"/>
  <c r="B6" i="76"/>
  <c r="E6" i="76"/>
  <c r="C30" i="12" l="1"/>
  <c r="C28" i="12" s="1"/>
  <c r="C32" i="12" s="1"/>
  <c r="B2" i="12" s="1"/>
  <c r="B3" i="12" s="1"/>
  <c r="E2" i="76"/>
  <c r="C19" i="15"/>
  <c r="C20" i="15" s="1"/>
  <c r="C26" i="15" s="1"/>
  <c r="C19" i="67"/>
  <c r="C20" i="67" s="1"/>
  <c r="C26" i="67" s="1"/>
  <c r="B2" i="76"/>
  <c r="C23" i="69"/>
  <c r="C15" i="71"/>
  <c r="D16" i="71"/>
  <c r="B3" i="43"/>
  <c r="J7" i="21"/>
  <c r="C19" i="69"/>
  <c r="C24" i="69" s="1"/>
  <c r="D37" i="69"/>
  <c r="C37" i="69" s="1"/>
  <c r="C33" i="69" s="1"/>
  <c r="C19" i="68"/>
  <c r="C24" i="68" s="1"/>
  <c r="D37" i="68"/>
  <c r="C37" i="68" s="1"/>
  <c r="C33" i="68" s="1"/>
  <c r="I6" i="6"/>
  <c r="I5" i="6"/>
  <c r="S19" i="6"/>
  <c r="S27" i="6" s="1"/>
  <c r="H19" i="6"/>
  <c r="I27" i="6"/>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B3" i="76" l="1"/>
  <c r="C23" i="67"/>
  <c r="C29" i="67" s="1"/>
  <c r="C13" i="67" s="1"/>
  <c r="C23" i="15"/>
  <c r="C29" i="15" s="1"/>
  <c r="Q49" i="15" s="1"/>
  <c r="C20" i="69"/>
  <c r="C39" i="68"/>
  <c r="C42" i="68"/>
  <c r="C39" i="69"/>
  <c r="C43" i="69" s="1"/>
  <c r="C42" i="69"/>
  <c r="C14" i="71"/>
  <c r="D15" i="71"/>
  <c r="R19" i="6"/>
  <c r="H27" i="6"/>
  <c r="K68" i="39"/>
  <c r="J70" i="39"/>
  <c r="W7" i="35"/>
  <c r="AC7" i="35"/>
  <c r="V38" i="35" s="1"/>
  <c r="I38" i="35" s="1"/>
  <c r="J65" i="40"/>
  <c r="K63" i="40"/>
  <c r="I52" i="21"/>
  <c r="J52" i="21" s="1"/>
  <c r="U7" i="35"/>
  <c r="AB7" i="35"/>
  <c r="T38" i="35" s="1"/>
  <c r="G38" i="35" s="1"/>
  <c r="R49" i="21"/>
  <c r="E48" i="21"/>
  <c r="G52" i="21"/>
  <c r="H52" i="21" s="1"/>
  <c r="G53" i="21"/>
  <c r="H53" i="21" s="1"/>
  <c r="F7" i="35"/>
  <c r="L57" i="67"/>
  <c r="L60" i="67" s="1"/>
  <c r="L46" i="67" s="1"/>
  <c r="Q49" i="67" l="1"/>
  <c r="C57" i="15"/>
  <c r="C64" i="15" s="1"/>
  <c r="J14" i="67"/>
  <c r="J13" i="67" s="1"/>
  <c r="J23" i="67" s="1"/>
  <c r="C57" i="67"/>
  <c r="C61" i="67" s="1"/>
  <c r="C59" i="67" s="1"/>
  <c r="J19" i="67"/>
  <c r="J17" i="67" s="1"/>
  <c r="C36" i="67"/>
  <c r="C13" i="15"/>
  <c r="C75" i="15" s="1"/>
  <c r="J14" i="15"/>
  <c r="J13" i="15" s="1"/>
  <c r="J23" i="15" s="1"/>
  <c r="J19" i="15"/>
  <c r="C36" i="15"/>
  <c r="C41" i="69"/>
  <c r="C46" i="69"/>
  <c r="C45" i="69" s="1"/>
  <c r="C46" i="68"/>
  <c r="C45" i="68" s="1"/>
  <c r="C43" i="68"/>
  <c r="C41" i="68" s="1"/>
  <c r="C75" i="67"/>
  <c r="C37" i="67"/>
  <c r="C56" i="67"/>
  <c r="C65" i="67" s="1"/>
  <c r="Q70" i="67"/>
  <c r="D14" i="71"/>
  <c r="C13" i="71"/>
  <c r="C28" i="69"/>
  <c r="C27" i="69" s="1"/>
  <c r="C25" i="69"/>
  <c r="C22" i="69" s="1"/>
  <c r="R27" i="6"/>
  <c r="R6" i="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M21" i="15"/>
  <c r="F35" i="15"/>
  <c r="C61" i="15" l="1"/>
  <c r="C30" i="67"/>
  <c r="C39" i="67" s="1"/>
  <c r="C40" i="67" s="1"/>
  <c r="J22" i="67"/>
  <c r="J16" i="67" s="1"/>
  <c r="J25" i="67" s="1"/>
  <c r="C56" i="15"/>
  <c r="C65" i="15" s="1"/>
  <c r="C64" i="67"/>
  <c r="C58" i="67" s="1"/>
  <c r="C67" i="67" s="1"/>
  <c r="C68" i="67" s="1"/>
  <c r="C71" i="67" s="1"/>
  <c r="Q70" i="15"/>
  <c r="J22" i="15"/>
  <c r="C37" i="15"/>
  <c r="C49" i="69"/>
  <c r="C51" i="69" s="1"/>
  <c r="C49" i="68"/>
  <c r="C51" i="68" s="1"/>
  <c r="C12" i="71"/>
  <c r="T13" i="71"/>
  <c r="D13" i="71"/>
  <c r="U13" i="71" s="1"/>
  <c r="C31" i="69"/>
  <c r="J20" i="15"/>
  <c r="J17" i="15" s="1"/>
  <c r="C34" i="15"/>
  <c r="C31" i="15" s="1"/>
  <c r="F63" i="15"/>
  <c r="C62" i="15" s="1"/>
  <c r="R16" i="1"/>
  <c r="L70" i="39"/>
  <c r="M68" i="39"/>
  <c r="R39" i="35"/>
  <c r="E38" i="35"/>
  <c r="M63" i="40"/>
  <c r="L65" i="40"/>
  <c r="L51" i="67"/>
  <c r="C59" i="15" l="1"/>
  <c r="C58" i="15" s="1"/>
  <c r="C67" i="15" s="1"/>
  <c r="C68" i="15" s="1"/>
  <c r="C71" i="15" s="1"/>
  <c r="Q69" i="67"/>
  <c r="Q68" i="67" s="1"/>
  <c r="C80" i="67"/>
  <c r="C79" i="67" s="1"/>
  <c r="J16" i="15"/>
  <c r="J25" i="15" s="1"/>
  <c r="C30" i="15"/>
  <c r="C39" i="15" s="1"/>
  <c r="C80" i="15" s="1"/>
  <c r="C79" i="15" s="1"/>
  <c r="C45" i="67"/>
  <c r="C46" i="67" s="1"/>
  <c r="C52" i="69"/>
  <c r="C57" i="69" s="1"/>
  <c r="C56" i="69" s="1"/>
  <c r="Q67" i="67"/>
  <c r="D12" i="71"/>
  <c r="C11" i="71"/>
  <c r="B2" i="69"/>
  <c r="B3" i="69" s="1"/>
  <c r="C43" i="67"/>
  <c r="Q56" i="67"/>
  <c r="Q62" i="67" s="1"/>
  <c r="C83" i="67"/>
  <c r="C82" i="67" s="1"/>
  <c r="Q47" i="67"/>
  <c r="Q53" i="67" s="1"/>
  <c r="Q65" i="67"/>
  <c r="Q75" i="67" s="1"/>
  <c r="D2" i="67"/>
  <c r="L57" i="15"/>
  <c r="L60" i="15" s="1"/>
  <c r="M70" i="39"/>
  <c r="N68" i="39"/>
  <c r="C39" i="35"/>
  <c r="B2" i="35" s="1"/>
  <c r="B3" i="35" s="1"/>
  <c r="C38" i="35"/>
  <c r="N63" i="40"/>
  <c r="M65" i="40"/>
  <c r="E43" i="35"/>
  <c r="F43" i="35" s="1"/>
  <c r="E42" i="35"/>
  <c r="F42" i="35" s="1"/>
  <c r="I43" i="35"/>
  <c r="J43" i="35" s="1"/>
  <c r="Q69" i="15" l="1"/>
  <c r="Q68" i="15" s="1"/>
  <c r="C40" i="15"/>
  <c r="C46" i="15" s="1"/>
  <c r="B2" i="67"/>
  <c r="B3" i="67"/>
  <c r="D11" i="71"/>
  <c r="C10" i="71"/>
  <c r="L46" i="15"/>
  <c r="Q66" i="15"/>
  <c r="Q57" i="15"/>
  <c r="O68" i="39"/>
  <c r="O70" i="39" s="1"/>
  <c r="N70" i="39"/>
  <c r="F7" i="39" s="1"/>
  <c r="H7" i="39"/>
  <c r="J7" i="39"/>
  <c r="O63" i="40"/>
  <c r="O65" i="40" s="1"/>
  <c r="N65" i="40"/>
  <c r="AO7" i="1"/>
  <c r="L51" i="15"/>
  <c r="Q67" i="15" l="1"/>
  <c r="B2" i="15"/>
  <c r="B3" i="15" s="1"/>
  <c r="C43" i="15"/>
  <c r="Q47" i="15"/>
  <c r="Q53" i="15" s="1"/>
  <c r="C83" i="15"/>
  <c r="C82" i="15" s="1"/>
  <c r="Q56" i="15"/>
  <c r="Q62" i="15" s="1"/>
  <c r="Q65" i="15"/>
  <c r="Q75" i="15" s="1"/>
  <c r="B7" i="70"/>
  <c r="C9" i="71"/>
  <c r="D10" i="71"/>
  <c r="AC7" i="39"/>
  <c r="V47" i="39" s="1"/>
  <c r="I47" i="39" s="1"/>
  <c r="W7" i="39"/>
  <c r="S7" i="39"/>
  <c r="AA7" i="39"/>
  <c r="R47" i="39" s="1"/>
  <c r="AB7" i="39"/>
  <c r="T47" i="39" s="1"/>
  <c r="G47" i="39" s="1"/>
  <c r="U7" i="39"/>
  <c r="J7" i="40"/>
  <c r="F7" i="40"/>
  <c r="H7" i="40"/>
  <c r="AO6" i="1"/>
  <c r="B6" i="70" l="1"/>
  <c r="B2" i="70" s="1"/>
  <c r="B3" i="70" s="1"/>
  <c r="C8" i="71"/>
  <c r="T9" i="71"/>
  <c r="D9" i="71"/>
  <c r="U9" i="71" s="1"/>
  <c r="R48" i="39"/>
  <c r="E47" i="39"/>
  <c r="G51" i="39"/>
  <c r="H51" i="39" s="1"/>
  <c r="G52" i="39"/>
  <c r="H52" i="39" s="1"/>
  <c r="I51" i="39"/>
  <c r="J51" i="39" s="1"/>
  <c r="I52" i="39"/>
  <c r="J52" i="39" s="1"/>
  <c r="U7" i="40"/>
  <c r="AB7" i="40"/>
  <c r="T42" i="40" s="1"/>
  <c r="G42" i="40" s="1"/>
  <c r="AA7" i="40"/>
  <c r="R42" i="40" s="1"/>
  <c r="S7" i="40"/>
  <c r="AC7" i="40"/>
  <c r="V42" i="40" s="1"/>
  <c r="I42" i="40" s="1"/>
  <c r="W7" i="40"/>
  <c r="D20" i="9"/>
  <c r="D19" i="9"/>
  <c r="D21" i="9" l="1"/>
  <c r="D102" i="9"/>
  <c r="D8" i="71"/>
  <c r="C7" i="71"/>
  <c r="D103" i="9"/>
  <c r="C48" i="39"/>
  <c r="C47" i="39"/>
  <c r="E52" i="39"/>
  <c r="F52" i="39" s="1"/>
  <c r="E51" i="39"/>
  <c r="F51" i="39" s="1"/>
  <c r="I46" i="40"/>
  <c r="J46" i="40" s="1"/>
  <c r="R43" i="40"/>
  <c r="E42" i="40"/>
  <c r="G47" i="40"/>
  <c r="H47" i="40" s="1"/>
  <c r="G46" i="40"/>
  <c r="H46" i="40" s="1"/>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D5" i="71" l="1"/>
  <c r="M20" i="43"/>
  <c r="F61" i="40"/>
  <c r="B2" i="40" s="1"/>
  <c r="L2" i="40" s="1"/>
  <c r="B3" i="40" l="1"/>
  <c r="C6" i="68"/>
  <c r="C7" i="68" s="1"/>
  <c r="C5" i="68" s="1"/>
  <c r="C20" i="68" l="1"/>
  <c r="C25" i="68" s="1"/>
  <c r="C23" i="68"/>
  <c r="C22" i="68" l="1"/>
  <c r="C28" i="68"/>
  <c r="C27" i="68" s="1"/>
  <c r="C31" i="68" l="1"/>
  <c r="C52" i="68" l="1"/>
  <c r="C57" i="68" s="1"/>
  <c r="C56" i="68" s="1"/>
  <c r="I31" i="68"/>
  <c r="B2" i="68" l="1"/>
  <c r="C19" i="9"/>
  <c r="D22" i="9" l="1"/>
  <c r="C21" i="9"/>
  <c r="C102" i="9"/>
  <c r="G19" i="9"/>
  <c r="B3" i="68"/>
  <c r="D34" i="9"/>
  <c r="D35" i="9"/>
  <c r="C20" i="9"/>
  <c r="G21" i="9" l="1"/>
  <c r="G20" i="9"/>
  <c r="C32" i="9" s="1"/>
  <c r="H118" i="9" s="1"/>
  <c r="H4" i="52" s="1"/>
  <c r="C103" i="9"/>
  <c r="H119" i="9" l="1"/>
  <c r="H5" i="52" s="1"/>
  <c r="I118" i="9"/>
  <c r="H102" i="9" s="1"/>
  <c r="D7" i="53" s="1"/>
  <c r="B21" i="72" s="1"/>
  <c r="H101" i="9"/>
  <c r="H107" i="9" s="1"/>
  <c r="C35" i="9"/>
  <c r="C34" i="9" s="1"/>
  <c r="D118" i="9" s="1"/>
  <c r="D4" i="52" s="1"/>
  <c r="B47" i="72" s="1"/>
  <c r="D14" i="74"/>
  <c r="B5" i="74" s="1"/>
  <c r="C104" i="9"/>
  <c r="D119" i="9" l="1"/>
  <c r="D5" i="52" s="1"/>
  <c r="B49" i="72" s="1"/>
  <c r="C105" i="9"/>
  <c r="M48" i="9"/>
  <c r="I4" i="52"/>
  <c r="F118" i="9"/>
  <c r="G118" i="9" s="1"/>
  <c r="G4" i="52" s="1"/>
  <c r="B52" i="72" s="1"/>
  <c r="E14" i="74"/>
  <c r="D5" i="53"/>
  <c r="B20" i="72" s="1"/>
  <c r="F14" i="74"/>
  <c r="D45" i="9"/>
  <c r="C85" i="9" s="1"/>
  <c r="C5" i="74"/>
  <c r="D5" i="74"/>
  <c r="D13" i="53"/>
  <c r="M49" i="9"/>
  <c r="H108" i="9"/>
  <c r="D15" i="53" s="1"/>
  <c r="B31" i="72" s="1"/>
  <c r="D122" i="9"/>
  <c r="E118" i="9" l="1"/>
  <c r="E4" i="52" s="1"/>
  <c r="B48" i="72" s="1"/>
  <c r="F119" i="9"/>
  <c r="F5" i="52" s="1"/>
  <c r="B53" i="72" s="1"/>
  <c r="F4" i="52"/>
  <c r="B51" i="72" s="1"/>
  <c r="D6" i="53"/>
  <c r="B22" i="72" s="1"/>
  <c r="C72" i="9"/>
  <c r="C78" i="9"/>
  <c r="C73" i="9" s="1"/>
  <c r="D53" i="9"/>
  <c r="D52" i="9"/>
  <c r="C93" i="9"/>
  <c r="C86" i="9" s="1"/>
  <c r="C95" i="9" s="1"/>
  <c r="C64" i="9"/>
  <c r="C63" i="9" s="1"/>
  <c r="C67" i="9" s="1"/>
  <c r="D59" i="9" s="1"/>
  <c r="M55" i="9" s="1"/>
  <c r="D55" i="9"/>
  <c r="M53" i="9" s="1"/>
  <c r="D8" i="52"/>
  <c r="G14" i="74"/>
  <c r="B6" i="74" s="1"/>
  <c r="D123" i="9"/>
  <c r="D9" i="52" s="1"/>
  <c r="L66" i="9"/>
  <c r="M66" i="9" s="1"/>
  <c r="L63" i="9"/>
  <c r="M63" i="9" s="1"/>
  <c r="L65" i="9"/>
  <c r="M65" i="9" s="1"/>
  <c r="L67" i="9"/>
  <c r="M67" i="9" s="1"/>
  <c r="L68" i="9"/>
  <c r="M68" i="9" s="1"/>
  <c r="L64" i="9"/>
  <c r="M64" i="9" s="1"/>
  <c r="B30" i="72"/>
  <c r="D14" i="53"/>
  <c r="B32" i="72" s="1"/>
  <c r="C68" i="9" l="1"/>
  <c r="D54" i="9" s="1"/>
  <c r="C79" i="9"/>
  <c r="C80" i="9" s="1"/>
  <c r="E80" i="9" s="1"/>
  <c r="E81" i="9" s="1"/>
  <c r="C6" i="74"/>
  <c r="D6" i="74"/>
  <c r="C96" i="9"/>
  <c r="E96" i="9" s="1"/>
  <c r="E97" i="9" s="1"/>
  <c r="M69" i="9"/>
  <c r="N69"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<sst xmlns="http://schemas.openxmlformats.org/spreadsheetml/2006/main" count="8250" uniqueCount="3484">
  <si>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</si>
  <si>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</si>
  <si>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</si>
  <si>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</si>
  <si>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</si>
  <si>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</si>
  <si>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</si>
  <si>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</si>
  <si>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</si>
  <si>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</si>
  <si>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</si>
  <si>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</si>
  <si>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</si>
  <si>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</si>
  <si>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</si>
  <si>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</si>
  <si>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</si>
  <si>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</si>
  <si>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</si>
  <si>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</si>
  <si>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</si>
  <si>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</si>
  <si>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</si>
  <si>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</si>
  <si>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</si>
  <si>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</si>
  <si>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</si>
  <si>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</si>
  <si>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</si>
  <si>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</si>
  <si>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</si>
  <si>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</si>
  <si>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</si>
  <si>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</si>
  <si>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</si>
  <si>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</si>
  <si>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</si>
  <si>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</si>
  <si>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</si>
  <si>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</si>
  <si>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</si>
  <si>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</si>
  <si>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</si>
  <si>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</si>
  <si>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</si>
  <si>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</si>
  <si>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</si>
  <si>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</si>
  <si>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</si>
  <si>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</si>
  <si>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</si>
  <si>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</si>
  <si>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</si>
  <si>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</si>
  <si>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</si>
  <si>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</si>
  <si>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</si>
  <si>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</si>
  <si>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</si>
  <si>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</si>
  <si>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</si>
  <si>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</si>
  <si>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</si>
  <si>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</si>
  <si>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</si>
  <si>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</si>
  <si>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</si>
  <si>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</si>
  <si>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</si>
  <si>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</si>
  <si>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</si>
  <si>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</si>
  <si>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</si>
  <si>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</si>
  <si>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</si>
  <si>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</si>
  <si>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</si>
  <si>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</si>
  <si>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</si>
  <si>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</si>
  <si>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</si>
  <si>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</si>
  <si>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</si>
  <si>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</si>
  <si>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</si>
  <si>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</si>
  <si>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</si>
  <si>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</si>
  <si>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</si>
  <si>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</si>
  <si>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</si>
  <si>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</si>
  <si>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</si>
  <si>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</si>
  <si>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</si>
  <si>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</si>
  <si>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</si>
  <si>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</si>
  <si>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</si>
  <si>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</si>
  <si>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</si>
  <si>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</si>
  <si>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</si>
  <si>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</si>
  <si>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</si>
  <si>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</si>
  <si>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</si>
  <si>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</si>
  <si>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</si>
  <si>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</si>
  <si>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</si>
  <si>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</si>
  <si>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</si>
  <si>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</si>
  <si>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</si>
  <si>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</si>
  <si>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</si>
  <si>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</si>
  <si>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</si>
  <si>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</si>
  <si>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</si>
  <si>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</si>
  <si>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</si>
  <si>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</si>
  <si>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</si>
  <si>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</si>
  <si>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</si>
  <si>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</si>
  <si>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</si>
  <si>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</si>
  <si>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</si>
  <si>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</si>
  <si>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</si>
  <si>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</si>
  <si>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</si>
  <si>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</si>
  <si>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</si>
  <si>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</si>
  <si>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</si>
  <si>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</si>
  <si>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</si>
  <si>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</si>
  <si>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</si>
  <si>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</si>
  <si>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</si>
  <si>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</si>
  <si>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</si>
  <si>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</si>
  <si>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</si>
  <si>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</si>
  <si>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</si>
  <si>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</si>
  <si>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</si>
  <si>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</si>
  <si>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</si>
  <si>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</si>
  <si>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</si>
  <si>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</si>
  <si>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</si>
  <si>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</si>
  <si>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</si>
  <si>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</si>
  <si>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</si>
  <si>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</si>
  <si>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</si>
  <si>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</si>
  <si>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</si>
  <si>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</si>
  <si>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</si>
  <si>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</si>
  <si>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</si>
  <si>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</si>
  <si>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</si>
  <si>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</si>
  <si>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</si>
  <si>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</si>
  <si>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</si>
  <si>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</si>
  <si>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</si>
  <si>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</si>
  <si>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</si>
  <si>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</si>
  <si>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</si>
  <si>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</si>
  <si>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</si>
  <si>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</si>
  <si>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</si>
  <si>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</si>
  <si>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</si>
  <si>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</si>
  <si>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</si>
  <si>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</si>
  <si>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</si>
  <si>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</si>
  <si>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</si>
  <si>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</si>
  <si>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</si>
  <si>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</si>
  <si>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</si>
  <si>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</si>
  <si>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</si>
  <si>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</si>
  <si>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</si>
  <si>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</si>
  <si>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</si>
  <si>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</si>
  <si>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</si>
  <si>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</si>
  <si>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</si>
  <si>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</si>
  <si>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</si>
  <si>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</si>
  <si>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</si>
  <si>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</si>
  <si>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</si>
  <si>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</si>
  <si>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</si>
  <si>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</si>
  <si>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</si>
  <si>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</si>
  <si>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</si>
  <si>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</si>
  <si>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</si>
  <si>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</si>
  <si>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</si>
  <si>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</si>
  <si>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</si>
  <si>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</si>
  <si>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</si>
  <si>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</si>
  <si>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</si>
  <si>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</si>
  <si>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</si>
  <si>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</si>
  <si>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</si>
  <si>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</si>
  <si>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</si>
  <si>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</si>
  <si>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</si>
  <si>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</si>
  <si>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</si>
  <si>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</si>
  <si>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</si>
  <si>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</si>
  <si>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</si>
  <si>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</si>
  <si>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</si>
  <si>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</si>
  <si>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</si>
  <si>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</si>
  <si>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</si>
  <si>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</si>
  <si>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</si>
  <si>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</si>
  <si>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</si>
  <si>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</si>
  <si>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</si>
  <si>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</si>
  <si>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</si>
  <si>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</si>
  <si>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</si>
  <si>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</si>
  <si>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</si>
  <si>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</si>
  <si>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</si>
  <si>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</si>
  <si>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</si>
  <si>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</si>
  <si>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</si>
  <si>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</si>
  <si>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</si>
  <si>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</si>
  <si>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</si>
  <si>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</si>
  <si>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</si>
  <si>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</si>
  <si>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</si>
  <si>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</si>
  <si>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</si>
  <si>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</si>
  <si>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</si>
  <si>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</si>
  <si>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</si>
  <si>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</si>
  <si>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</si>
  <si>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</si>
  <si>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</si>
  <si>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</si>
  <si>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</si>
  <si>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</si>
  <si>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</si>
  <si>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</si>
  <si>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</si>
  <si>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</si>
  <si>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</si>
  <si>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</si>
  <si>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</si>
  <si>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</si>
  <si>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</si>
  <si>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</si>
  <si>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</si>
  <si>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</si>
  <si>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</si>
  <si>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</si>
  <si>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</si>
  <si>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</si>
  <si>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</si>
  <si>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</si>
  <si>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</si>
  <si>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</si>
  <si>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</si>
  <si>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</si>
  <si>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</si>
  <si>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</si>
  <si>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</si>
  <si>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</si>
  <si>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</si>
  <si>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</si>
  <si>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</si>
  <si>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</si>
  <si>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</si>
  <si>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</si>
  <si>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</si>
  <si>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</si>
  <si>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</si>
  <si>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</si>
  <si>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</si>
  <si>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</si>
  <si>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</si>
  <si>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</si>
  <si>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</si>
  <si>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</si>
  <si>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</si>
  <si>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</si>
  <si>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</si>
  <si>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</si>
  <si>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</si>
  <si>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</si>
  <si>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</si>
  <si>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</si>
  <si>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</si>
  <si>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</si>
  <si>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</si>
  <si>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</si>
  <si>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</si>
  <si>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</si>
  <si>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</si>
  <si>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</si>
  <si>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</si>
  <si>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</si>
  <si>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</si>
  <si>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</si>
  <si>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</si>
  <si>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</si>
  <si>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</si>
  <si>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</si>
  <si>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</si>
  <si>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</si>
  <si>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</si>
  <si>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</si>
  <si>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</si>
  <si>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</si>
  <si>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</si>
  <si>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</si>
  <si>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</si>
  <si>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</si>
  <si>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</si>
  <si>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</si>
  <si>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</si>
  <si>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</si>
  <si>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</si>
  <si>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</si>
  <si>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</si>
  <si>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</si>
  <si>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</si>
  <si>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</si>
  <si>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</si>
  <si>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</si>
  <si>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</si>
  <si>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</si>
  <si>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</si>
  <si>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</si>
  <si>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</si>
  <si>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</si>
  <si>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</si>
  <si>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</si>
  <si>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</si>
  <si>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</si>
  <si>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</si>
  <si>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</si>
  <si>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</si>
  <si>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</si>
  <si>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</si>
  <si>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</si>
  <si>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</si>
  <si>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</si>
  <si>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</si>
  <si>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</si>
  <si>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</si>
  <si>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</si>
  <si>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</si>
  <si>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</si>
  <si>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</si>
  <si>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</si>
  <si>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</si>
  <si>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</si>
  <si>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</si>
  <si>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</si>
  <si>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</si>
  <si>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</si>
  <si>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</si>
  <si>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</si>
  <si>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</si>
  <si>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</si>
  <si>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</si>
  <si>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</si>
  <si>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</si>
  <si>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</si>
  <si>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</si>
  <si>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</si>
  <si>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</si>
  <si>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</si>
  <si>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</si>
  <si>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</si>
  <si>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</si>
  <si>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</si>
  <si>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</si>
  <si>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</si>
  <si>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</si>
  <si>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</si>
  <si>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</si>
  <si>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</si>
  <si>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</si>
  <si>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</si>
  <si>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</si>
  <si>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</si>
  <si>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</si>
  <si>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</si>
  <si>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</si>
  <si>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</si>
  <si>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</si>
  <si>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</si>
  <si>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</si>
  <si>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</si>
  <si>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</si>
  <si>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</si>
  <si>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</si>
  <si>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</si>
  <si>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</si>
  <si>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</si>
  <si>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</si>
  <si>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</si>
  <si>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</si>
  <si>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</si>
  <si>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</si>
  <si>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</si>
  <si>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</si>
  <si>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</si>
  <si>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</si>
  <si>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</si>
  <si>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</si>
  <si>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</si>
  <si>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</si>
  <si>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</si>
  <si>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</si>
  <si>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</si>
  <si>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</si>
  <si>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</si>
  <si>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</si>
  <si>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</si>
  <si>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</si>
  <si>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</si>
  <si>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</si>
  <si>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</si>
  <si>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</si>
  <si>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</si>
  <si>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</si>
  <si>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</si>
  <si>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</si>
  <si>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</si>
  <si>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</si>
  <si>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</si>
  <si>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</si>
  <si>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</si>
  <si>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</si>
  <si>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</si>
  <si>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</si>
  <si>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</si>
  <si>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</si>
  <si>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</si>
  <si>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</si>
  <si>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</si>
  <si>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</si>
  <si>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</si>
  <si>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</si>
  <si>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</si>
  <si>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</si>
  <si>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</si>
  <si>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</si>
  <si>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</si>
  <si>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</si>
  <si>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</si>
  <si>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</si>
  <si>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</si>
  <si>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</si>
  <si>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</si>
  <si>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</si>
  <si>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</si>
  <si>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</si>
  <si>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</si>
  <si>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</si>
  <si>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</si>
  <si>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</si>
  <si>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</si>
  <si>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</si>
  <si>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</si>
  <si>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</si>
  <si>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</si>
  <si>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</si>
  <si>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</si>
  <si>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</si>
  <si>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</si>
  <si>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</si>
  <si>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</si>
  <si>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</si>
  <si>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</si>
  <si>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</si>
  <si>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</si>
  <si>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</si>
  <si>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</si>
  <si>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</si>
  <si>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</si>
  <si>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</si>
  <si>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</si>
  <si>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</si>
  <si>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</si>
  <si>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</si>
  <si>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</si>
  <si>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</si>
  <si>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</si>
  <si>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</si>
  <si>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</si>
  <si>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</si>
  <si>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</si>
  <si>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</si>
  <si>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</si>
  <si>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</si>
  <si>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</si>
  <si>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</si>
  <si>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</si>
  <si>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</si>
  <si>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</si>
  <si>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</si>
  <si>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</si>
  <si>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</si>
  <si>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</si>
  <si>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</si>
  <si>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</si>
  <si>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</si>
  <si>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</si>
  <si>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</si>
  <si>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</si>
  <si>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</si>
  <si>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</si>
  <si>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</si>
  <si>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</si>
  <si>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</si>
  <si>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</si>
  <si>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</si>
  <si>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</si>
  <si>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</si>
  <si>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</si>
  <si>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</si>
  <si>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</si>
  <si>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</si>
  <si>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</si>
  <si>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</si>
  <si>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</si>
  <si>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</si>
  <si>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</si>
  <si>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</si>
  <si>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</si>
  <si>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</si>
  <si>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</si>
  <si>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</si>
  <si>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</si>
  <si>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</si>
  <si>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</si>
  <si>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</si>
  <si>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</si>
  <si>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</si>
  <si>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</si>
  <si>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</si>
  <si>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</si>
  <si>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</si>
  <si>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</si>
  <si>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</si>
  <si>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</si>
  <si>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</si>
  <si>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</si>
  <si>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</si>
  <si>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</si>
  <si>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</si>
  <si>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</si>
  <si>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</si>
  <si>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</si>
  <si>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</si>
  <si>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</si>
  <si>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</si>
  <si>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</si>
  <si>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</si>
  <si>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</si>
  <si>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</si>
  <si>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</si>
  <si>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</si>
  <si>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</si>
  <si>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</si>
  <si>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</si>
  <si>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</si>
  <si>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</si>
  <si>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</si>
  <si>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</si>
  <si>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</si>
  <si>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</si>
  <si>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</si>
  <si>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</si>
  <si>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</si>
  <si>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</si>
  <si>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</si>
  <si>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</si>
  <si>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</si>
  <si>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</si>
  <si>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</si>
  <si>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</si>
  <si>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</si>
  <si>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</si>
  <si>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</si>
  <si>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</si>
  <si>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</si>
  <si>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</si>
  <si>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</si>
  <si>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</si>
  <si>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</si>
  <si>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</si>
  <si>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</si>
  <si>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</si>
  <si>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</si>
  <si>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</si>
  <si>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</si>
  <si>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</si>
  <si>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</si>
  <si>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</si>
  <si>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</si>
  <si>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</si>
  <si>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</si>
  <si>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</si>
  <si>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</si>
  <si>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</si>
  <si>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</si>
  <si>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</si>
  <si>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</si>
  <si>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</si>
  <si>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</si>
  <si>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</si>
  <si>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</si>
  <si>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</si>
  <si>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</si>
  <si>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</si>
  <si>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</si>
  <si>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</si>
  <si>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</si>
  <si>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</si>
  <si>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</si>
  <si>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</si>
  <si>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</si>
  <si>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</si>
  <si>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</si>
  <si>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</si>
  <si>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</si>
  <si>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</si>
  <si>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</si>
  <si>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</si>
  <si>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</si>
  <si>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</si>
  <si>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</si>
  <si>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</si>
  <si>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</si>
  <si>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</si>
  <si>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</si>
  <si>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</si>
  <si>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</si>
  <si>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</si>
  <si>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</si>
  <si>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</si>
  <si>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</si>
  <si>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</si>
  <si>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</si>
  <si>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</si>
  <si>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</si>
  <si>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</si>
  <si>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</si>
  <si>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</si>
  <si>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</si>
  <si>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</si>
  <si>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</si>
  <si>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</si>
  <si>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</si>
  <si>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</si>
  <si>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</si>
  <si>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</si>
  <si>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</si>
  <si>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</si>
  <si>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</si>
  <si>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</si>
  <si>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</si>
  <si>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</si>
  <si>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</si>
  <si>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</si>
  <si>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</si>
  <si>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</si>
  <si>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</si>
  <si>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</si>
  <si>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</si>
  <si>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</si>
  <si>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</si>
  <si>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</si>
  <si>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</si>
  <si>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</si>
  <si>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</si>
  <si>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</si>
  <si>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</si>
  <si>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</si>
  <si>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</si>
  <si>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</si>
  <si>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</si>
  <si>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</si>
  <si>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</si>
  <si>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</si>
  <si>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</si>
  <si>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</si>
  <si>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</si>
  <si>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</si>
  <si>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</si>
  <si>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</si>
  <si>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</si>
  <si>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</si>
  <si>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</si>
  <si>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</si>
  <si>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</si>
  <si>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</si>
  <si>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</si>
  <si>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</si>
  <si>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</si>
  <si>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</si>
  <si>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</si>
  <si>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</si>
  <si>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</si>
  <si>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</si>
  <si>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</si>
  <si>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</si>
  <si>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</si>
  <si>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</si>
  <si>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</si>
  <si>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</si>
  <si>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</si>
  <si>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</si>
  <si>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</si>
  <si>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</si>
  <si>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</si>
  <si>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</si>
  <si>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</si>
  <si>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</si>
  <si>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</si>
  <si>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</si>
  <si>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</si>
  <si>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</si>
  <si>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</si>
  <si>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</si>
  <si>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</si>
  <si>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</si>
  <si>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</si>
  <si>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</si>
  <si>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</si>
  <si>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</si>
  <si>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</si>
  <si>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</si>
  <si>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</si>
  <si>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</si>
  <si>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</si>
  <si>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</si>
  <si>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</si>
  <si>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</si>
  <si>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</si>
  <si>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</si>
  <si>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</si>
  <si>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</si>
  <si>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</si>
  <si>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</si>
  <si>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</si>
  <si>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</si>
  <si>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</si>
  <si>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</si>
  <si>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</si>
  <si>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</si>
  <si>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</si>
  <si>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</si>
  <si>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</si>
  <si>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</si>
  <si>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</si>
  <si>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</si>
  <si>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</si>
  <si>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</si>
  <si>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</si>
  <si>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</si>
  <si>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</si>
  <si>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</si>
  <si>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</si>
  <si>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</si>
  <si>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</si>
  <si>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</si>
  <si>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</si>
  <si>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</si>
  <si>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</si>
  <si>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</si>
  <si>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</si>
  <si>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</si>
  <si>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</si>
  <si>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</si>
  <si>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</si>
  <si>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</si>
  <si>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</si>
  <si>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</si>
  <si>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</si>
  <si>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</si>
  <si>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</si>
  <si>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</si>
  <si>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</si>
  <si>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</si>
  <si>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</si>
  <si>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</si>
  <si>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</si>
  <si>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</si>
  <si>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</si>
  <si>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</si>
  <si>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</si>
  <si>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</si>
  <si>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</si>
  <si>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</si>
  <si>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</si>
  <si>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</si>
  <si>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</si>
  <si>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</si>
  <si>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</si>
  <si>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</si>
  <si>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</si>
  <si>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</si>
  <si>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</si>
  <si>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</si>
  <si>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</si>
  <si>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</si>
  <si>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</si>
  <si>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</si>
  <si>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</si>
  <si>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</si>
  <si>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</si>
  <si>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</si>
  <si>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</si>
  <si>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</si>
  <si>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</si>
  <si>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</si>
  <si>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</si>
  <si>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</si>
  <si>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</si>
  <si>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</si>
  <si>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</si>
  <si>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</si>
  <si>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</si>
  <si>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</si>
  <si>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</si>
  <si>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</si>
  <si>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</si>
  <si>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</si>
  <si>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</si>
  <si>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</si>
  <si>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</si>
  <si>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</si>
  <si>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</si>
  <si>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</si>
  <si>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</si>
  <si>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</si>
  <si>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</si>
  <si>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</si>
  <si>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</si>
  <si>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</si>
  <si>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</si>
  <si>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</si>
  <si>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</si>
  <si>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</si>
  <si>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</si>
  <si>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</si>
  <si>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</si>
  <si>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</si>
  <si>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</si>
  <si>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</si>
  <si>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</si>
  <si>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</si>
  <si>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</si>
  <si>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</si>
  <si>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</si>
  <si>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</si>
  <si>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</si>
  <si>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</si>
  <si>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</si>
  <si>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</si>
  <si>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</si>
  <si>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</si>
  <si>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</si>
  <si>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</si>
  <si>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</si>
  <si>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</si>
  <si>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</si>
  <si>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</si>
  <si>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</si>
  <si>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</si>
  <si>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</si>
  <si>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</si>
  <si>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</si>
  <si>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</si>
  <si>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</si>
  <si>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</si>
  <si>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</si>
  <si>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</si>
  <si>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</si>
  <si>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</si>
  <si>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</si>
  <si>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</si>
  <si>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</si>
  <si>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</si>
  <si>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</si>
  <si>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</si>
  <si>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</si>
  <si>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</si>
  <si>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</si>
  <si>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</si>
  <si>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</si>
  <si>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</si>
  <si>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</si>
  <si>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</si>
  <si>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</si>
  <si>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</si>
  <si>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</si>
  <si>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</si>
  <si>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</si>
  <si>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</si>
  <si>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</si>
  <si>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</si>
  <si>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</si>
  <si>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</si>
  <si>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</si>
  <si>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</si>
  <si>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</si>
  <si>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</si>
  <si>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</si>
  <si>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</si>
  <si>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</si>
  <si>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</si>
  <si>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</si>
  <si>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</si>
  <si>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</si>
  <si>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</si>
  <si>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</si>
  <si>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</si>
  <si>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</si>
  <si>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</si>
  <si>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</si>
  <si>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</si>
  <si>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</si>
  <si>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</si>
  <si>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</si>
  <si>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</si>
  <si>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</si>
  <si>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</si>
  <si>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</si>
  <si>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</si>
  <si>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</si>
  <si>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</si>
  <si>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</si>
  <si>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</si>
  <si>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</si>
  <si>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</si>
  <si>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</si>
  <si>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</si>
  <si>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</si>
  <si>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</si>
  <si>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</si>
  <si>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</si>
  <si>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</si>
  <si>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</si>
  <si>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</si>
  <si>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</si>
  <si>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</si>
  <si>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</si>
  <si>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</si>
  <si>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</si>
  <si>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</si>
  <si>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</si>
  <si>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</si>
  <si>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</si>
  <si>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</si>
  <si>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</si>
  <si>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</si>
  <si>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</si>
  <si>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</si>
  <si>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</si>
  <si>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</si>
  <si>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</si>
  <si>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</si>
  <si>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</si>
  <si>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</si>
  <si>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</si>
  <si>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</si>
  <si>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</si>
  <si>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</si>
  <si>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</si>
  <si>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</si>
  <si>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</si>
  <si>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</si>
  <si>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</si>
  <si>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</si>
  <si>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</si>
  <si>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</si>
  <si>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</si>
  <si>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</si>
  <si>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</si>
  <si>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</si>
  <si>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</si>
  <si>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</si>
  <si>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</si>
  <si>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</si>
  <si>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</si>
  <si>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</si>
  <si>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</si>
  <si>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</si>
  <si>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</si>
  <si>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</si>
  <si>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</si>
  <si>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</si>
  <si>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</si>
  <si>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</si>
  <si>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</si>
  <si>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</si>
  <si>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</si>
  <si>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</si>
  <si>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</si>
  <si>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</si>
  <si>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</si>
  <si>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</si>
  <si>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</si>
  <si>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</si>
  <si>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</si>
  <si>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</si>
  <si>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</si>
  <si>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</si>
  <si>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</si>
  <si>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</si>
  <si>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</si>
  <si>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</si>
  <si>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</si>
  <si>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</si>
  <si>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</si>
  <si>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</si>
  <si>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</si>
  <si>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</si>
  <si>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</si>
  <si>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</si>
  <si>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</si>
  <si>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</si>
  <si>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</si>
  <si>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</si>
  <si>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</si>
  <si>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</si>
  <si>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</si>
  <si>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</si>
  <si>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</si>
  <si>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</si>
  <si>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</si>
  <si>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</si>
  <si>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</si>
  <si>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</si>
  <si>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</si>
  <si>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</si>
  <si>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</si>
  <si>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</si>
  <si>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</si>
  <si>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</si>
  <si>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</si>
  <si>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</si>
  <si>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</si>
  <si>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</si>
  <si>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</si>
  <si>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</si>
  <si>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</si>
  <si>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</si>
  <si>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</si>
  <si>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</si>
  <si>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</si>
  <si>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</si>
  <si>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</si>
  <si>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</si>
  <si>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</si>
  <si>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</si>
  <si>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</si>
  <si>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</si>
  <si>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</si>
  <si>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</si>
  <si>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</si>
  <si>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</si>
  <si>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</si>
  <si>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</si>
  <si>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</si>
  <si>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</si>
  <si>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</si>
  <si>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</si>
  <si>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</si>
  <si>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</si>
  <si>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</si>
  <si>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</si>
  <si>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</si>
  <si>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</si>
  <si>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</si>
  <si>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</si>
  <si>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</si>
  <si>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</si>
  <si>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</si>
  <si>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</si>
  <si>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</si>
  <si>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</si>
  <si>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</si>
  <si>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</si>
  <si>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</si>
  <si>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</si>
  <si>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</si>
  <si>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</si>
  <si>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</si>
  <si>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</si>
  <si>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</si>
  <si>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</si>
  <si>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</si>
  <si>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</si>
  <si>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</si>
  <si>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</si>
  <si>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</si>
  <si>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</si>
  <si>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</si>
  <si>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</si>
  <si>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</si>
  <si>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</si>
  <si>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</si>
  <si>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</si>
  <si>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</si>
  <si>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</si>
  <si>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</si>
  <si>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</si>
  <si>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</si>
  <si>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</si>
  <si>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</si>
  <si>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</si>
  <si>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</si>
  <si>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</si>
  <si>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</si>
  <si>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</si>
  <si>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</si>
  <si>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</si>
  <si>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</si>
  <si>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</si>
  <si>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</si>
  <si>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</si>
  <si>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</si>
  <si>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</si>
  <si>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</si>
  <si>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</si>
  <si>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</si>
  <si>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</si>
  <si>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</si>
  <si>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</si>
  <si>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</si>
  <si>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</si>
  <si>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</si>
  <si>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</si>
  <si>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</si>
  <si>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</si>
  <si>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</si>
  <si>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</si>
  <si>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</si>
  <si>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</si>
  <si>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</si>
  <si>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</si>
  <si>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</si>
  <si>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</si>
  <si>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</si>
  <si>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</si>
  <si>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</si>
  <si>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</si>
  <si>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</si>
  <si>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</si>
  <si>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</si>
  <si>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</si>
  <si>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</si>
  <si>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</si>
  <si>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</si>
  <si>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</si>
  <si>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</si>
  <si>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</si>
  <si>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</si>
  <si>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</si>
  <si>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</si>
  <si>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</si>
  <si>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</si>
  <si>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</si>
  <si>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</si>
  <si>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</si>
  <si>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</si>
  <si>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</si>
  <si>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</si>
  <si>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</si>
  <si>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</si>
  <si>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</si>
  <si>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</si>
  <si>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</si>
  <si>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</si>
  <si>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</si>
  <si>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</si>
  <si>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</si>
  <si>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</si>
  <si>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</si>
  <si>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</si>
  <si>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</si>
  <si>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</si>
  <si>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</si>
  <si>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</si>
  <si>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</si>
  <si>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</si>
  <si>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</si>
  <si>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</si>
  <si>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</si>
  <si>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</si>
  <si>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</si>
  <si>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</si>
  <si>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</si>
  <si>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</si>
  <si>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</si>
  <si>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</si>
  <si>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</si>
  <si>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</si>
  <si>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</si>
  <si>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</si>
  <si>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</si>
  <si>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</si>
  <si>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</si>
  <si>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</si>
  <si>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</si>
  <si>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</si>
  <si>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</si>
  <si>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</si>
  <si>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</si>
  <si>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</si>
  <si>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</si>
  <si>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</si>
  <si>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</si>
  <si>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</si>
  <si>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</si>
  <si>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</si>
  <si>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</si>
  <si>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</si>
  <si>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</si>
  <si>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</si>
  <si>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</si>
  <si>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</si>
  <si>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</si>
  <si>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</si>
  <si>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</si>
  <si>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</si>
  <si>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</si>
  <si>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</si>
  <si>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</si>
  <si>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</si>
  <si>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</si>
  <si>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</si>
  <si>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</si>
  <si>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</si>
  <si>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</si>
  <si>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</si>
  <si>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</si>
  <si>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</si>
  <si>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</si>
  <si>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</si>
  <si>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</si>
  <si>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</si>
  <si>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</si>
  <si>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</si>
  <si>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</si>
  <si>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</si>
  <si>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</si>
  <si>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</si>
  <si>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</si>
  <si>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</si>
  <si>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</si>
  <si>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</si>
  <si>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</si>
  <si>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</si>
  <si>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</si>
  <si>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</si>
  <si>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</si>
  <si>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</si>
  <si>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</si>
  <si>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</si>
  <si>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</si>
  <si>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</si>
  <si>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</si>
  <si>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</si>
  <si>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</si>
  <si>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</si>
  <si>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</si>
  <si>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</si>
  <si>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</si>
  <si>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</si>
  <si>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</si>
  <si>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</si>
  <si>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</si>
  <si>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</si>
  <si>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</si>
  <si>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</si>
  <si>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</si>
  <si>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</si>
  <si>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</si>
  <si>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</si>
  <si>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</si>
  <si>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</si>
  <si>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</si>
  <si>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</si>
  <si>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</si>
  <si>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</si>
  <si>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</si>
  <si>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</si>
  <si>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</si>
  <si>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</si>
  <si>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</si>
  <si>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</si>
  <si>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</si>
  <si>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</si>
  <si>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</si>
  <si>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</si>
  <si>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</si>
  <si>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</si>
  <si>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</si>
  <si>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</si>
  <si>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</si>
  <si>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</si>
  <si>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</si>
  <si>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</si>
  <si>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</si>
  <si>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</si>
  <si>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</si>
  <si>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</si>
  <si>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</si>
  <si>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</si>
  <si>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</si>
  <si>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</si>
  <si>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</si>
  <si>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</si>
  <si>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</si>
  <si>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</si>
  <si>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</si>
  <si>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</si>
  <si>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</si>
  <si>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</si>
  <si>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</si>
  <si>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</si>
  <si>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</si>
  <si>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</si>
  <si>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</si>
  <si>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</si>
  <si>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</si>
  <si>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</si>
  <si>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</si>
  <si>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</si>
  <si>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</si>
  <si>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</si>
  <si>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</si>
  <si>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</si>
  <si>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</si>
  <si>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</si>
  <si>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</si>
  <si>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</si>
  <si>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</si>
  <si>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</si>
  <si>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</si>
  <si>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</si>
  <si>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</si>
  <si>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</si>
  <si>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</si>
  <si>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</si>
  <si>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</si>
  <si>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</si>
  <si>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</si>
  <si>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</si>
  <si>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</si>
  <si>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</si>
  <si>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</si>
  <si>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</si>
  <si>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</si>
  <si>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</si>
  <si>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</si>
  <si>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</si>
  <si>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</si>
  <si>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</si>
  <si>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</si>
  <si>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</si>
  <si>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</si>
  <si>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</si>
  <si>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</si>
  <si>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</si>
  <si>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</si>
  <si>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</si>
  <si>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</si>
  <si>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</si>
  <si>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</si>
  <si>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</si>
  <si>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</si>
  <si>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</si>
  <si>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</si>
  <si>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</si>
  <si>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</si>
  <si>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</si>
  <si>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</si>
  <si>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</si>
  <si>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</si>
  <si>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</si>
  <si>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</si>
  <si>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</si>
  <si>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</si>
  <si>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</si>
  <si>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</si>
  <si>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</si>
  <si>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</si>
  <si>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</si>
  <si>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</si>
  <si>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</si>
  <si>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</si>
  <si>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</si>
  <si>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</si>
  <si>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</si>
  <si>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</si>
  <si>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</si>
  <si>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</si>
  <si>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</si>
  <si>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</si>
  <si>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</si>
  <si>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</si>
  <si>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</si>
  <si>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</si>
  <si>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</si>
  <si>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</si>
  <si>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</si>
  <si>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</si>
  <si>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</si>
  <si>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</si>
  <si>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</si>
  <si>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</si>
  <si>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</si>
  <si>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</si>
  <si>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</si>
  <si>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</si>
  <si>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</si>
  <si>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</si>
  <si>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</si>
  <si>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</si>
  <si>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</si>
  <si>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</si>
  <si>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</si>
  <si>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</si>
  <si>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</si>
  <si>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</si>
  <si>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</si>
  <si>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</si>
  <si>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</si>
  <si>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</si>
  <si>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</si>
  <si>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</si>
  <si>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</si>
  <si>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</si>
  <si>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</si>
  <si>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</si>
  <si>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</si>
  <si>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</si>
  <si>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</si>
  <si>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</si>
  <si>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</si>
  <si>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</si>
  <si>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</si>
  <si>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</si>
  <si>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</si>
  <si>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</si>
  <si>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</si>
  <si>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</si>
  <si>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</si>
  <si>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</si>
  <si>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</si>
  <si>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</si>
  <si>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</si>
  <si>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</si>
  <si>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</si>
  <si>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</si>
  <si>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</si>
  <si>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</si>
  <si>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</si>
  <si>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</si>
  <si>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</si>
  <si>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</si>
  <si>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</si>
  <si>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</si>
  <si>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</si>
  <si>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</si>
  <si>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</si>
  <si>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</si>
  <si>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</si>
  <si>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</si>
  <si>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</si>
  <si>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</si>
  <si>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</si>
  <si>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</si>
  <si>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</si>
  <si>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</si>
  <si>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</si>
  <si>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</si>
  <si>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</si>
  <si>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</si>
  <si>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</si>
  <si>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</si>
  <si>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</si>
  <si>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</si>
  <si>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</si>
  <si>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</si>
  <si>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</si>
  <si>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</si>
  <si>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</si>
  <si>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</si>
  <si>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</si>
  <si>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</si>
  <si>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</si>
  <si>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</si>
  <si>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</si>
  <si>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</si>
  <si>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</si>
  <si>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</si>
  <si>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</si>
  <si>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</si>
  <si>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</si>
  <si>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</si>
  <si>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</si>
  <si>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</si>
  <si>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</si>
  <si>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</si>
  <si>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</si>
  <si>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</si>
  <si>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</si>
  <si>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</si>
  <si>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</si>
  <si>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</si>
  <si>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</si>
  <si>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</si>
  <si>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</si>
  <si>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</si>
  <si>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</si>
  <si>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</si>
  <si>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</si>
  <si>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</si>
  <si>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</si>
  <si>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</si>
  <si>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</si>
  <si>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</si>
  <si>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</si>
  <si>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</si>
  <si>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</si>
  <si>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</si>
  <si>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</si>
  <si>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</si>
  <si>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</si>
  <si>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</si>
  <si>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</si>
  <si>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</si>
  <si>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</si>
  <si>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</si>
  <si>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</si>
  <si>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</si>
  <si>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</si>
  <si>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</si>
  <si>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</si>
  <si>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</si>
  <si>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</si>
  <si>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</si>
  <si>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</si>
  <si>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</si>
  <si>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</si>
  <si>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</si>
  <si>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</si>
  <si>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</si>
  <si>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</si>
  <si>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</si>
  <si>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</si>
  <si>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</si>
  <si>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</si>
  <si>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</si>
  <si>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</si>
  <si>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</si>
  <si>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</si>
  <si>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</si>
  <si>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</si>
  <si>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</si>
  <si>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</si>
  <si>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</si>
  <si>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</si>
  <si>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</si>
  <si>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</si>
  <si>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</si>
  <si>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</si>
  <si>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</si>
  <si>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</si>
  <si>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</si>
  <si>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</si>
  <si>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</si>
  <si>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</si>
  <si>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</si>
  <si>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</si>
  <si>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</si>
  <si>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</si>
  <si>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</si>
  <si>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</si>
  <si>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</si>
  <si>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</si>
  <si>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</si>
  <si>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</si>
  <si>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</si>
  <si>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</si>
  <si>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</si>
  <si>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</si>
  <si>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</si>
  <si>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</si>
  <si>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</si>
  <si>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</si>
  <si>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</si>
  <si>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</si>
  <si>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</si>
  <si>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</si>
  <si>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</si>
  <si>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</si>
  <si>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</si>
  <si>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</si>
  <si>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</si>
  <si>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</si>
  <si>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</si>
  <si>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</si>
  <si>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</si>
  <si>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</si>
  <si>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</si>
  <si>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</si>
  <si>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</si>
  <si>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</si>
  <si>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</si>
  <si>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</si>
  <si>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</si>
  <si>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</si>
  <si>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</si>
  <si>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</si>
  <si>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</si>
  <si>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</si>
  <si>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</si>
  <si>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</si>
  <si>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</si>
  <si>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</si>
  <si>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</si>
  <si>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</si>
  <si>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</si>
  <si>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</si>
  <si>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</si>
  <si>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</si>
  <si>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</si>
  <si>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</si>
  <si>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</si>
  <si>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</si>
  <si>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</si>
  <si>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</si>
  <si>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</si>
  <si>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</si>
  <si>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</si>
  <si>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</si>
  <si>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</si>
  <si>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</si>
  <si>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</si>
  <si>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</si>
  <si>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</si>
  <si>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</si>
  <si>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</si>
  <si>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</si>
  <si>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</si>
  <si>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</si>
  <si>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</si>
  <si>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</si>
  <si>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</si>
  <si>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</si>
  <si>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</si>
  <si>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</si>
  <si>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</si>
  <si>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</si>
  <si>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</si>
  <si>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</si>
  <si>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</si>
  <si>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</si>
  <si>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</si>
  <si>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</si>
  <si>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</si>
  <si>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</si>
  <si>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</si>
  <si>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</si>
  <si>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</si>
  <si>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</si>
  <si>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</si>
  <si>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</si>
  <si>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</si>
  <si>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</si>
  <si>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</si>
  <si>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</si>
  <si>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</si>
  <si>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</si>
  <si>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</si>
  <si>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</si>
  <si>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</si>
  <si>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</si>
  <si>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</si>
  <si>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</si>
  <si>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</si>
  <si>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</si>
  <si>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</si>
  <si>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</si>
  <si>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</si>
  <si>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</si>
  <si>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</si>
  <si>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</si>
  <si>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</si>
  <si>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</si>
  <si>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</si>
  <si>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</si>
  <si>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</si>
  <si>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</si>
  <si>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</si>
  <si>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</si>
  <si>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</si>
  <si>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</si>
  <si>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</si>
  <si>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</si>
  <si>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</si>
  <si>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</si>
  <si>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</si>
  <si>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</si>
  <si>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</si>
  <si>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</si>
  <si>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</si>
  <si>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</si>
  <si>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</si>
  <si>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</si>
  <si>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</si>
  <si>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</si>
  <si>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</si>
  <si>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</si>
  <si>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</si>
  <si>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</si>
  <si>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</si>
  <si>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</si>
  <si>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</si>
  <si>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</si>
  <si>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</si>
  <si>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</si>
  <si>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</si>
  <si>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</si>
  <si>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</si>
  <si>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</si>
  <si>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</si>
  <si>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</si>
  <si>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</si>
  <si>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</si>
  <si>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</si>
  <si>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</si>
  <si>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</si>
  <si>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</si>
  <si>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</si>
  <si>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</si>
  <si>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</si>
  <si>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</si>
  <si>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</si>
  <si>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</si>
  <si>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</si>
  <si>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</si>
  <si>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</si>
  <si>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</si>
  <si>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</si>
  <si>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</si>
  <si>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</si>
  <si>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</si>
  <si>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</si>
  <si>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</si>
  <si>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</si>
  <si>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</si>
  <si>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</si>
  <si>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</si>
  <si>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</si>
  <si>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</si>
  <si>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</si>
  <si>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</si>
  <si>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</si>
  <si>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</si>
  <si>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</si>
  <si>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</si>
  <si>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</si>
  <si>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</si>
  <si>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</si>
  <si>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</si>
  <si>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</si>
  <si>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</si>
  <si>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</si>
  <si>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</si>
  <si>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</si>
  <si>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</si>
  <si>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</si>
  <si>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</si>
  <si>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</si>
  <si>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</si>
  <si>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</si>
  <si>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</si>
  <si>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</si>
  <si>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</si>
  <si>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</si>
  <si>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</si>
  <si>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</si>
  <si>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</si>
  <si>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</si>
  <si>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</si>
  <si>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</si>
  <si>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</si>
  <si>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</si>
  <si>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</si>
  <si>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</si>
  <si>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</si>
  <si>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</si>
  <si>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</si>
  <si>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</si>
  <si>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</si>
  <si>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</si>
  <si>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</si>
  <si>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</si>
  <si>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</si>
  <si>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</si>
  <si>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</si>
  <si>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</si>
  <si>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</si>
  <si>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</si>
  <si>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</si>
  <si>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</si>
  <si>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</si>
  <si>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</si>
  <si>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</si>
  <si>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</si>
  <si>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</si>
  <si>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</si>
  <si>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</si>
  <si>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</si>
  <si>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</si>
  <si>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</si>
  <si>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</si>
  <si>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</si>
  <si>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</si>
  <si>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</si>
  <si>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</si>
  <si>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</si>
  <si>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</si>
  <si>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</si>
  <si>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</si>
  <si>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</si>
  <si>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</si>
  <si>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</si>
  <si>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</si>
  <si>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</si>
  <si>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</si>
  <si>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</si>
  <si>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</si>
  <si>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</si>
  <si>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</si>
  <si>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</si>
  <si>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</si>
  <si>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</si>
  <si>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</si>
  <si>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</si>
  <si>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</si>
  <si>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</si>
  <si>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</si>
  <si>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</si>
  <si>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</si>
  <si>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</si>
  <si>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</si>
  <si>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</si>
  <si>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</si>
  <si>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</si>
  <si>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</si>
  <si>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</si>
  <si>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</si>
  <si>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</si>
  <si>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</si>
  <si>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</si>
  <si>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</si>
  <si>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</si>
  <si>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</si>
  <si>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</si>
  <si>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</si>
  <si>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</si>
  <si>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</si>
  <si>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</si>
  <si>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</si>
  <si>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</si>
  <si>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</si>
  <si>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</si>
  <si>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</si>
  <si>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</si>
  <si>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</si>
  <si>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</si>
  <si>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</si>
  <si>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</si>
  <si>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</si>
  <si>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</si>
  <si>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</si>
  <si>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</si>
  <si>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</si>
  <si>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</si>
  <si>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</si>
  <si>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</si>
  <si>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</si>
  <si>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</si>
  <si>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</si>
  <si>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</si>
  <si>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</si>
  <si>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</si>
  <si>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</si>
  <si>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</si>
  <si>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</si>
  <si>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</si>
  <si>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</si>
  <si>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</si>
  <si>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</si>
  <si>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</si>
  <si>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</si>
  <si>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</si>
  <si>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</si>
  <si>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</si>
  <si>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</si>
  <si>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</si>
  <si>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</si>
  <si>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</si>
  <si>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</si>
  <si>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</si>
  <si>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</si>
  <si>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</si>
  <si>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</si>
  <si>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</si>
  <si>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</si>
  <si>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</si>
  <si>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</si>
  <si>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</si>
  <si>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</si>
  <si>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</si>
  <si>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</si>
  <si>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</si>
  <si>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</si>
  <si>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</si>
  <si>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</si>
  <si>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</si>
  <si>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</si>
  <si>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</si>
  <si>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</si>
  <si>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</si>
  <si>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</si>
  <si>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</si>
  <si>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</si>
  <si>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</si>
  <si>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</si>
  <si>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</si>
  <si>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</si>
  <si>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</si>
  <si>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</si>
  <si>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</si>
  <si>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</si>
  <si>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</si>
  <si>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</si>
  <si>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</si>
  <si>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</si>
  <si>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</si>
  <si>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</si>
  <si>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</si>
  <si>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</si>
  <si>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</si>
  <si>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</si>
  <si>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</si>
  <si>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</si>
  <si>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</si>
  <si>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</si>
  <si>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</si>
  <si>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</si>
  <si>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</si>
  <si>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</si>
  <si>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</si>
  <si>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</si>
  <si>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</si>
  <si>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</si>
  <si>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</si>
  <si>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</si>
  <si>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</si>
  <si>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</si>
  <si>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</si>
  <si>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</si>
  <si>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</si>
  <si>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</si>
  <si>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</si>
  <si>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</si>
  <si>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</si>
  <si>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</si>
  <si>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</si>
  <si>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</si>
  <si>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</si>
  <si>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</si>
  <si>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</si>
  <si>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</si>
  <si>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</si>
  <si>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</si>
  <si>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</si>
  <si>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</si>
  <si>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</si>
  <si>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</si>
  <si>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</si>
  <si>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</si>
  <si>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</si>
  <si>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</si>
  <si>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</si>
  <si>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</si>
  <si>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</si>
  <si>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</si>
  <si>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</si>
  <si>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</si>
  <si>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</si>
  <si>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</si>
  <si>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</si>
  <si>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</si>
  <si>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</si>
  <si>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</si>
  <si>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</si>
  <si>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</si>
  <si>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</si>
  <si>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</si>
  <si>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</si>
  <si>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</si>
  <si>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</si>
  <si>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</si>
  <si>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</si>
  <si>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</si>
  <si>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</si>
  <si>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</si>
  <si>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</si>
  <si>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</si>
  <si>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</si>
  <si>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</si>
  <si>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</si>
  <si>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</si>
  <si>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</si>
  <si>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</si>
  <si>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</si>
  <si>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</si>
  <si>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</si>
  <si>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</si>
  <si>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</si>
  <si>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</si>
  <si>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</si>
  <si>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</si>
  <si>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</si>
  <si>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</si>
  <si>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</si>
  <si>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</si>
  <si>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</si>
  <si>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</si>
  <si>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</si>
  <si>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</si>
  <si>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</si>
  <si>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</si>
  <si>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</si>
  <si>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</si>
  <si>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</si>
  <si>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</si>
  <si>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</si>
  <si>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</si>
  <si>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</si>
  <si>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</si>
  <si>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</si>
  <si>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</si>
  <si>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</si>
  <si>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</si>
  <si>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</si>
  <si>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</si>
  <si>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</si>
  <si>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</si>
  <si>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</si>
  <si>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</si>
  <si>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</si>
  <si>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</si>
  <si>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</si>
  <si>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</si>
  <si>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</si>
  <si>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</si>
  <si>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</si>
  <si>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</si>
  <si>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</si>
  <si>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</si>
  <si>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</si>
  <si>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</si>
  <si>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</si>
  <si>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</si>
  <si>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</si>
  <si>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</si>
  <si>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</si>
  <si>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</si>
  <si>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</si>
  <si>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</si>
  <si>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</si>
  <si>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</si>
  <si>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</si>
  <si>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</si>
  <si>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</si>
  <si>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</si>
  <si>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</si>
  <si>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</si>
  <si>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</si>
  <si>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</si>
  <si>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</si>
  <si>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</si>
  <si>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</si>
  <si>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</si>
  <si>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</si>
  <si>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</si>
  <si>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</si>
  <si>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</si>
  <si>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</si>
  <si>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</si>
  <si>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</si>
  <si>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</si>
  <si>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</si>
  <si>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</si>
  <si>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</si>
  <si>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</si>
  <si>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</si>
  <si>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</si>
  <si>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</si>
  <si>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</si>
  <si>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</si>
  <si>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</si>
  <si>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</si>
  <si>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</si>
  <si>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</si>
  <si>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</si>
  <si>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</si>
  <si>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</si>
  <si>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</si>
  <si>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</si>
  <si>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</si>
  <si>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</si>
  <si>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</si>
  <si>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</si>
  <si>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</si>
  <si>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</si>
  <si>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</si>
  <si>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</si>
  <si>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</si>
  <si>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</si>
  <si>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</si>
  <si>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</si>
  <si>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</si>
  <si>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</si>
  <si>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</si>
  <si>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</si>
  <si>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</si>
  <si>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</si>
  <si>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</si>
  <si>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</si>
  <si>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</si>
  <si>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</si>
  <si>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</si>
  <si>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</si>
  <si>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</si>
  <si>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</si>
  <si>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</si>
  <si>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</si>
  <si>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</si>
  <si>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</si>
  <si>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</si>
  <si>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</si>
  <si>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</si>
  <si>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</si>
  <si>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</si>
  <si>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</si>
  <si>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</si>
  <si>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</si>
  <si>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</si>
  <si>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</si>
  <si>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</si>
  <si>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</si>
  <si>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</si>
  <si>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</si>
  <si>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</si>
  <si>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</si>
  <si>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</si>
  <si>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</si>
  <si>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</si>
  <si>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</si>
  <si>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</si>
  <si>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</si>
  <si>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</si>
  <si>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</si>
  <si>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</si>
  <si>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</si>
  <si>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</si>
  <si>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</si>
  <si>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</si>
  <si>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</si>
  <si>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</si>
  <si>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</si>
  <si>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</si>
  <si>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</si>
  <si>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</si>
  <si>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</si>
  <si>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</si>
  <si>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</si>
  <si>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</si>
  <si>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</si>
  <si>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</si>
  <si>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</si>
  <si>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</si>
  <si>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</si>
  <si>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</si>
  <si>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</si>
  <si>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</si>
  <si>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</si>
  <si>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</si>
  <si>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</si>
  <si>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</si>
  <si>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</si>
  <si>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</si>
  <si>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</si>
  <si>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</si>
  <si>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</si>
  <si>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</si>
  <si>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</si>
  <si>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</si>
  <si>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</si>
  <si>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</si>
  <si>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</si>
  <si>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</si>
  <si>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</si>
  <si>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</si>
  <si>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</si>
  <si>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</si>
  <si>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</si>
  <si>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</si>
  <si>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</si>
  <si>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</si>
  <si>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</si>
  <si>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</si>
  <si>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</si>
  <si>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</si>
  <si>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</si>
  <si>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</si>
  <si>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</si>
  <si>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</si>
  <si>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</si>
  <si>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</si>
  <si>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</si>
  <si>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</si>
  <si>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</si>
  <si>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</si>
  <si>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</si>
  <si>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</si>
  <si>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</si>
  <si>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</si>
  <si>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</si>
  <si>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</si>
  <si>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</si>
  <si>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</si>
  <si>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</si>
  <si>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</si>
  <si>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</si>
  <si>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</si>
  <si>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</si>
  <si>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</si>
  <si>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</si>
  <si>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</si>
  <si>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</si>
  <si>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</si>
  <si>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</si>
  <si>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</si>
  <si>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</si>
  <si>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</si>
  <si>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</si>
  <si>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</si>
  <si>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</si>
  <si>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</si>
  <si>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</si>
  <si>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</si>
  <si>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</si>
  <si>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</si>
  <si>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</si>
  <si>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</si>
  <si>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</si>
  <si>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</si>
  <si>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</si>
  <si>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</si>
  <si>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</si>
  <si>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</si>
  <si>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</si>
  <si>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</si>
  <si>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</si>
  <si>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</si>
  <si>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</si>
  <si>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</si>
  <si>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</si>
  <si>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</si>
  <si>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</si>
  <si>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</si>
  <si>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</si>
  <si>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</si>
  <si>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</si>
  <si>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</si>
  <si>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</si>
  <si>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</si>
  <si>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</si>
  <si>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</si>
  <si>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</si>
  <si>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</si>
  <si>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</si>
  <si>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</si>
  <si>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</si>
  <si>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</si>
  <si>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</si>
  <si>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</si>
  <si>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</si>
  <si>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</si>
  <si>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</si>
  <si>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</si>
  <si>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</si>
  <si>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</si>
  <si>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</si>
  <si>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</si>
  <si>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</si>
  <si>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</si>
  <si>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</si>
  <si>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</si>
  <si>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</si>
  <si>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</si>
  <si>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</si>
  <si>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</si>
  <si>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</si>
  <si>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</si>
  <si>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</si>
  <si>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</si>
  <si>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</si>
  <si>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</si>
  <si>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</si>
  <si>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</si>
  <si>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</si>
  <si>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</si>
  <si>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</si>
  <si>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</si>
  <si>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</si>
  <si>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</si>
  <si>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</si>
  <si>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</si>
  <si>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</si>
  <si>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</si>
  <si>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</si>
  <si>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</si>
  <si>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</si>
  <si>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</si>
  <si>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</si>
  <si>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</si>
  <si>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</si>
  <si>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</si>
  <si>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</si>
  <si>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</si>
  <si>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</si>
  <si>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</si>
  <si>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</si>
  <si>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</si>
  <si>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</si>
  <si>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</si>
  <si>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</si>
  <si>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</si>
  <si>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</si>
  <si>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</si>
  <si>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</si>
  <si>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</si>
  <si>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</si>
  <si>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</si>
  <si>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</si>
  <si>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</si>
  <si>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</si>
  <si>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</si>
  <si>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</si>
  <si>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</si>
  <si>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</si>
  <si>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</si>
  <si>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</si>
  <si>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</si>
  <si>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</si>
  <si>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</si>
  <si>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</si>
  <si>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</si>
  <si>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</si>
  <si>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</si>
  <si>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</si>
  <si>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</si>
  <si>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</si>
  <si>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</si>
  <si>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</si>
  <si>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</si>
  <si>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</si>
  <si>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</si>
  <si>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</si>
  <si>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</si>
  <si>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</si>
  <si>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</si>
  <si>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</si>
  <si>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</si>
  <si>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</si>
  <si>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</si>
  <si>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</si>
  <si>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</si>
  <si>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</si>
  <si>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</si>
  <si>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</si>
  <si>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</si>
  <si>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</si>
  <si>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</si>
  <si>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</si>
  <si>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</si>
  <si>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</si>
  <si>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</si>
  <si>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</si>
  <si>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</si>
  <si>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</si>
  <si>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</si>
  <si>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</si>
  <si>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</si>
  <si>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</si>
  <si>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</si>
  <si>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</si>
  <si>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</si>
  <si>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</si>
  <si>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</si>
  <si>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</si>
  <si>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</si>
  <si>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</si>
  <si>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</si>
  <si>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</si>
  <si>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</si>
  <si>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</si>
  <si>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</si>
  <si>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</si>
  <si>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</si>
  <si>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</si>
  <si>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</si>
  <si>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</si>
  <si>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</si>
  <si>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</si>
  <si>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</si>
  <si>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</si>
  <si>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</si>
  <si>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</si>
  <si>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</si>
  <si>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</si>
  <si>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</si>
  <si>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</si>
  <si>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</si>
  <si>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</si>
  <si>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</si>
  <si>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</si>
  <si>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</si>
  <si>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</si>
  <si>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</si>
  <si>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</si>
  <si>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</si>
  <si>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</si>
  <si>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</si>
  <si>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</si>
  <si>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</si>
  <si>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</si>
  <si>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</si>
  <si>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</si>
  <si>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</si>
  <si>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</si>
  <si>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</si>
  <si>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</si>
  <si>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</si>
  <si>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</si>
  <si>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</si>
  <si>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</si>
  <si>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</si>
  <si>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</si>
  <si>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</si>
  <si>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</si>
  <si>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</si>
  <si>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</si>
  <si>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</si>
  <si>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</si>
  <si>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</si>
  <si>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</si>
  <si>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</si>
  <si>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</si>
  <si>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</si>
  <si>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</si>
  <si>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</si>
  <si>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</si>
  <si>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</si>
  <si>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</si>
  <si>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</si>
  <si>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</si>
  <si>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</si>
  <si>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</si>
  <si>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</si>
  <si>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</si>
  <si>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</si>
  <si>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</si>
  <si>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</si>
  <si>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</si>
  <si>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</si>
  <si>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</si>
  <si>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</si>
  <si>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</si>
  <si>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</si>
  <si>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</si>
  <si>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</si>
  <si>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</si>
  <si>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</si>
  <si>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</si>
  <si>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</si>
  <si>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</si>
  <si>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</si>
  <si>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</si>
  <si>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</si>
  <si>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</si>
  <si>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</si>
  <si>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</si>
  <si>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</si>
  <si>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</si>
  <si>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</si>
  <si>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</si>
  <si>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</si>
  <si>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</si>
  <si>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</si>
  <si>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</si>
  <si>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</si>
  <si>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</si>
  <si>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</si>
  <si>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</si>
  <si>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</si>
  <si>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</si>
  <si>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</si>
  <si>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</si>
  <si>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</si>
  <si>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</si>
  <si>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</si>
  <si>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</si>
  <si>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</si>
  <si>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</si>
  <si>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</si>
  <si>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</si>
  <si>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</si>
  <si>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</si>
  <si>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</si>
  <si>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</si>
  <si>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</si>
  <si>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</si>
  <si>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</si>
  <si>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</si>
  <si>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</si>
  <si>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</si>
  <si>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</si>
  <si>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</si>
  <si>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</si>
  <si>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</si>
  <si>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</si>
  <si>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</si>
  <si>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</si>
  <si>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</si>
  <si>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</si>
  <si>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</si>
  <si>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</si>
  <si>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</si>
  <si>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</si>
  <si>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</si>
  <si>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</si>
  <si>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</si>
  <si>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</si>
  <si>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</si>
  <si>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</si>
  <si>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</si>
  <si>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</si>
  <si>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</si>
  <si>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</si>
  <si>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</si>
  <si>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</si>
  <si>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</si>
  <si>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</si>
  <si>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</si>
  <si>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</si>
  <si>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</si>
  <si>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</si>
  <si>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</si>
  <si>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</si>
  <si>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</si>
  <si>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</si>
  <si>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</si>
  <si>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</si>
  <si>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</si>
  <si>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</si>
  <si>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</si>
  <si>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</si>
  <si>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</si>
  <si>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</si>
  <si>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</si>
  <si>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</si>
  <si>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</si>
  <si>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</si>
  <si>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</si>
  <si>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</si>
  <si>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</si>
  <si>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</si>
  <si>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</si>
  <si>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</si>
  <si>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</si>
  <si>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</si>
  <si>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</si>
  <si>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</si>
  <si>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</si>
  <si>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</si>
  <si>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</si>
  <si>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</si>
  <si>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</si>
  <si>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</si>
  <si>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</si>
  <si>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</si>
  <si>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</si>
  <si>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</si>
  <si>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</si>
  <si>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</si>
  <si>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</si>
  <si>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</si>
  <si>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</si>
  <si>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</si>
  <si>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</si>
  <si>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</si>
  <si>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</si>
  <si>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</si>
  <si>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</si>
  <si>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</si>
  <si>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</si>
  <si>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</si>
  <si>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</si>
  <si>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</si>
  <si>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</si>
  <si>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</si>
  <si>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</si>
  <si>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</si>
  <si>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</si>
  <si>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</si>
  <si>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</si>
  <si>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</si>
  <si>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</si>
  <si>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</si>
  <si>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</si>
  <si>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</si>
  <si>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</si>
  <si>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</si>
  <si>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</si>
  <si>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</si>
  <si>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</si>
  <si>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</si>
  <si>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</si>
  <si>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</si>
  <si>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</si>
  <si>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</si>
  <si>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</si>
  <si>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</si>
  <si>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</si>
  <si>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</si>
  <si>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</si>
  <si>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</si>
  <si>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</si>
  <si>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</si>
  <si>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</si>
  <si>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</si>
  <si>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</si>
  <si>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</si>
  <si>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</si>
  <si>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</si>
  <si>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</si>
  <si>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</si>
  <si>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</si>
  <si>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</si>
  <si>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</si>
  <si>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</si>
  <si>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</si>
  <si>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</si>
  <si>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</si>
  <si>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</si>
  <si>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</si>
  <si>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</si>
  <si>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</si>
  <si>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</si>
  <si>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</si>
  <si>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</si>
  <si>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</si>
  <si>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</si>
  <si>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</si>
  <si>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</si>
  <si>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</si>
  <si>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</si>
  <si>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</si>
  <si>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</si>
  <si>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</si>
  <si>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</si>
  <si>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</si>
  <si>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</si>
  <si>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</si>
  <si>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</si>
  <si>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</si>
  <si>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</si>
  <si>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</si>
  <si>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</si>
  <si>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</si>
  <si>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</si>
  <si>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</si>
  <si>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</si>
  <si>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</si>
  <si>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</si>
  <si>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</si>
  <si>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</si>
  <si>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</si>
  <si>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</si>
  <si>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</si>
  <si>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</si>
  <si>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</si>
  <si>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</si>
  <si>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</si>
  <si>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</si>
  <si>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</si>
  <si>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</si>
  <si>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</si>
  <si>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</si>
  <si>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</si>
  <si>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</si>
  <si>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</si>
  <si>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</si>
  <si>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</si>
  <si>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</si>
  <si>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</si>
  <si>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</si>
  <si>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</si>
  <si>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</si>
  <si>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</si>
  <si>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</si>
  <si>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</si>
  <si>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</si>
  <si>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</si>
  <si>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</si>
  <si>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</si>
  <si>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</si>
  <si>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</si>
  <si>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</si>
  <si>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</si>
  <si>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</si>
  <si>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</si>
  <si>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</si>
  <si>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</si>
  <si>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</si>
  <si>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</si>
  <si>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</si>
  <si>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</si>
  <si>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</si>
  <si>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</si>
  <si>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</si>
  <si>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</si>
  <si>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</si>
  <si>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</si>
  <si>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</si>
  <si>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</si>
  <si>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</si>
  <si>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</si>
  <si>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</si>
  <si>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</si>
  <si>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</si>
  <si>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</si>
  <si>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</si>
  <si>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</si>
  <si>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</si>
  <si>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</si>
  <si>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</si>
  <si>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</si>
  <si>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</si>
  <si>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</si>
  <si>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</si>
  <si>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</si>
  <si>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</si>
  <si>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</si>
  <si>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</si>
  <si>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</si>
  <si>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</si>
  <si>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</si>
  <si>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</si>
  <si>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</si>
  <si>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</si>
  <si>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</si>
  <si>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</si>
  <si>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</si>
  <si>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</si>
  <si>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</si>
  <si>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</si>
  <si>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</si>
  <si>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</si>
  <si>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</si>
  <si>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</si>
  <si>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</si>
  <si>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</si>
  <si>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</si>
  <si>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</si>
  <si>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</si>
  <si>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</si>
  <si>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</si>
  <si>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</si>
  <si>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</si>
  <si>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</si>
  <si>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</si>
  <si>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</si>
  <si>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</si>
  <si>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</si>
  <si>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</si>
  <si>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</si>
  <si>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</si>
  <si>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</si>
  <si>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</si>
  <si>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</si>
  <si>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</si>
  <si>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</si>
  <si>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</si>
  <si>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</si>
  <si>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</si>
  <si>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</si>
  <si>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</si>
  <si>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</si>
  <si>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</si>
  <si>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</si>
  <si>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</si>
  <si>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</si>
  <si>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</si>
  <si>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</si>
  <si>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</si>
  <si>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</si>
  <si>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</si>
  <si>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</si>
  <si>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</si>
  <si>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</si>
  <si>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</si>
  <si>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</si>
  <si>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</si>
  <si>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</si>
  <si>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</si>
  <si>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</si>
  <si>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</si>
  <si>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</si>
  <si>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</si>
  <si>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</si>
  <si>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</si>
  <si>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</si>
  <si>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</si>
  <si>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</si>
  <si>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</si>
  <si>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</si>
  <si>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</si>
  <si>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</si>
  <si>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</si>
  <si>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</si>
  <si>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</si>
  <si>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</si>
  <si>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</si>
  <si>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</si>
  <si>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</si>
  <si>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</si>
  <si>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</si>
  <si>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</si>
  <si>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</si>
  <si>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</si>
  <si>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</si>
  <si>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</si>
  <si>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</si>
  <si>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</si>
  <si>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</si>
  <si>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</si>
  <si>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</si>
  <si>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</si>
  <si>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</si>
  <si>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</si>
  <si>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</si>
  <si>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</si>
  <si>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</si>
  <si>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</si>
  <si>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</si>
  <si>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</si>
  <si>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</si>
  <si>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</si>
  <si>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</si>
  <si>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</si>
  <si>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</si>
  <si>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</si>
  <si>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</si>
  <si>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</si>
  <si>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</si>
  <si>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</si>
  <si>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</si>
  <si>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</si>
  <si>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</si>
  <si>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</si>
  <si>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</si>
  <si>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</si>
  <si>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</si>
  <si>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</si>
  <si>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</si>
  <si>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</si>
  <si>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</si>
  <si>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</si>
  <si>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</si>
  <si>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</si>
  <si>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</si>
  <si>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</si>
  <si>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</si>
  <si>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</si>
  <si>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</si>
  <si>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</si>
  <si>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</si>
  <si>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</si>
  <si>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</si>
  <si>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</si>
  <si>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</si>
  <si>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</si>
  <si>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</si>
  <si>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</si>
  <si>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</si>
  <si>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</si>
  <si>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</si>
  <si>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</si>
  <si>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</si>
  <si>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</si>
  <si>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</si>
  <si>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</si>
  <si>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</si>
  <si>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</si>
  <si>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</si>
  <si>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</si>
  <si>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</si>
  <si>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</si>
  <si>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</si>
  <si>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</si>
  <si>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</si>
  <si>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</si>
  <si>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</si>
  <si>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</si>
  <si>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</si>
  <si>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</si>
  <si>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</si>
  <si>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</si>
  <si>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</si>
  <si>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</si>
  <si>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</si>
  <si>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</si>
  <si>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</si>
  <si>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</si>
  <si>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</si>
  <si>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</si>
  <si>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</si>
  <si>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</si>
  <si>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</si>
  <si>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</si>
  <si>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</si>
  <si>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</si>
  <si>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</si>
  <si>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</si>
  <si>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</si>
  <si>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</si>
  <si>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</si>
  <si>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</si>
  <si>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</si>
  <si>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</si>
  <si>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</si>
  <si>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</si>
  <si>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</si>
  <si>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</si>
  <si>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</si>
  <si>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</si>
  <si>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</si>
  <si>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</si>
  <si>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</si>
  <si>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</si>
  <si>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</si>
  <si>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</si>
  <si>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</si>
  <si>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</si>
  <si>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</si>
  <si>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</si>
  <si>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</si>
  <si>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</si>
  <si>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</si>
  <si>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</si>
  <si>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</si>
  <si>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</si>
  <si>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</si>
  <si>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</si>
  <si>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</si>
  <si>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</si>
  <si>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</si>
  <si>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</si>
  <si>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</si>
  <si>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</si>
  <si>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</si>
  <si>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</si>
  <si>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</si>
  <si>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</si>
  <si>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</si>
  <si>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</si>
  <si>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</si>
  <si>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</si>
  <si>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</si>
  <si>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</si>
  <si>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</si>
  <si>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</si>
  <si>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</si>
  <si>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</si>
  <si>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</si>
  <si>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</si>
  <si>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</si>
  <si>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</si>
  <si>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</si>
  <si>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</si>
  <si>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</si>
  <si>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</si>
  <si>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</si>
  <si>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</si>
  <si>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</si>
  <si>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</si>
  <si>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</si>
  <si>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</si>
  <si>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</si>
  <si>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</si>
  <si>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</si>
  <si>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</si>
  <si>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</si>
  <si>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</si>
  <si>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</si>
  <si>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</si>
  <si>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</si>
  <si>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</si>
  <si>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</si>
  <si>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</si>
  <si>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</si>
  <si>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</si>
  <si>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</si>
  <si>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</si>
  <si>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</si>
  <si>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</si>
  <si>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</si>
  <si>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</si>
  <si>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</si>
  <si>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</si>
  <si>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</si>
  <si>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</si>
  <si>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</si>
  <si>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</si>
  <si>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</si>
  <si>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</si>
  <si>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</si>
  <si>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</si>
  <si>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</si>
  <si>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</si>
  <si>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</si>
  <si>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</si>
  <si>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</si>
  <si>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</si>
  <si>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</si>
  <si>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</si>
  <si>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</si>
  <si>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</si>
  <si>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</si>
  <si>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</si>
  <si>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</si>
  <si>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</si>
  <si>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</si>
  <si>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</si>
  <si>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</si>
  <si>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</si>
  <si>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</si>
  <si>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</si>
  <si>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</si>
  <si>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</si>
  <si>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</si>
  <si>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</si>
  <si>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</si>
  <si>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</si>
  <si>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</si>
  <si>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序号</t>
    <phoneticPr fontId="140" type="noConversion"/>
  </si>
  <si>
    <t>合计</t>
    <phoneticPr fontId="140" type="noConversion"/>
  </si>
  <si>
    <t>《国有土地使用权 》证号</t>
    <phoneticPr fontId="140" type="noConversion"/>
  </si>
  <si>
    <t>土地使用者</t>
    <phoneticPr fontId="140" type="noConversion"/>
  </si>
  <si>
    <t>北京市榆垡集美家具有限责任公司</t>
    <phoneticPr fontId="140" type="noConversion"/>
  </si>
  <si>
    <t>北京市大兴县榆垡镇工业区内</t>
    <phoneticPr fontId="140" type="noConversion"/>
  </si>
  <si>
    <t>终止日期</t>
  </si>
  <si>
    <t>终止日期</t>
    <phoneticPr fontId="140" type="noConversion"/>
  </si>
  <si>
    <t>使用权面积</t>
    <phoneticPr fontId="140" type="noConversion"/>
  </si>
  <si>
    <t>京兴国用（2000出）字第063号</t>
  </si>
  <si>
    <t>京兴国用（2000出）字第064号</t>
  </si>
  <si>
    <t>京兴国用（2000出）字第065号</t>
  </si>
  <si>
    <t>京兴国用（2000出）字第066号</t>
  </si>
  <si>
    <t>座落</t>
    <phoneticPr fontId="140" type="noConversion"/>
  </si>
  <si>
    <t>《房屋所有权证》号</t>
    <phoneticPr fontId="140" type="noConversion"/>
  </si>
  <si>
    <t>房屋所有权人</t>
    <phoneticPr fontId="140" type="noConversion"/>
  </si>
  <si>
    <t>房屋坐落</t>
    <phoneticPr fontId="140" type="noConversion"/>
  </si>
  <si>
    <t>楼号或幢号</t>
    <phoneticPr fontId="140" type="noConversion"/>
  </si>
  <si>
    <t>房屋总楼层</t>
    <phoneticPr fontId="140" type="noConversion"/>
  </si>
  <si>
    <t>所在楼层</t>
    <phoneticPr fontId="140" type="noConversion"/>
  </si>
  <si>
    <t>部位及房号</t>
    <phoneticPr fontId="140" type="noConversion"/>
  </si>
  <si>
    <t>结构</t>
    <phoneticPr fontId="140" type="noConversion"/>
  </si>
  <si>
    <t>建成年份</t>
    <phoneticPr fontId="140" type="noConversion"/>
  </si>
  <si>
    <t>建筑面积</t>
    <phoneticPr fontId="140" type="noConversion"/>
  </si>
  <si>
    <t>1-1</t>
    <phoneticPr fontId="140" type="noConversion"/>
  </si>
  <si>
    <t>混合</t>
    <phoneticPr fontId="140" type="noConversion"/>
  </si>
  <si>
    <t>3（-1）</t>
    <phoneticPr fontId="140" type="noConversion"/>
  </si>
  <si>
    <t>-1层</t>
    <phoneticPr fontId="140" type="noConversion"/>
  </si>
  <si>
    <t>地下室</t>
    <phoneticPr fontId="140" type="noConversion"/>
  </si>
  <si>
    <t>附</t>
    <phoneticPr fontId="140" type="noConversion"/>
  </si>
  <si>
    <t>1-3层</t>
    <phoneticPr fontId="140" type="noConversion"/>
  </si>
  <si>
    <t>抵押</t>
  </si>
  <si>
    <t>房地产抵押价值</t>
  </si>
  <si>
    <t>北京市</t>
  </si>
  <si>
    <t>企业</t>
  </si>
  <si>
    <t>出让</t>
  </si>
  <si>
    <t>是</t>
  </si>
  <si>
    <t>地上</t>
  </si>
  <si>
    <t>地下</t>
  </si>
  <si>
    <t>成新度</t>
  </si>
  <si>
    <t>利息：取LPR加浮动点数</t>
  </si>
  <si>
    <t>收益法</t>
  </si>
  <si>
    <t>押一</t>
  </si>
  <si>
    <t>按租金收入计税</t>
  </si>
  <si>
    <t>砖混</t>
  </si>
  <si>
    <t>生产用房</t>
  </si>
  <si>
    <t>工业2</t>
  </si>
  <si>
    <t>收益法（汇总）</t>
  </si>
  <si>
    <t>成本法</t>
  </si>
  <si>
    <t>未包含在土地购买价格中</t>
  </si>
  <si>
    <t>全部缴纳</t>
  </si>
  <si>
    <t>已包含在土地取得成本中</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</si>
  <si>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</si>
  <si>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</si>
  <si>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</si>
  <si>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</si>
  <si>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</si>
  <si>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</si>
  <si>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</si>
  <si>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</si>
  <si>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</si>
  <si>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</si>
  <si>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</si>
  <si>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</si>
  <si>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</si>
  <si>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起始价(万元)</t>
  </si>
  <si>
    <t>保证金(万元)</t>
  </si>
  <si>
    <t>成交价(万元)</t>
  </si>
  <si>
    <t>推出每亩价(万元/亩)</t>
  </si>
  <si>
    <t>成交每亩价(万元/亩)</t>
  </si>
  <si>
    <t>推出楼面价(元/㎡)</t>
  </si>
  <si>
    <t>成交楼面价(元/㎡)</t>
  </si>
  <si>
    <t>溢价率(%)</t>
  </si>
  <si>
    <t>出让年限(年)</t>
  </si>
  <si>
    <t xml:space="preserve">北京经济技术开发区0606街区YZ00-0606-0051地块M1一类工业用地国有建设用地使用权出让公告    </t>
  </si>
  <si>
    <t>京开国土挂【2021】12号</t>
  </si>
  <si>
    <t xml:space="preserve">       工业用地</t>
  </si>
  <si>
    <t xml:space="preserve">       挂牌</t>
  </si>
  <si>
    <t xml:space="preserve">       M1工业</t>
  </si>
  <si>
    <t xml:space="preserve">--       </t>
  </si>
  <si>
    <t xml:space="preserve">       已成交</t>
  </si>
  <si>
    <t xml:space="preserve">   --    </t>
  </si>
  <si>
    <t>京土整储挂 (兴)工业 [2021]008 号</t>
  </si>
  <si>
    <t xml:space="preserve">       招标</t>
  </si>
  <si>
    <t xml:space="preserve">       工业</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</si>
  <si>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</si>
  <si>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</si>
  <si>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</si>
  <si>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</si>
  <si>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≤1.5</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</si>
  <si>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</si>
  <si>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</si>
  <si>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</si>
  <si>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</si>
  <si>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</si>
  <si>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</si>
  <si>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</si>
  <si>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</si>
  <si>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</si>
  <si>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</si>
  <si>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</si>
  <si>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</si>
  <si>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</si>
  <si>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</si>
  <si>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</si>
  <si>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</si>
  <si>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</si>
  <si>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</si>
  <si>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</si>
  <si>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</si>
  <si>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</si>
  <si>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</si>
  <si>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</si>
  <si>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</si>
  <si>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</si>
  <si>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</si>
  <si>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</si>
  <si>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</si>
  <si>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</si>
  <si>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</si>
  <si>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</si>
  <si>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</si>
  <si>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</si>
  <si>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京临管挂工业〔2021〕002号</t>
  </si>
  <si>
    <t xml:space="preserve">       ≤1</t>
  </si>
  <si>
    <t xml:space="preserve">       M1工业用地</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</si>
  <si>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</si>
  <si>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</si>
  <si>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</si>
  <si>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</si>
  <si>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</si>
  <si>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</si>
  <si>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</si>
  <si>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</si>
  <si>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</si>
  <si>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</si>
  <si>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</si>
  <si>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</si>
  <si>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</si>
  <si>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</si>
  <si>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</si>
  <si>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</si>
  <si>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</si>
  <si>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</si>
  <si>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</si>
  <si>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北京经济技术开发区河西区X6-1M3地块工业项目    </t>
  </si>
  <si>
    <t>京开国土挂【2021】1号</t>
  </si>
  <si>
    <t xml:space="preserve">  北京科益虹源光电技术有限公司      </t>
  </si>
  <si>
    <t>京土整储挂(兴)工业〔2021〕001号</t>
  </si>
  <si>
    <t xml:space="preserve">       ≤1.35</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</si>
  <si>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</si>
  <si>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</si>
  <si>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</si>
  <si>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</si>
  <si>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</si>
  <si>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</si>
  <si>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</si>
  <si>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</si>
  <si>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</si>
  <si>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</si>
  <si>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</si>
  <si>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</si>
  <si>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</si>
  <si>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</si>
  <si>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</si>
  <si>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</si>
  <si>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</si>
  <si>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</si>
  <si>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</si>
  <si>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</si>
  <si>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</si>
  <si>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</si>
  <si>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</si>
  <si>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</si>
  <si>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</si>
  <si>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</si>
  <si>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</si>
  <si>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</si>
  <si>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</si>
  <si>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</si>
  <si>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</si>
  <si>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</si>
  <si>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</si>
  <si>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</si>
  <si>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</si>
  <si>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</si>
  <si>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</si>
  <si>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</si>
  <si>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</si>
  <si>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</si>
  <si>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</si>
  <si>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</si>
  <si>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</si>
  <si>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</si>
  <si>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</si>
  <si>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</si>
  <si>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</si>
  <si>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</si>
  <si>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</si>
  <si>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</si>
  <si>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</si>
  <si>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</si>
  <si>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</si>
  <si>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</si>
  <si>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</si>
  <si>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</si>
  <si>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</si>
  <si>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</si>
  <si>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</si>
  <si>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</si>
  <si>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</si>
  <si>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</si>
  <si>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</si>
  <si>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</si>
  <si>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</si>
  <si>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</si>
  <si>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</si>
  <si>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</si>
  <si>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</si>
  <si>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</si>
  <si>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</si>
  <si>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</si>
  <si>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</si>
  <si>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</si>
  <si>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</si>
  <si>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</si>
  <si>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</si>
  <si>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</si>
  <si>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</si>
  <si>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</si>
  <si>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</si>
  <si>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</si>
  <si>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</si>
  <si>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</si>
  <si>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</si>
  <si>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</si>
  <si>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</si>
  <si>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</si>
  <si>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</si>
  <si>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</si>
  <si>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</si>
  <si>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</si>
  <si>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</si>
  <si>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</si>
  <si>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</si>
  <si>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</si>
  <si>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</si>
  <si>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</si>
  <si>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</si>
  <si>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 xml:space="preserve">北京经济技术开发区路南区N2M3地块    </t>
  </si>
  <si>
    <t>京开国土挂[2019]07号</t>
  </si>
  <si>
    <t xml:space="preserve">  福瑞博达(北京)自动化设备有限公司      </t>
  </si>
  <si>
    <t xml:space="preserve">大兴新城东南片区0605-022B地块工业用地    </t>
  </si>
  <si>
    <t>京土整储挂(兴)工业[2019]001号</t>
  </si>
  <si>
    <t xml:space="preserve">       MI一类工业用地</t>
  </si>
  <si>
    <t xml:space="preserve">  北京天科合达半导体股份有限公司      </t>
  </si>
  <si>
    <t xml:space="preserve">北京经济技术开发区核心区66M2地块工业项目国有建设用地    </t>
  </si>
  <si>
    <t>京开国土挂[2019]06号</t>
  </si>
  <si>
    <t xml:space="preserve">北京经济技术开发区河西区X62M4地块工业项目    </t>
  </si>
  <si>
    <t>京开国土挂[2019]05号</t>
  </si>
  <si>
    <t xml:space="preserve">  北京卡达克汽车检测技术中心有限公司      </t>
  </si>
  <si>
    <t xml:space="preserve">北京经济技术开发区路南区N9M1地块工业项目    </t>
  </si>
  <si>
    <t>京开国土挂[2019]04号</t>
  </si>
  <si>
    <t xml:space="preserve">北京经济技术开发区路南区N9M2地块工业项目    </t>
  </si>
  <si>
    <t>京开国土挂[2019]01号</t>
  </si>
  <si>
    <t xml:space="preserve">  北京集创北方半导体科技有限公司      </t>
  </si>
  <si>
    <t>京开国土挂[2019]02号</t>
  </si>
  <si>
    <t xml:space="preserve">  北京仁众药业有限公司      </t>
  </si>
  <si>
    <t xml:space="preserve">北京经济技术开发区路南区N35M1地块工业项目    </t>
  </si>
  <si>
    <t>京开国土挂[2019]03号</t>
  </si>
  <si>
    <t xml:space="preserve">       ≤1.6</t>
  </si>
  <si>
    <t xml:space="preserve">  北京昭衍生物技术有限公司      </t>
  </si>
  <si>
    <t xml:space="preserve">大兴生物医药产业基地0501-023地块工业用地国有建设用地    </t>
  </si>
  <si>
    <t>京土整储挂(兴)工业[2018]003号</t>
  </si>
  <si>
    <t xml:space="preserve">  中关村医疗器械园有限公司      </t>
  </si>
  <si>
    <t xml:space="preserve">大兴生物医药产业基地0503-039、040、043、044地块工业用地    </t>
  </si>
  <si>
    <t>京土整储挂(兴)工业[2018]004号</t>
  </si>
  <si>
    <t xml:space="preserve">  北京民海生物科技有限公司      </t>
  </si>
  <si>
    <t xml:space="preserve">北京经济技术开发区路南区N43M1地块工业项目国有建设用地    </t>
  </si>
  <si>
    <t>京开国土挂[2018]7号</t>
  </si>
  <si>
    <t>总价</t>
  </si>
  <si>
    <t>成本比率</t>
  </si>
  <si>
    <t>正常</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</si>
  <si>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</si>
  <si>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</si>
  <si>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</si>
  <si>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已知V（N），求取V（n）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</si>
  <si>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</si>
  <si>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</si>
  <si>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</si>
  <si>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</si>
  <si>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</si>
  <si>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</si>
  <si>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年期修正系数</t>
  </si>
  <si>
    <t>报酬率-土地</t>
  </si>
  <si>
    <t>年限</t>
  </si>
  <si>
    <t>不同年限间价值的换算</t>
  </si>
  <si>
    <t>剩余土地使用年限</t>
  </si>
  <si>
    <t>法定最高/出让年限</t>
  </si>
  <si>
    <t>价值时点</t>
  </si>
  <si>
    <t>一般</t>
  </si>
  <si>
    <t>较好</t>
  </si>
  <si>
    <t>较差</t>
  </si>
  <si>
    <t>五通一平</t>
  </si>
  <si>
    <t>五通一平</t>
    <phoneticPr fontId="33" type="noConversion"/>
  </si>
  <si>
    <t>四通一平</t>
  </si>
  <si>
    <t>四通一平</t>
    <phoneticPr fontId="33" type="noConversion"/>
  </si>
  <si>
    <t>三通一平</t>
  </si>
  <si>
    <t>三通一平</t>
    <phoneticPr fontId="33" type="noConversion"/>
  </si>
  <si>
    <t xml:space="preserve">  北京航城兴晟商贸有限责任公司      </t>
    <phoneticPr fontId="140" type="noConversion"/>
  </si>
  <si>
    <t>戊类库房</t>
  </si>
  <si>
    <t>仓储</t>
  </si>
  <si>
    <t>Ⅹ-兴1</t>
  </si>
  <si>
    <t>工业用地</t>
  </si>
  <si>
    <t>不临58条商业街</t>
  </si>
  <si>
    <t>与级别开发程度不一致</t>
  </si>
  <si>
    <t>通路</t>
  </si>
  <si>
    <t>通电</t>
  </si>
  <si>
    <t>通讯</t>
  </si>
  <si>
    <t>通上水</t>
  </si>
  <si>
    <t>通下水</t>
  </si>
  <si>
    <t>通热</t>
  </si>
  <si>
    <t>燃气</t>
  </si>
  <si>
    <t>平整</t>
  </si>
  <si>
    <t>按公示增长率计算</t>
  </si>
  <si>
    <t>容积率修正</t>
  </si>
  <si>
    <t>好</t>
  </si>
  <si>
    <t>直线</t>
    <phoneticPr fontId="3" type="noConversion"/>
  </si>
  <si>
    <t>工业</t>
    <phoneticPr fontId="7" type="noConversion"/>
  </si>
  <si>
    <t xml:space="preserve"> </t>
    <phoneticPr fontId="3" type="noConversion"/>
  </si>
  <si>
    <r>
      <rPr>
        <sz val="11"/>
        <color indexed="8"/>
        <rFont val="宋体"/>
        <family val="3"/>
        <charset val="134"/>
      </rPr>
      <t>容积率</t>
    </r>
    <phoneticPr fontId="3" type="noConversion"/>
  </si>
  <si>
    <t>单位面积地价</t>
  </si>
  <si>
    <t>观察</t>
    <phoneticPr fontId="3" type="noConversion"/>
  </si>
  <si>
    <t>七通</t>
  </si>
  <si>
    <t>工业</t>
    <phoneticPr fontId="33" type="noConversion"/>
  </si>
  <si>
    <t>宗地容积率</t>
  </si>
  <si>
    <t>郑燚</t>
  </si>
  <si>
    <t>崔锴</t>
  </si>
  <si>
    <t>京兴国用（2000出）字第062号</t>
    <phoneticPr fontId="140" type="noConversion"/>
  </si>
  <si>
    <t>X京房权证兴字第058159号</t>
    <phoneticPr fontId="140" type="noConversion"/>
  </si>
  <si>
    <t>合计</t>
    <phoneticPr fontId="140" type="noConversion"/>
  </si>
  <si>
    <t>较好</t>
    <phoneticPr fontId="33" type="noConversion"/>
  </si>
  <si>
    <t>七通一平</t>
  </si>
  <si>
    <t>七通一平</t>
    <phoneticPr fontId="33" type="noConversion"/>
  </si>
  <si>
    <t>六通一平</t>
    <phoneticPr fontId="33" type="noConversion"/>
  </si>
  <si>
    <t>大兴区榆顺路2号1幢等7幢</t>
    <phoneticPr fontId="140" type="noConversion"/>
  </si>
  <si>
    <t xml:space="preserve">大兴区庞各庄镇DX06-0103-6022地块一类工业用地    </t>
    <phoneticPr fontId="140" type="noConversion"/>
  </si>
  <si>
    <t xml:space="preserve">大兴生物医药产业基地DX00-0501-0051-1地块M1一类工业用地国有建设用地使用权出让挂牌文件    </t>
    <phoneticPr fontId="140" type="noConversion"/>
  </si>
  <si>
    <t xml:space="preserve">北京大兴国际机场综合保税区0107-106地块W1一类物流仓储用地国有建设用地使用权出让    </t>
    <phoneticPr fontId="140" type="noConversion"/>
  </si>
  <si>
    <t>物流仓储</t>
    <phoneticPr fontId="33" type="noConversion"/>
  </si>
  <si>
    <t xml:space="preserve">北京金桥科技产业基地C1-3-2-2地块M1一类工业用地国有建设用地使用权出让公告    </t>
    <phoneticPr fontId="140" type="noConversion"/>
  </si>
  <si>
    <t xml:space="preserve">北京大兴国际机场综合保税区0107-037地块M1工业用地国有建设用地使用权出让    </t>
    <phoneticPr fontId="140" type="noConversion"/>
  </si>
  <si>
    <t xml:space="preserve">  北京航城兴达建设实业有限公司      </t>
    <phoneticPr fontId="140" type="noConversion"/>
  </si>
  <si>
    <t>规则</t>
    <phoneticPr fontId="33" type="noConversion"/>
  </si>
  <si>
    <t>较规则</t>
  </si>
  <si>
    <t>较规则</t>
    <phoneticPr fontId="33" type="noConversion"/>
  </si>
  <si>
    <t>较不规则</t>
    <phoneticPr fontId="33" type="noConversion"/>
  </si>
  <si>
    <t>不规则</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</si>
</sst>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2"/>
      <color theme="1"/>
      <name val="宋体"/>
      <family val="2"/>
      <scheme val="minor"/>
    </font>
    <font>
      <sz val="11"/>
      <name val="仿宋_GB2312"/>
      <family val="3"/>
      <charset val="134"/>
    </font>
    <font>
      <b/>
      <sz val="11"/>
      <color rgb="FFFF0000"/>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0" xfId="0" applyFont="1" applyAlignment="1">
      <alignment horizontal="left" vertical="center"/>
    </xf>
    <xf numFmtId="31" fontId="255"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255" fillId="0" borderId="0" xfId="17" applyNumberFormat="1" applyFont="1" applyAlignment="1">
      <alignment horizontal="left" vertical="center"/>
    </xf>
    <xf numFmtId="14" fontId="255" fillId="0" borderId="0" xfId="17" applyNumberFormat="1" applyFont="1" applyAlignment="1">
      <alignment horizontal="left" vertical="center"/>
    </xf>
    <xf numFmtId="0" fontId="255" fillId="5" borderId="0" xfId="17" applyNumberFormat="1" applyFont="1" applyFill="1" applyAlignment="1">
      <alignment horizontal="left" vertical="center"/>
    </xf>
    <xf numFmtId="14" fontId="255" fillId="5" borderId="0" xfId="17" applyNumberFormat="1" applyFont="1" applyFill="1" applyAlignment="1">
      <alignment horizontal="left" vertical="center"/>
    </xf>
    <xf numFmtId="0" fontId="116" fillId="0" borderId="0" xfId="2" applyFont="1" applyFill="1" applyAlignment="1"/>
    <xf numFmtId="0" fontId="102" fillId="6" borderId="49" xfId="2" applyFont="1" applyFill="1" applyBorder="1" applyAlignment="1">
      <alignment horizontal="center"/>
    </xf>
    <xf numFmtId="0" fontId="53" fillId="6" borderId="32" xfId="2" applyFont="1" applyFill="1" applyBorder="1" applyAlignment="1">
      <alignment horizontal="center"/>
    </xf>
    <xf numFmtId="0" fontId="102" fillId="0" borderId="10" xfId="2" applyFont="1" applyFill="1" applyBorder="1" applyAlignment="1" applyProtection="1">
      <alignment horizontal="center"/>
      <protection locked="0"/>
    </xf>
    <xf numFmtId="0" fontId="53" fillId="6" borderId="9" xfId="2" applyFont="1" applyFill="1" applyBorder="1" applyAlignment="1">
      <alignment horizontal="center"/>
    </xf>
    <xf numFmtId="0" fontId="116" fillId="6" borderId="0" xfId="2" applyFont="1" applyFill="1" applyAlignment="1"/>
    <xf numFmtId="0" fontId="97" fillId="6" borderId="0" xfId="2" applyFont="1" applyFill="1" applyBorder="1" applyAlignment="1">
      <alignment horizontal="left"/>
    </xf>
    <xf numFmtId="0" fontId="102" fillId="0" borderId="0" xfId="2" applyFont="1" applyFill="1" applyAlignment="1"/>
    <xf numFmtId="0" fontId="102" fillId="6" borderId="32" xfId="2" applyFont="1" applyFill="1" applyBorder="1" applyAlignment="1">
      <alignment horizontal="center"/>
    </xf>
    <xf numFmtId="0" fontId="53" fillId="6" borderId="25"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6" xfId="2" applyFont="1" applyFill="1" applyBorder="1" applyAlignment="1">
      <alignment horizontal="center"/>
    </xf>
    <xf numFmtId="0" fontId="53" fillId="6" borderId="0" xfId="2" applyFont="1" applyFill="1" applyBorder="1" applyAlignment="1">
      <alignment horizontal="center"/>
    </xf>
    <xf numFmtId="0" fontId="53" fillId="6" borderId="49" xfId="2" applyFont="1" applyFill="1" applyBorder="1" applyAlignment="1"/>
    <xf numFmtId="181" fontId="102" fillId="0" borderId="9" xfId="2" applyNumberFormat="1" applyFont="1" applyFill="1" applyBorder="1" applyAlignment="1" applyProtection="1">
      <alignment horizontal="center"/>
      <protection locked="0"/>
    </xf>
    <xf numFmtId="0" fontId="102" fillId="0" borderId="32" xfId="2" applyFont="1" applyFill="1" applyBorder="1" applyAlignment="1" applyProtection="1">
      <alignment horizontal="center"/>
      <protection locked="0"/>
    </xf>
    <xf numFmtId="0" fontId="53" fillId="6" borderId="10" xfId="2" applyFont="1" applyFill="1" applyBorder="1" applyAlignment="1"/>
    <xf numFmtId="0" fontId="257" fillId="6" borderId="65" xfId="2" applyFont="1" applyFill="1" applyBorder="1" applyAlignment="1">
      <alignment horizontal="righ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116" fillId="0" borderId="0" xfId="2" applyFont="1" applyFill="1" applyAlignment="1">
      <alignment vertical="center"/>
    </xf>
    <xf numFmtId="0" fontId="116" fillId="6" borderId="31" xfId="2" applyFont="1" applyFill="1" applyBorder="1" applyAlignment="1">
      <alignment vertical="center"/>
    </xf>
    <xf numFmtId="0" fontId="258" fillId="6" borderId="16" xfId="2" applyFont="1" applyFill="1" applyBorder="1" applyAlignment="1">
      <alignment vertical="center"/>
    </xf>
    <xf numFmtId="181" fontId="102" fillId="0" borderId="49" xfId="2" applyNumberFormat="1" applyFont="1" applyFill="1" applyBorder="1" applyAlignment="1" applyProtection="1">
      <alignment horizontal="center" vertical="center"/>
      <protection locked="0"/>
    </xf>
    <xf numFmtId="180" fontId="53" fillId="6" borderId="32" xfId="1" applyNumberFormat="1" applyFont="1" applyFill="1" applyBorder="1" applyAlignment="1" applyProtection="1">
      <alignment horizontal="center" vertical="center"/>
    </xf>
    <xf numFmtId="179" fontId="53" fillId="6" borderId="32" xfId="1" applyNumberFormat="1" applyFont="1" applyFill="1" applyBorder="1" applyAlignment="1" applyProtection="1">
      <alignment horizontal="center" vertical="center"/>
    </xf>
    <xf numFmtId="184" fontId="46" fillId="0" borderId="32"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77" fontId="46" fillId="5" borderId="23" xfId="1" applyNumberFormat="1" applyFont="1" applyFill="1" applyBorder="1" applyAlignment="1" applyProtection="1">
      <alignment horizontal="center" vertical="center"/>
      <protection locked="0"/>
    </xf>
    <xf numFmtId="0" fontId="259" fillId="6" borderId="10" xfId="2"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180" fontId="257" fillId="6" borderId="6" xfId="1" applyNumberFormat="1" applyFont="1" applyFill="1" applyBorder="1" applyAlignment="1" applyProtection="1">
      <alignment horizontal="center" vertical="center" wrapText="1"/>
    </xf>
    <xf numFmtId="184" fontId="46" fillId="0" borderId="67" xfId="2" applyNumberFormat="1" applyFont="1" applyFill="1" applyBorder="1" applyAlignment="1" applyProtection="1">
      <alignment horizontal="center" vertical="center"/>
      <protection locked="0"/>
    </xf>
    <xf numFmtId="0" fontId="116" fillId="6" borderId="26" xfId="2" applyFont="1" applyFill="1" applyBorder="1" applyAlignment="1"/>
    <xf numFmtId="0" fontId="255" fillId="9" borderId="0" xfId="17" applyNumberFormat="1" applyFont="1" applyFill="1" applyAlignment="1">
      <alignment horizontal="left" vertical="center"/>
    </xf>
    <xf numFmtId="14" fontId="255" fillId="9" borderId="0" xfId="17" applyNumberFormat="1" applyFont="1" applyFill="1" applyAlignment="1">
      <alignment horizontal="left" vertical="center"/>
    </xf>
    <xf numFmtId="0" fontId="134" fillId="0" borderId="44"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vertical="center"/>
      <protection locked="0"/>
    </xf>
    <xf numFmtId="0" fontId="72" fillId="0" borderId="51"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49" fillId="9" borderId="0" xfId="0" applyFont="1" applyFill="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49" fontId="255" fillId="0" borderId="1" xfId="0" applyNumberFormat="1" applyFont="1" applyBorder="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5" fillId="0" borderId="1" xfId="0" applyFont="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111" fillId="6" borderId="1"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723900</xdr:colOff>
      <xdr:row>24</xdr:row>
      <xdr:rowOff>76200</xdr:rowOff>
    </xdr:from>
    <xdr:to>
      <xdr:col>4</xdr:col>
      <xdr:colOff>304175</xdr:colOff>
      <xdr:row>45</xdr:row>
      <xdr:rowOff>123344</xdr:rowOff>
    </xdr:to>
    <xdr:pic>
      <xdr:nvPicPr>
        <xdr:cNvPr id="2" name="图片 1"/>
        <xdr:cNvPicPr>
          <a:picLocks noChangeAspect="1"/>
        </xdr:cNvPicPr>
      </xdr:nvPicPr>
      <xdr:blipFill>
        <a:blip xmlns:r="http://schemas.openxmlformats.org/officeDocument/2006/relationships" r:embed="rId1"/>
        <a:stretch>
          <a:fillRect/>
        </a:stretch>
      </xdr:blipFill>
      <xdr:spPr>
        <a:xfrm>
          <a:off x="1123950" y="4419600"/>
          <a:ext cx="5000000"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65</xdr:row>
      <xdr:rowOff>19050</xdr:rowOff>
    </xdr:from>
    <xdr:to>
      <xdr:col>11</xdr:col>
      <xdr:colOff>63714</xdr:colOff>
      <xdr:row>102</xdr:row>
      <xdr:rowOff>27737</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219075" y="11782425"/>
          <a:ext cx="8876191" cy="6704762"/>
        </a:xfrm>
        <a:prstGeom prst="rect">
          <a:avLst/>
        </a:prstGeom>
      </xdr:spPr>
    </xdr:pic>
    <xdr:clientData/>
  </xdr:twoCellAnchor>
  <xdr:twoCellAnchor editAs="oneCell">
    <xdr:from>
      <xdr:col>0</xdr:col>
      <xdr:colOff>180975</xdr:colOff>
      <xdr:row>102</xdr:row>
      <xdr:rowOff>76200</xdr:rowOff>
    </xdr:from>
    <xdr:to>
      <xdr:col>12</xdr:col>
      <xdr:colOff>37722</xdr:colOff>
      <xdr:row>140</xdr:row>
      <xdr:rowOff>161055</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180975" y="18535650"/>
          <a:ext cx="9380953" cy="6961905"/>
        </a:xfrm>
        <a:prstGeom prst="rect">
          <a:avLst/>
        </a:prstGeom>
      </xdr:spPr>
    </xdr:pic>
    <xdr:clientData/>
  </xdr:twoCellAnchor>
  <xdr:twoCellAnchor editAs="oneCell">
    <xdr:from>
      <xdr:col>15</xdr:col>
      <xdr:colOff>0</xdr:colOff>
      <xdr:row>67</xdr:row>
      <xdr:rowOff>0</xdr:rowOff>
    </xdr:from>
    <xdr:to>
      <xdr:col>26</xdr:col>
      <xdr:colOff>24435</xdr:colOff>
      <xdr:row>104</xdr:row>
      <xdr:rowOff>1555</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3"/>
        <a:stretch>
          <a:fillRect/>
        </a:stretch>
      </xdr:blipFill>
      <xdr:spPr>
        <a:xfrm>
          <a:off x="10144125" y="11965781"/>
          <a:ext cx="7723810" cy="6609524"/>
        </a:xfrm>
        <a:prstGeom prst="rect">
          <a:avLst/>
        </a:prstGeom>
      </xdr:spPr>
    </xdr:pic>
    <xdr:clientData/>
  </xdr:twoCellAnchor>
  <xdr:twoCellAnchor editAs="oneCell">
    <xdr:from>
      <xdr:col>0</xdr:col>
      <xdr:colOff>333375</xdr:colOff>
      <xdr:row>142</xdr:row>
      <xdr:rowOff>-1</xdr:rowOff>
    </xdr:from>
    <xdr:to>
      <xdr:col>10</xdr:col>
      <xdr:colOff>631822</xdr:colOff>
      <xdr:row>175</xdr:row>
      <xdr:rowOff>1644</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4"/>
        <a:stretch>
          <a:fillRect/>
        </a:stretch>
      </xdr:blipFill>
      <xdr:spPr>
        <a:xfrm>
          <a:off x="333375" y="25360312"/>
          <a:ext cx="8495239" cy="5895238"/>
        </a:xfrm>
        <a:prstGeom prst="rect">
          <a:avLst/>
        </a:prstGeom>
      </xdr:spPr>
    </xdr:pic>
    <xdr:clientData/>
  </xdr:twoCellAnchor>
  <xdr:twoCellAnchor editAs="oneCell">
    <xdr:from>
      <xdr:col>0</xdr:col>
      <xdr:colOff>345281</xdr:colOff>
      <xdr:row>174</xdr:row>
      <xdr:rowOff>107156</xdr:rowOff>
    </xdr:from>
    <xdr:to>
      <xdr:col>13</xdr:col>
      <xdr:colOff>90038</xdr:colOff>
      <xdr:row>209</xdr:row>
      <xdr:rowOff>65899</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5"/>
        <a:stretch>
          <a:fillRect/>
        </a:stretch>
      </xdr:blipFill>
      <xdr:spPr>
        <a:xfrm>
          <a:off x="345281" y="31182469"/>
          <a:ext cx="9952382" cy="6209524"/>
        </a:xfrm>
        <a:prstGeom prst="rect">
          <a:avLst/>
        </a:prstGeom>
      </xdr:spPr>
    </xdr:pic>
    <xdr:clientData/>
  </xdr:twoCellAnchor>
  <xdr:twoCellAnchor editAs="oneCell">
    <xdr:from>
      <xdr:col>0</xdr:col>
      <xdr:colOff>508000</xdr:colOff>
      <xdr:row>211</xdr:row>
      <xdr:rowOff>177800</xdr:rowOff>
    </xdr:from>
    <xdr:to>
      <xdr:col>14</xdr:col>
      <xdr:colOff>64316</xdr:colOff>
      <xdr:row>237</xdr:row>
      <xdr:rowOff>121507</xdr:rowOff>
    </xdr:to>
    <xdr:pic>
      <xdr:nvPicPr>
        <xdr:cNvPr id="4" name="图片 3"/>
        <xdr:cNvPicPr>
          <a:picLocks noChangeAspect="1"/>
        </xdr:cNvPicPr>
      </xdr:nvPicPr>
      <xdr:blipFill>
        <a:blip xmlns:r="http://schemas.openxmlformats.org/officeDocument/2006/relationships" r:embed="rId6"/>
        <a:stretch>
          <a:fillRect/>
        </a:stretch>
      </xdr:blipFill>
      <xdr:spPr>
        <a:xfrm>
          <a:off x="508000" y="41266533"/>
          <a:ext cx="9411516" cy="5006774"/>
        </a:xfrm>
        <a:prstGeom prst="rect">
          <a:avLst/>
        </a:prstGeom>
      </xdr:spPr>
    </xdr:pic>
    <xdr:clientData/>
  </xdr:twoCellAnchor>
  <xdr:twoCellAnchor editAs="oneCell">
    <xdr:from>
      <xdr:col>0</xdr:col>
      <xdr:colOff>0</xdr:colOff>
      <xdr:row>239</xdr:row>
      <xdr:rowOff>0</xdr:rowOff>
    </xdr:from>
    <xdr:to>
      <xdr:col>19</xdr:col>
      <xdr:colOff>165373</xdr:colOff>
      <xdr:row>261</xdr:row>
      <xdr:rowOff>13919</xdr:rowOff>
    </xdr:to>
    <xdr:pic>
      <xdr:nvPicPr>
        <xdr:cNvPr id="5" name="图片 4"/>
        <xdr:cNvPicPr>
          <a:picLocks noChangeAspect="1"/>
        </xdr:cNvPicPr>
      </xdr:nvPicPr>
      <xdr:blipFill>
        <a:blip xmlns:r="http://schemas.openxmlformats.org/officeDocument/2006/relationships" r:embed="rId7"/>
        <a:stretch>
          <a:fillRect/>
        </a:stretch>
      </xdr:blipFill>
      <xdr:spPr>
        <a:xfrm>
          <a:off x="0" y="46541267"/>
          <a:ext cx="12924640" cy="42980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294810</xdr:colOff>
      <xdr:row>48</xdr:row>
      <xdr:rowOff>132370</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514350"/>
          <a:ext cx="3723810" cy="7847620"/>
        </a:xfrm>
        <a:prstGeom prst="rect">
          <a:avLst/>
        </a:prstGeom>
      </xdr:spPr>
    </xdr:pic>
    <xdr:clientData/>
  </xdr:twoCellAnchor>
  <xdr:twoCellAnchor editAs="oneCell">
    <xdr:from>
      <xdr:col>7</xdr:col>
      <xdr:colOff>0</xdr:colOff>
      <xdr:row>4</xdr:row>
      <xdr:rowOff>0</xdr:rowOff>
    </xdr:from>
    <xdr:to>
      <xdr:col>12</xdr:col>
      <xdr:colOff>171000</xdr:colOff>
      <xdr:row>21</xdr:row>
      <xdr:rowOff>56779</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4800600" y="685800"/>
          <a:ext cx="3600000" cy="2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6" customWidth="1"/>
    <col min="2" max="2" width="81" style="1343" customWidth="1"/>
    <col min="3" max="16384" width="9" style="1341"/>
  </cols>
  <sheetData>
    <row r="1" spans="1:2" s="1329" customFormat="1" ht="16.2" thickBot="1">
      <c r="A1" s="1328" t="s">
        <v>1127</v>
      </c>
      <c r="B1" s="1327" t="s">
        <v>1206</v>
      </c>
    </row>
    <row r="2" spans="1:2" s="1332" customFormat="1" ht="16.2"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郑燚（注册号：1120070131)、崔锴（注册号：1120100036)</v>
      </c>
    </row>
    <row r="5" spans="1:2" s="1329" customFormat="1" ht="16.2" thickBot="1">
      <c r="A5" s="1336" t="s">
        <v>1131</v>
      </c>
      <c r="B5" s="1337" t="str">
        <f>'预评函-封皮'!B49</f>
        <v>康正预评字号</v>
      </c>
    </row>
    <row r="6" spans="1:2" s="1332" customFormat="1" ht="16.2"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估价对象为北京市房地产，为所有。根据《国有土地使用证》[]，估价对象（分摊）出让国有建设用地使用权面积为31250平方米，建筑面积为24880.78平方米。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估价对象为北京市房地产,属开发建设的，该项目尚在开发建设中。根据《国有土地使用证》[]，估价对象（分摊）出让国有建设用地使用权面积为31250平方米，规划建筑面积为24880.78平方米。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2022年1月6日</v>
      </c>
    </row>
    <row r="13" spans="1:2" s="1335" customFormat="1">
      <c r="A13" s="1333" t="s">
        <v>1135</v>
      </c>
      <c r="B13" s="1334"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6.2" thickBot="1">
      <c r="A18" s="1336" t="s">
        <v>1140</v>
      </c>
      <c r="B18" s="1337" t="str">
        <f>'预评函-1'!A24</f>
        <v>本次评估采用的主估价方法为成本法和收益法。</v>
      </c>
    </row>
    <row r="19" spans="1:2" s="1332" customFormat="1" ht="16.2"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9409</v>
      </c>
    </row>
    <row r="21" spans="1:2" s="1335" customFormat="1">
      <c r="A21" s="1333" t="s">
        <v>1143</v>
      </c>
      <c r="B21" s="1334">
        <f ca="1">'预评函-2'!D7</f>
        <v>3782</v>
      </c>
    </row>
    <row r="22" spans="1:2" s="1335" customFormat="1">
      <c r="A22" s="1333" t="s">
        <v>1144</v>
      </c>
      <c r="B22" s="1334" t="str">
        <f ca="1">'预评函-2'!D6</f>
        <v>玖仟肆佰零玖万元整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9409</v>
      </c>
    </row>
    <row r="31" spans="1:2" s="1335" customFormat="1">
      <c r="A31" s="1333" t="s">
        <v>1182</v>
      </c>
      <c r="B31" s="1334">
        <f ca="1">'预评函-2'!D15</f>
        <v>3782</v>
      </c>
    </row>
    <row r="32" spans="1:2" s="1335" customFormat="1">
      <c r="A32" s="1333" t="s">
        <v>1149</v>
      </c>
      <c r="B32" s="1334" t="str">
        <f ca="1">'预评函-2'!D14</f>
        <v>玖仟肆佰零玖万元整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ht="31.2">
      <c r="A42" s="1333" t="s">
        <v>1196</v>
      </c>
      <c r="B42" s="1334" t="str">
        <f>'预评函-3'!B2</f>
        <v>建筑面积</v>
      </c>
    </row>
    <row r="43" spans="1:2" s="1335" customFormat="1">
      <c r="A43" s="1333" t="s">
        <v>1197</v>
      </c>
      <c r="B43" s="1334">
        <f>'预评函-3'!B4</f>
        <v>24880.78</v>
      </c>
    </row>
    <row r="44" spans="1:2" s="1335" customFormat="1" ht="31.2">
      <c r="A44" s="1333" t="s">
        <v>1181</v>
      </c>
      <c r="B44" s="1334" t="str">
        <f>'预评函-3'!C2</f>
        <v>(分摊)土地面积</v>
      </c>
    </row>
    <row r="45" spans="1:2" s="1335" customFormat="1">
      <c r="A45" s="1333" t="s">
        <v>1153</v>
      </c>
      <c r="B45" s="1334">
        <f>'预评函-3'!C4</f>
        <v>31250</v>
      </c>
    </row>
    <row r="46" spans="1:2" s="1335" customFormat="1">
      <c r="A46" s="1333" t="s">
        <v>1179</v>
      </c>
      <c r="B46" s="1334" t="str">
        <f>'预评函-3'!D2</f>
        <v>出让国有建设用地使用权价值</v>
      </c>
    </row>
    <row r="47" spans="1:2" s="1335" customFormat="1">
      <c r="A47" s="1333" t="s">
        <v>1154</v>
      </c>
      <c r="B47" s="1334">
        <f ca="1">'预评函-3'!D4</f>
        <v>5373</v>
      </c>
    </row>
    <row r="48" spans="1:2" s="1335" customFormat="1">
      <c r="A48" s="1333" t="s">
        <v>1155</v>
      </c>
      <c r="B48" s="1334">
        <f ca="1">'预评函-3'!E4</f>
        <v>2160</v>
      </c>
    </row>
    <row r="49" spans="1:2" s="1335" customFormat="1">
      <c r="A49" s="1333" t="s">
        <v>1156</v>
      </c>
      <c r="B49" s="1334" t="str">
        <f ca="1">'预评函-3'!D5</f>
        <v>伍仟叁佰柒拾叁万元整</v>
      </c>
    </row>
    <row r="50" spans="1:2" s="1335" customFormat="1">
      <c r="A50" s="1333" t="s">
        <v>1180</v>
      </c>
      <c r="B50" s="1334" t="str">
        <f>'预评函-3'!F2</f>
        <v>在建建筑物价值</v>
      </c>
    </row>
    <row r="51" spans="1:2" s="1335" customFormat="1">
      <c r="A51" s="1333" t="s">
        <v>1157</v>
      </c>
      <c r="B51" s="1334">
        <f ca="1">'预评函-3'!F4</f>
        <v>4036</v>
      </c>
    </row>
    <row r="52" spans="1:2" s="1335" customFormat="1">
      <c r="A52" s="1333" t="s">
        <v>1158</v>
      </c>
      <c r="B52" s="1334">
        <f ca="1">'预评函-3'!G4</f>
        <v>1622</v>
      </c>
    </row>
    <row r="53" spans="1:2" s="1335" customFormat="1">
      <c r="A53" s="1333" t="s">
        <v>1186</v>
      </c>
      <c r="B53" s="1334" t="str">
        <f ca="1">'预评函-3'!F5</f>
        <v>肆仟零叁拾陆万元整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6.2" thickBot="1">
      <c r="A57" s="1336" t="s">
        <v>1205</v>
      </c>
      <c r="B57" s="1337" t="str">
        <f>'预评函-3'!A6</f>
        <v>估价师知悉的法定优先受偿款</v>
      </c>
    </row>
    <row r="58" spans="1:2" s="1332" customFormat="1" ht="16.2"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6.2" thickBot="1">
      <c r="A69" s="1336" t="s">
        <v>1167</v>
      </c>
      <c r="B69" s="1338">
        <f>'预评函-4'!C31</f>
        <v>42551</v>
      </c>
    </row>
    <row r="70" spans="1:2" ht="16.2" thickTop="1">
      <c r="A70" s="1339" t="s">
        <v>1168</v>
      </c>
      <c r="B70" s="1340" t="str">
        <f>'预评函-4'!A4</f>
        <v>郑燚</v>
      </c>
    </row>
    <row r="71" spans="1:2">
      <c r="A71" s="1333" t="s">
        <v>1169</v>
      </c>
      <c r="B71" s="1334">
        <f ca="1">'预评函-4'!B4</f>
        <v>1120070131</v>
      </c>
    </row>
    <row r="72" spans="1:2">
      <c r="A72" s="1333" t="s">
        <v>1170</v>
      </c>
      <c r="B72" s="1342" t="str">
        <f>'预评函-4'!A5</f>
        <v>崔锴</v>
      </c>
    </row>
    <row r="73" spans="1:2" s="1329" customFormat="1" ht="16.2" thickBot="1">
      <c r="A73" s="1336" t="s">
        <v>1171</v>
      </c>
      <c r="B73" s="1337">
        <f ca="1">'预评函-4'!B5</f>
        <v>1120100036</v>
      </c>
    </row>
    <row r="74" spans="1:2" ht="16.2"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9" customWidth="1"/>
    <col min="2" max="2" width="23.21875" style="1660" customWidth="1"/>
    <col min="3" max="3" width="13" style="1704" customWidth="1"/>
    <col min="4" max="4" width="5.77734375" style="1701" customWidth="1"/>
    <col min="5" max="5" width="7.109375" style="1701" customWidth="1"/>
    <col min="6" max="6" width="10.6640625" style="1701" customWidth="1"/>
    <col min="7" max="7" width="7.4414062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09375" style="1660" customWidth="1"/>
    <col min="25" max="16384" width="9" style="1660"/>
  </cols>
  <sheetData>
    <row r="1" spans="1:23" s="1698" customFormat="1" ht="28.8">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4"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07" t="s">
        <v>832</v>
      </c>
      <c r="C54" s="1704" t="s">
        <v>1189</v>
      </c>
    </row>
    <row r="55" spans="1:4">
      <c r="A55" s="3304"/>
      <c r="B55" s="1707" t="s">
        <v>833</v>
      </c>
      <c r="C55" s="1704" t="s">
        <v>1190</v>
      </c>
    </row>
    <row r="56" spans="1:4">
      <c r="A56" s="3304"/>
      <c r="B56" s="1707" t="s">
        <v>834</v>
      </c>
      <c r="C56" s="1704" t="s">
        <v>1194</v>
      </c>
    </row>
    <row r="57" spans="1:4">
      <c r="A57" s="3304"/>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6" sqref="E6"/>
    </sheetView>
  </sheetViews>
  <sheetFormatPr defaultColWidth="10" defaultRowHeight="13.2"/>
  <cols>
    <col min="1" max="1" width="16.88671875" style="1899" customWidth="1"/>
    <col min="2" max="2" width="10" style="1899" customWidth="1"/>
    <col min="3" max="3" width="11.44140625" style="1899" customWidth="1"/>
    <col min="4" max="4" width="10" style="1899" customWidth="1"/>
    <col min="5" max="5" width="12.6640625" style="1899" customWidth="1"/>
    <col min="6" max="6" width="10" style="1899" customWidth="1"/>
    <col min="7" max="7" width="10.77734375" style="1899" customWidth="1"/>
    <col min="8" max="8" width="10" style="1899" customWidth="1"/>
    <col min="9" max="9" width="11.10937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8" thickBot="1">
      <c r="A1" s="2558" t="s">
        <v>2852</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2853</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2854</v>
      </c>
      <c r="B3" s="2565"/>
      <c r="C3" s="2566" t="s">
        <v>2855</v>
      </c>
      <c r="D3" s="2565">
        <v>44567</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8" thickBot="1">
      <c r="A4" s="1221" t="s">
        <v>2856</v>
      </c>
      <c r="B4" s="2567" t="s">
        <v>3462</v>
      </c>
      <c r="C4" s="2568">
        <f ca="1">SUMIF(注册房地产估价师,B4,估价师及机构信息!B3:B24)</f>
        <v>1120070131</v>
      </c>
      <c r="D4" s="2567" t="s">
        <v>3463</v>
      </c>
      <c r="E4" s="2569">
        <f ca="1">SUMIF(注册房地产估价师,D4,估价师及机构信息!B3:B24)</f>
        <v>1120100036</v>
      </c>
      <c r="F4" s="2567"/>
      <c r="G4" s="2569">
        <f>SUMIF(注册房地产估价师,F4,估价师及机构信息!B3:B24)</f>
        <v>0</v>
      </c>
      <c r="H4" s="2567"/>
      <c r="I4" s="2569">
        <f>SUMIF(注册房地产估价师,H4,估价师及机构信息!B3:B24)</f>
        <v>0</v>
      </c>
      <c r="J4" s="2633"/>
      <c r="K4" s="2570" t="str">
        <f ca="1">CONCATENATE(B4,"（注册号：",C4,")、",D4,"（注册号：",E4,")")</f>
        <v>郑燚（注册号：1120070131)、崔锴（注册号：1120100036)</v>
      </c>
      <c r="L4" s="2561"/>
      <c r="M4" s="2561"/>
      <c r="N4" s="2562"/>
      <c r="O4" s="1729"/>
      <c r="P4" s="2562"/>
      <c r="Q4" s="2562"/>
      <c r="R4" s="2562"/>
      <c r="S4" s="1836"/>
      <c r="T4" s="1899"/>
      <c r="U4" s="1899"/>
      <c r="V4" s="1899"/>
      <c r="W4" s="1899"/>
      <c r="X4" s="1899"/>
      <c r="Y4" s="1899"/>
      <c r="Z4" s="1899"/>
      <c r="AA4" s="1899"/>
      <c r="AB4" s="1899"/>
    </row>
    <row r="5" spans="1:28" ht="13.8"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3157</v>
      </c>
      <c r="C8" s="2582"/>
      <c r="D8" s="3308" t="s">
        <v>2861</v>
      </c>
      <c r="E8" s="2583" t="s">
        <v>3158</v>
      </c>
      <c r="F8" s="2584"/>
      <c r="G8" s="2858"/>
      <c r="H8" s="2858"/>
      <c r="I8" s="2858"/>
      <c r="J8" s="2633"/>
      <c r="K8" s="2808"/>
      <c r="L8" s="2807"/>
      <c r="M8" s="2807"/>
      <c r="N8" s="2633"/>
      <c r="O8" s="2644"/>
      <c r="P8" s="2633"/>
      <c r="Q8" s="2633"/>
      <c r="R8" s="2633"/>
    </row>
    <row r="9" spans="1:28" ht="13.8" thickBot="1">
      <c r="A9" s="2585" t="s">
        <v>2862</v>
      </c>
      <c r="B9" s="2586" t="s">
        <v>3158</v>
      </c>
      <c r="C9" s="2587"/>
      <c r="D9" s="3309"/>
      <c r="E9" s="2586"/>
      <c r="F9" s="2588"/>
      <c r="G9" s="2860"/>
      <c r="H9" s="2860"/>
      <c r="I9" s="2860"/>
      <c r="J9" s="2633"/>
      <c r="K9" s="2810"/>
      <c r="L9" s="2807"/>
      <c r="M9" s="2807"/>
      <c r="N9" s="2633"/>
      <c r="O9" s="2644"/>
      <c r="P9" s="2633"/>
      <c r="Q9" s="2633"/>
      <c r="R9" s="2633"/>
    </row>
    <row r="10" spans="1:28" ht="13.8" thickTop="1">
      <c r="A10" s="2589" t="s">
        <v>2863</v>
      </c>
      <c r="B10" s="2590" t="s">
        <v>3159</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3160</v>
      </c>
      <c r="C11" s="2595"/>
      <c r="D11" s="2596"/>
      <c r="E11" s="2562"/>
      <c r="F11" s="2562"/>
      <c r="G11" s="2562"/>
      <c r="H11" s="2562"/>
      <c r="I11" s="2562"/>
      <c r="J11" s="2633"/>
      <c r="K11" s="2810"/>
      <c r="L11" s="2807"/>
      <c r="M11" s="2807"/>
      <c r="N11" s="2633"/>
      <c r="O11" s="2644"/>
      <c r="P11" s="2633"/>
      <c r="Q11" s="2633"/>
      <c r="R11" s="2633"/>
    </row>
    <row r="12" spans="1:28">
      <c r="A12" s="2597" t="s">
        <v>2866</v>
      </c>
      <c r="B12" s="2594" t="s">
        <v>3161</v>
      </c>
      <c r="C12" s="328"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c r="E13" s="964"/>
      <c r="F13" s="964"/>
      <c r="G13" s="964"/>
      <c r="H13" s="964"/>
      <c r="I13" s="964">
        <f>Sheet1!E2</f>
        <v>54887</v>
      </c>
      <c r="J13" s="2633"/>
      <c r="K13" s="2810"/>
      <c r="L13" s="2807"/>
      <c r="M13" s="2807"/>
      <c r="N13" s="2633"/>
      <c r="O13" s="2644"/>
      <c r="P13" s="2633"/>
      <c r="Q13" s="2633"/>
      <c r="R13" s="2633"/>
    </row>
    <row r="14" spans="1:28">
      <c r="A14" s="1212"/>
      <c r="B14" s="2599"/>
      <c r="C14" s="2600" t="s">
        <v>2875</v>
      </c>
      <c r="D14" s="2601"/>
      <c r="E14" s="2601"/>
      <c r="F14" s="2601"/>
      <c r="G14" s="2601"/>
      <c r="H14" s="2601"/>
      <c r="I14" s="2601">
        <v>50</v>
      </c>
      <c r="J14" s="2633"/>
      <c r="K14" s="2811"/>
      <c r="L14" s="2807"/>
      <c r="M14" s="2807"/>
      <c r="N14" s="2633"/>
      <c r="O14" s="2644"/>
      <c r="P14" s="2633"/>
      <c r="Q14" s="2633"/>
      <c r="R14" s="2633"/>
    </row>
    <row r="15" spans="1:28">
      <c r="A15" s="325"/>
      <c r="B15" s="2602"/>
      <c r="C15" s="2603" t="s">
        <v>2876</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28.27</v>
      </c>
      <c r="J15" s="2633"/>
      <c r="K15" s="2812"/>
      <c r="L15" s="2645"/>
      <c r="M15" s="2645"/>
      <c r="N15" s="2703"/>
      <c r="O15" s="2645"/>
      <c r="P15" s="2703"/>
      <c r="Q15" s="2633"/>
      <c r="R15" s="2633"/>
    </row>
    <row r="16" spans="1:28">
      <c r="A16" s="2592" t="s">
        <v>2877</v>
      </c>
      <c r="B16" s="3315"/>
      <c r="C16" s="3316"/>
      <c r="D16" s="3317"/>
      <c r="E16" s="2607" t="s">
        <v>2878</v>
      </c>
      <c r="F16" s="3318"/>
      <c r="G16" s="3319"/>
      <c r="H16" s="3319"/>
      <c r="I16" s="3320"/>
      <c r="J16" s="2633"/>
      <c r="K16" s="2812"/>
      <c r="L16" s="2645"/>
      <c r="M16" s="2645"/>
      <c r="N16" s="2703"/>
      <c r="O16" s="2645"/>
      <c r="P16" s="2703"/>
      <c r="Q16" s="2633"/>
      <c r="R16" s="2633"/>
    </row>
    <row r="17" spans="1:28">
      <c r="A17" s="318" t="s">
        <v>2879</v>
      </c>
      <c r="B17" s="307" t="s">
        <v>2880</v>
      </c>
      <c r="C17" s="11">
        <f>'数据-汇总表'!E3</f>
        <v>24880.78</v>
      </c>
      <c r="D17" s="2513" t="s">
        <v>2881</v>
      </c>
      <c r="E17" s="3321" t="s">
        <v>2882</v>
      </c>
      <c r="F17" s="3322"/>
      <c r="G17" s="3322"/>
      <c r="H17" s="3322"/>
      <c r="I17" s="3323"/>
      <c r="J17" s="2633"/>
      <c r="K17" s="2813"/>
      <c r="L17" s="2645"/>
      <c r="M17" s="2645"/>
      <c r="N17" s="2703"/>
      <c r="O17" s="2645"/>
      <c r="P17" s="2703"/>
      <c r="Q17" s="2633"/>
      <c r="R17" s="2633"/>
      <c r="S17" s="2633"/>
      <c r="T17" s="2633"/>
      <c r="U17" s="2633"/>
      <c r="V17" s="2633"/>
    </row>
    <row r="18" spans="1:28" ht="24.6" thickBot="1">
      <c r="A18" s="2608" t="s">
        <v>2883</v>
      </c>
      <c r="B18" s="1221" t="s">
        <v>2884</v>
      </c>
      <c r="C18" s="2609">
        <f>'数据-汇总表'!D3</f>
        <v>31250</v>
      </c>
      <c r="D18" s="1223" t="s">
        <v>2885</v>
      </c>
      <c r="E18" s="3324" t="s">
        <v>2886</v>
      </c>
      <c r="F18" s="3325"/>
      <c r="G18" s="3325"/>
      <c r="H18" s="3325"/>
      <c r="I18" s="3326"/>
      <c r="J18" s="2633"/>
      <c r="K18" s="2813"/>
      <c r="L18" s="2645"/>
      <c r="M18" s="2645"/>
      <c r="N18" s="2703"/>
      <c r="O18" s="2645"/>
      <c r="P18" s="2703"/>
      <c r="Q18" s="2633"/>
      <c r="R18" s="2633"/>
      <c r="S18" s="2633"/>
      <c r="T18" s="2633"/>
      <c r="U18" s="2633"/>
      <c r="V18" s="2633"/>
    </row>
    <row r="19" spans="1:28" ht="37.200000000000003" thickTop="1" thickBot="1">
      <c r="A19" s="332" t="s">
        <v>1681</v>
      </c>
      <c r="B19" s="312" t="s">
        <v>2887</v>
      </c>
      <c r="C19" s="1716"/>
      <c r="D19" s="1717" t="s">
        <v>2888</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2889</v>
      </c>
      <c r="B20" s="3311" t="s">
        <v>2890</v>
      </c>
      <c r="C20" s="3312"/>
      <c r="D20" s="3313" t="s">
        <v>2891</v>
      </c>
      <c r="E20" s="3314"/>
      <c r="F20" s="2842" t="s">
        <v>1682</v>
      </c>
      <c r="G20" s="2859"/>
      <c r="H20" s="2859"/>
      <c r="I20" s="2859"/>
      <c r="J20" s="2633"/>
      <c r="K20" s="3310"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36.6" thickBot="1">
      <c r="A21" s="2827"/>
      <c r="B21" s="2828" t="s">
        <v>2893</v>
      </c>
      <c r="C21" s="2829" t="s">
        <v>1683</v>
      </c>
      <c r="D21" s="1721" t="s">
        <v>2894</v>
      </c>
      <c r="E21" s="2830" t="s">
        <v>1683</v>
      </c>
      <c r="F21" s="2843"/>
      <c r="G21" s="2859"/>
      <c r="H21" s="2859"/>
      <c r="I21" s="2859"/>
      <c r="J21" s="2633"/>
      <c r="K21" s="331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36.6" thickBot="1">
      <c r="A22" s="2827"/>
      <c r="B22" s="2831" t="s">
        <v>2895</v>
      </c>
      <c r="C22" s="2829" t="s">
        <v>1684</v>
      </c>
      <c r="D22" s="2858"/>
      <c r="E22" s="2858"/>
      <c r="F22" s="2858"/>
      <c r="G22" s="2859"/>
      <c r="H22" s="2859"/>
      <c r="I22" s="2859"/>
      <c r="J22" s="2633"/>
      <c r="K22" s="331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8"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8" thickTop="1">
      <c r="A27" s="3328" t="s">
        <v>2898</v>
      </c>
      <c r="B27" s="325"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28"/>
      <c r="B28" s="307"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28"/>
      <c r="B29" s="307"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29"/>
      <c r="B30" s="307" t="s">
        <v>2902</v>
      </c>
      <c r="C30" s="3330"/>
      <c r="D30" s="3331"/>
      <c r="E30" s="2859"/>
      <c r="F30" s="2859"/>
      <c r="G30" s="2859"/>
      <c r="H30" s="2859"/>
      <c r="I30" s="2859"/>
      <c r="J30" s="2633"/>
      <c r="K30" s="2810"/>
      <c r="L30" s="2807"/>
      <c r="M30" s="2807"/>
      <c r="N30" s="2633"/>
      <c r="O30" s="2644"/>
      <c r="P30" s="2633"/>
      <c r="Q30" s="2633"/>
      <c r="R30" s="2633"/>
      <c r="S30" s="2633"/>
      <c r="T30" s="2633"/>
      <c r="U30" s="2633"/>
      <c r="V30" s="2633"/>
    </row>
    <row r="31" spans="1:28">
      <c r="A31" s="3332" t="s">
        <v>2903</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33"/>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33"/>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2904</v>
      </c>
      <c r="B34" s="2182"/>
      <c r="C34" s="2182"/>
      <c r="D34" s="2182"/>
      <c r="E34" s="2182"/>
      <c r="F34" s="2182"/>
      <c r="G34" s="2182"/>
      <c r="H34" s="2182"/>
      <c r="I34" s="2859"/>
      <c r="J34" s="2633"/>
      <c r="K34" s="2621">
        <f>COUNTIF(B34:H34,"——")</f>
        <v>0</v>
      </c>
      <c r="L34" s="328" t="s">
        <v>2905</v>
      </c>
      <c r="M34" s="328" t="s">
        <v>2906</v>
      </c>
      <c r="N34" s="328" t="s">
        <v>2907</v>
      </c>
      <c r="O34" s="328" t="s">
        <v>2908</v>
      </c>
      <c r="P34" s="328" t="s">
        <v>2909</v>
      </c>
      <c r="Q34" s="328" t="s">
        <v>2910</v>
      </c>
      <c r="R34" s="328" t="s">
        <v>2911</v>
      </c>
      <c r="S34" s="3327" t="s">
        <v>2912</v>
      </c>
      <c r="T34" s="2622" t="str">
        <f>NUMBERSTRING(7-K34,1)&amp;"通"</f>
        <v>七通</v>
      </c>
      <c r="U34" s="2633"/>
      <c r="V34" s="2633"/>
    </row>
    <row r="35" spans="1:30">
      <c r="A35" s="2623"/>
      <c r="B35" s="3334" t="s">
        <v>2913</v>
      </c>
      <c r="C35" s="3334"/>
      <c r="D35" s="3334"/>
      <c r="E35" s="3334"/>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7"/>
      <c r="T35" s="334" t="str">
        <f>IF(T34="一通",L35,IF(T34="二通",M35,IF(T34="三通",N35,IF(T34="四通",O35,IF(T34="五通",P35,IF(T34="六通",Q35,R35))))))</f>
        <v>、、、、、、</v>
      </c>
      <c r="U35" s="2633"/>
      <c r="V35" s="2633"/>
    </row>
    <row r="36" spans="1:30">
      <c r="A36" s="2624"/>
      <c r="B36" s="672" t="s">
        <v>2869</v>
      </c>
      <c r="C36" s="672" t="s">
        <v>2870</v>
      </c>
      <c r="D36" s="672" t="s">
        <v>2868</v>
      </c>
      <c r="E36" s="672"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c r="C37" s="2625"/>
      <c r="D37" s="2625"/>
      <c r="E37" s="2625" t="s">
        <v>534</v>
      </c>
      <c r="F37" s="2865"/>
      <c r="G37" s="2859"/>
      <c r="H37" s="2859"/>
      <c r="I37" s="2859"/>
      <c r="J37" s="2633"/>
      <c r="K37" s="2810"/>
      <c r="L37" s="2807"/>
      <c r="M37" s="2807"/>
      <c r="N37" s="2633"/>
      <c r="O37" s="2644"/>
      <c r="P37" s="2633"/>
      <c r="Q37" s="2633"/>
      <c r="R37" s="2633"/>
      <c r="S37" s="2633"/>
      <c r="T37" s="2633"/>
      <c r="U37" s="2633"/>
      <c r="V37" s="2633"/>
    </row>
    <row r="38" spans="1:30" ht="13.8" thickBot="1">
      <c r="A38" s="2826" t="s">
        <v>2915</v>
      </c>
      <c r="B38" s="2626"/>
      <c r="C38" s="2626"/>
      <c r="D38" s="2626"/>
      <c r="E38" s="2626" t="s">
        <v>3438</v>
      </c>
      <c r="F38" s="2866"/>
      <c r="G38" s="2860"/>
      <c r="H38" s="2860"/>
      <c r="I38" s="2860"/>
      <c r="J38" s="2633"/>
      <c r="K38" s="2810"/>
      <c r="L38" s="2807"/>
      <c r="M38" s="2807"/>
      <c r="N38" s="2633"/>
      <c r="O38" s="2644"/>
      <c r="P38" s="2633"/>
      <c r="Q38" s="2633"/>
      <c r="R38" s="2633"/>
      <c r="S38" s="2633"/>
      <c r="T38" s="2633"/>
      <c r="U38" s="2633"/>
      <c r="V38" s="2633"/>
    </row>
    <row r="39" spans="1:30" s="2629" customFormat="1" ht="14.4"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2917</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2">
      <c r="A42" s="328"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7" customFormat="1">
      <c r="A43" s="1723"/>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3"/>
      <c r="B44" s="1723"/>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3"/>
      <c r="B45" s="1723"/>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3"/>
      <c r="B46" s="1723"/>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3"/>
      <c r="B47" s="1723"/>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3"/>
      <c r="B48" s="1723"/>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3"/>
      <c r="B49" s="1723"/>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3"/>
      <c r="B50" s="1723"/>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3"/>
      <c r="B51" s="1723"/>
      <c r="C51" s="1181"/>
      <c r="D51" s="1181"/>
      <c r="E51" s="1181"/>
      <c r="F51" s="1181"/>
      <c r="G51" s="1181"/>
      <c r="H51" s="1181"/>
      <c r="I51" s="1181"/>
      <c r="J51" s="2631"/>
      <c r="K51" s="2632"/>
      <c r="L51" s="2632"/>
      <c r="M51" s="1181"/>
      <c r="N51" s="1181"/>
      <c r="O51" s="1181"/>
      <c r="P51" s="1181"/>
      <c r="Q51" s="1181"/>
      <c r="R51" s="1181"/>
    </row>
    <row r="52" spans="1:22" s="1897" customFormat="1">
      <c r="A52" s="1723"/>
      <c r="B52" s="1723"/>
      <c r="C52" s="1723"/>
      <c r="D52" s="1723"/>
      <c r="E52" s="1723"/>
      <c r="F52" s="1181"/>
      <c r="G52" s="1723"/>
      <c r="H52" s="1723"/>
      <c r="I52" s="1723"/>
      <c r="J52" s="2634"/>
      <c r="K52" s="2632"/>
      <c r="L52" s="2632"/>
      <c r="M52" s="2632"/>
      <c r="N52" s="1723"/>
      <c r="O52" s="1723"/>
      <c r="P52" s="1723"/>
      <c r="Q52" s="1723"/>
      <c r="R52" s="1723"/>
    </row>
    <row r="53" spans="1:22" s="1897" customFormat="1">
      <c r="A53" s="1723"/>
      <c r="B53" s="1723"/>
      <c r="C53" s="1723"/>
      <c r="D53" s="1723"/>
      <c r="E53" s="1723"/>
      <c r="F53" s="1181"/>
      <c r="G53" s="1723"/>
      <c r="H53" s="1723"/>
      <c r="I53" s="1723"/>
      <c r="J53" s="2634"/>
      <c r="K53" s="2632"/>
      <c r="L53" s="2632"/>
      <c r="M53" s="2632"/>
      <c r="N53" s="1723"/>
      <c r="O53" s="1723"/>
      <c r="P53" s="1723"/>
      <c r="Q53" s="1723"/>
      <c r="R53" s="1723"/>
    </row>
    <row r="54" spans="1:22" s="1897" customFormat="1">
      <c r="A54" s="1723"/>
      <c r="B54" s="1723"/>
      <c r="C54" s="1723"/>
      <c r="D54" s="1723"/>
      <c r="E54" s="1723"/>
      <c r="F54" s="1181"/>
      <c r="G54" s="1723"/>
      <c r="H54" s="1723"/>
      <c r="I54" s="1723"/>
      <c r="J54" s="2634"/>
      <c r="K54" s="2632"/>
      <c r="L54" s="2632"/>
      <c r="M54" s="2632"/>
      <c r="N54" s="1723"/>
      <c r="O54" s="1723"/>
      <c r="P54" s="1723"/>
      <c r="Q54" s="1723"/>
      <c r="R54" s="1723"/>
    </row>
    <row r="55" spans="1:22" s="1897" customFormat="1">
      <c r="A55" s="1723"/>
      <c r="B55" s="1723"/>
      <c r="C55" s="1723"/>
      <c r="D55" s="1723"/>
      <c r="E55" s="1723"/>
      <c r="F55" s="1181"/>
      <c r="G55" s="1723"/>
      <c r="H55" s="1723"/>
      <c r="I55" s="1723"/>
      <c r="J55" s="2634"/>
      <c r="K55" s="2632"/>
      <c r="L55" s="2632"/>
      <c r="M55" s="2632"/>
      <c r="N55" s="1723"/>
      <c r="O55" s="1723"/>
      <c r="P55" s="1723"/>
      <c r="Q55" s="1723"/>
      <c r="R55" s="1723"/>
    </row>
    <row r="56" spans="1:22" s="1897" customFormat="1">
      <c r="A56" s="1723"/>
      <c r="B56" s="1723"/>
      <c r="C56" s="1723"/>
      <c r="D56" s="1723"/>
      <c r="E56" s="1723"/>
      <c r="F56" s="1181"/>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6" sqref="I6"/>
    </sheetView>
  </sheetViews>
  <sheetFormatPr defaultColWidth="8.88671875" defaultRowHeight="13.8"/>
  <cols>
    <col min="1" max="1" width="10.6640625" style="1726" customWidth="1"/>
    <col min="2" max="2" width="11" style="1726" customWidth="1"/>
    <col min="3" max="3" width="10.33203125" style="1726" customWidth="1"/>
    <col min="4" max="4" width="9.109375" style="1726" customWidth="1"/>
    <col min="5" max="6" width="10" style="1787" customWidth="1"/>
    <col min="7" max="8" width="10" style="1726" customWidth="1"/>
    <col min="9" max="9" width="10.6640625" style="1726" customWidth="1"/>
    <col min="10" max="10" width="9.44140625" style="1726" customWidth="1"/>
    <col min="11" max="11" width="11" style="1726" customWidth="1"/>
    <col min="12" max="14" width="9.44140625" style="1726" customWidth="1"/>
    <col min="15" max="15" width="9.88671875" style="1726" customWidth="1"/>
    <col min="16" max="16" width="9.77734375" style="1726" customWidth="1"/>
    <col min="17" max="17" width="9.33203125" style="1726" customWidth="1"/>
    <col min="18" max="18" width="9.21875" style="1726" customWidth="1"/>
    <col min="19" max="19" width="10.88671875" style="1726" customWidth="1"/>
    <col min="20" max="21" width="10.77734375" style="1726" customWidth="1"/>
    <col min="22" max="22" width="10.88671875" style="1726" customWidth="1"/>
    <col min="23" max="27" width="10.77734375" style="1726" customWidth="1"/>
    <col min="28" max="28" width="10.88671875" style="1726" customWidth="1"/>
    <col min="29" max="29" width="11" style="1726" bestFit="1" customWidth="1"/>
    <col min="30" max="30" width="10" style="1726" bestFit="1" customWidth="1"/>
    <col min="31" max="31" width="9.77734375" style="1726" customWidth="1"/>
    <col min="32" max="46" width="9.44140625" style="1726" customWidth="1"/>
    <col min="47" max="47" width="18.109375" style="1726" customWidth="1"/>
    <col min="48" max="50" width="9.77734375" style="1726" customWidth="1"/>
    <col min="51" max="55" width="10.44140625" style="1726" bestFit="1" customWidth="1"/>
    <col min="56" max="56" width="9.44140625" style="1726" bestFit="1" customWidth="1"/>
    <col min="57" max="63" width="9.109375" style="1726" bestFit="1" customWidth="1"/>
    <col min="64" max="64" width="9.44140625" style="1726" bestFit="1" customWidth="1"/>
    <col min="65" max="65" width="9.109375" style="1726" bestFit="1" customWidth="1"/>
    <col min="66" max="66" width="9.44140625" style="1726" bestFit="1" customWidth="1"/>
    <col min="67" max="69" width="9.109375" style="1726" bestFit="1" customWidth="1"/>
    <col min="70" max="70" width="9.44140625" style="1726" bestFit="1" customWidth="1"/>
    <col min="71" max="71" width="9" style="1726" customWidth="1"/>
    <col min="72" max="72" width="9.109375" style="1726" bestFit="1" customWidth="1"/>
    <col min="73" max="16384" width="8.88671875" style="1726"/>
  </cols>
  <sheetData>
    <row r="1" spans="1:72" ht="21">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3.2">
      <c r="A3" s="3255">
        <v>31250</v>
      </c>
      <c r="B3" s="13">
        <f>IF(C3="否",G5-AT5,G5)</f>
        <v>24880.78</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3.2">
      <c r="A5" s="14" t="s">
        <v>1697</v>
      </c>
      <c r="B5" s="1499"/>
      <c r="C5" s="1499"/>
      <c r="D5" s="1501"/>
      <c r="E5" s="15" t="s">
        <v>1</v>
      </c>
      <c r="F5" s="15">
        <f>SUM(F13:F587)</f>
        <v>0</v>
      </c>
      <c r="G5" s="15">
        <f>SUM(G13:G587)</f>
        <v>24880.78</v>
      </c>
      <c r="H5" s="15">
        <f t="shared" ref="H5:AT5" si="0">SUM(H13:H656)</f>
        <v>24880.78</v>
      </c>
      <c r="I5" s="15">
        <f t="shared" si="0"/>
        <v>23078</v>
      </c>
      <c r="J5" s="15">
        <f t="shared" si="0"/>
        <v>0</v>
      </c>
      <c r="K5" s="15">
        <f t="shared" si="0"/>
        <v>1802.78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8"/>
      <c r="AV5" s="14" t="s">
        <v>1697</v>
      </c>
      <c r="AW5" s="1499"/>
      <c r="AX5" s="1499"/>
      <c r="AY5" s="16" t="s">
        <v>3</v>
      </c>
      <c r="AZ5" s="17">
        <f t="shared" ref="AZ5:BT5" si="1">SUM(AZ13:AZ656)</f>
        <v>24880.78</v>
      </c>
      <c r="BA5" s="17">
        <f t="shared" si="1"/>
        <v>24880.78</v>
      </c>
      <c r="BB5" s="17">
        <f t="shared" si="1"/>
        <v>23078</v>
      </c>
      <c r="BC5" s="17">
        <f t="shared" si="1"/>
        <v>1802.78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2" customFormat="1" ht="13.2">
      <c r="A6" s="14" t="s">
        <v>1698</v>
      </c>
      <c r="B6" s="1739"/>
      <c r="C6" s="1739"/>
      <c r="D6" s="1740"/>
      <c r="E6" s="15">
        <f>H6+AC6+AT6</f>
        <v>31250</v>
      </c>
      <c r="F6" s="15" t="s">
        <v>1</v>
      </c>
      <c r="G6" s="15" t="s">
        <v>2</v>
      </c>
      <c r="H6" s="19">
        <f>SUMIF(I$12:AB$12,"总值",I6:AB6)</f>
        <v>31250</v>
      </c>
      <c r="I6" s="15">
        <f t="shared" ref="I6:AB6" si="2">ROUND($A$3*I5/$B$3,2)</f>
        <v>28985.73</v>
      </c>
      <c r="J6" s="15">
        <f t="shared" si="2"/>
        <v>0</v>
      </c>
      <c r="K6" s="15">
        <f t="shared" si="2"/>
        <v>2264.27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1"/>
      <c r="AV6" s="14" t="s">
        <v>1698</v>
      </c>
      <c r="AW6" s="1739"/>
      <c r="AX6" s="1739"/>
      <c r="AY6" s="20">
        <f>IF(AY3&gt;0,AY3,ROUND($A$3*AZ5/$B$3,2))</f>
        <v>31250</v>
      </c>
      <c r="AZ6" s="15" t="s">
        <v>3</v>
      </c>
      <c r="BA6" s="15">
        <f>ROUND($AY$6*BA5/$AZ$5,2)</f>
        <v>31250</v>
      </c>
      <c r="BB6" s="15">
        <f>ROUND($AY$6*BB5/$AZ$5,2)</f>
        <v>28985.73</v>
      </c>
      <c r="BC6" s="15">
        <f t="shared" ref="BC6:BH6" si="4">ROUND($AY$6*BC5/$AZ$5,2)</f>
        <v>2264.27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2" customFormat="1" ht="25.2">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2" t="s">
        <v>1707</v>
      </c>
      <c r="AW7" s="1731" t="s">
        <v>1708</v>
      </c>
      <c r="AX7" s="22"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5"/>
    </row>
    <row r="9" spans="1:72" s="1754" customFormat="1" ht="13.2">
      <c r="A9" s="1747"/>
      <c r="B9" s="1747"/>
      <c r="C9" s="1747"/>
      <c r="D9" s="1747"/>
      <c r="E9" s="1747"/>
      <c r="F9" s="1747"/>
      <c r="G9" s="1201"/>
      <c r="H9" s="1755" t="s">
        <v>1717</v>
      </c>
      <c r="I9" s="1756" t="s">
        <v>3163</v>
      </c>
      <c r="J9" s="917"/>
      <c r="K9" s="1756" t="s">
        <v>3164</v>
      </c>
      <c r="L9" s="917"/>
      <c r="M9" s="1756" t="s">
        <v>3163</v>
      </c>
      <c r="N9" s="917"/>
      <c r="O9" s="1756"/>
      <c r="P9" s="917"/>
      <c r="Q9" s="1756"/>
      <c r="R9" s="917"/>
      <c r="S9" s="1756"/>
      <c r="T9" s="917"/>
      <c r="U9" s="1756"/>
      <c r="V9" s="917"/>
      <c r="W9" s="1756"/>
      <c r="X9" s="1757"/>
      <c r="Y9" s="1756"/>
      <c r="Z9" s="917"/>
      <c r="AA9" s="1756"/>
      <c r="AB9" s="917"/>
      <c r="AC9" s="1748"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8"/>
      <c r="AT9" s="1747"/>
      <c r="AU9" s="1747" t="s">
        <v>1720</v>
      </c>
      <c r="AV9" s="1201"/>
      <c r="AW9" s="1730"/>
      <c r="AX9" s="1201"/>
      <c r="AY9" s="27"/>
      <c r="AZ9" s="27" t="s">
        <v>1710</v>
      </c>
      <c r="BA9" s="1759" t="s">
        <v>1721</v>
      </c>
      <c r="BB9" s="1760"/>
      <c r="BC9" s="1219"/>
      <c r="BD9" s="1219"/>
      <c r="BE9" s="1219"/>
      <c r="BF9" s="1219"/>
      <c r="BG9" s="1219"/>
      <c r="BH9" s="1219"/>
      <c r="BI9" s="1219"/>
      <c r="BJ9" s="1219"/>
      <c r="BK9" s="1761"/>
      <c r="BL9" s="14" t="s">
        <v>1722</v>
      </c>
      <c r="BM9" s="1512"/>
      <c r="BN9" s="1750"/>
      <c r="BO9" s="1512"/>
      <c r="BP9" s="1512"/>
      <c r="BQ9" s="1512"/>
      <c r="BR9" s="1512"/>
      <c r="BS9" s="1512"/>
      <c r="BT9" s="25"/>
    </row>
    <row r="10" spans="1:72" s="1754" customFormat="1" ht="13.2">
      <c r="A10" s="1747"/>
      <c r="B10" s="1747"/>
      <c r="C10" s="1747"/>
      <c r="D10" s="1747"/>
      <c r="E10" s="1747"/>
      <c r="F10" s="1747"/>
      <c r="G10" s="1201"/>
      <c r="H10" s="27"/>
      <c r="I10" s="1756" t="s">
        <v>6</v>
      </c>
      <c r="J10" s="917"/>
      <c r="K10" s="1762" t="s">
        <v>3437</v>
      </c>
      <c r="L10" s="917"/>
      <c r="M10" s="1762" t="s">
        <v>6</v>
      </c>
      <c r="N10" s="917"/>
      <c r="O10" s="1762"/>
      <c r="P10" s="917"/>
      <c r="Q10" s="1762"/>
      <c r="R10" s="917"/>
      <c r="S10" s="1762"/>
      <c r="T10" s="917"/>
      <c r="U10" s="1762"/>
      <c r="V10" s="917"/>
      <c r="W10" s="1762"/>
      <c r="X10" s="917"/>
      <c r="Y10" s="1762"/>
      <c r="Z10" s="917"/>
      <c r="AA10" s="1762"/>
      <c r="AB10" s="917"/>
      <c r="AC10" s="1201"/>
      <c r="AD10" s="14" t="s">
        <v>1723</v>
      </c>
      <c r="AE10" s="1763"/>
      <c r="AF10" s="14" t="s">
        <v>1723</v>
      </c>
      <c r="AG10" s="1763"/>
      <c r="AH10" s="14" t="s">
        <v>1724</v>
      </c>
      <c r="AI10" s="1763"/>
      <c r="AJ10" s="14" t="s">
        <v>1724</v>
      </c>
      <c r="AK10" s="1763"/>
      <c r="AL10" s="14" t="s">
        <v>1725</v>
      </c>
      <c r="AM10" s="1207"/>
      <c r="AN10" s="14" t="s">
        <v>1725</v>
      </c>
      <c r="AO10" s="1207"/>
      <c r="AP10" s="14" t="s">
        <v>1726</v>
      </c>
      <c r="AQ10" s="1207"/>
      <c r="AR10" s="14" t="s">
        <v>1726</v>
      </c>
      <c r="AS10" s="1207"/>
      <c r="AT10" s="1747"/>
      <c r="AU10" s="1747"/>
      <c r="AV10" s="1201"/>
      <c r="AW10" s="1730"/>
      <c r="AX10" s="1201"/>
      <c r="AY10" s="27"/>
      <c r="AZ10" s="27"/>
      <c r="BA10" s="1764" t="s">
        <v>1717</v>
      </c>
      <c r="BB10" s="1765" t="str">
        <f>I9</f>
        <v>地上</v>
      </c>
      <c r="BC10" s="28" t="str">
        <f>K9</f>
        <v>地下</v>
      </c>
      <c r="BD10" s="28" t="str">
        <f>M9</f>
        <v>地上</v>
      </c>
      <c r="BE10" s="28">
        <f>O9</f>
        <v>0</v>
      </c>
      <c r="BF10" s="28">
        <f>Q9</f>
        <v>0</v>
      </c>
      <c r="BG10" s="28">
        <f>S9</f>
        <v>0</v>
      </c>
      <c r="BH10" s="28">
        <f>U9</f>
        <v>0</v>
      </c>
      <c r="BI10" s="28">
        <f>W9</f>
        <v>0</v>
      </c>
      <c r="BJ10" s="28">
        <f>Y9</f>
        <v>0</v>
      </c>
      <c r="BK10" s="28">
        <f>AA9</f>
        <v>0</v>
      </c>
      <c r="BL10" s="24" t="s">
        <v>1717</v>
      </c>
      <c r="BM10" s="1511" t="str">
        <f>AD9</f>
        <v>地上</v>
      </c>
      <c r="BN10" s="28" t="str">
        <f>AF9</f>
        <v>地下</v>
      </c>
      <c r="BO10" s="1511" t="str">
        <f>AH9</f>
        <v>地上</v>
      </c>
      <c r="BP10" s="28" t="str">
        <f>AJ9</f>
        <v>地下</v>
      </c>
      <c r="BQ10" s="1511" t="str">
        <f>AL9</f>
        <v>地上</v>
      </c>
      <c r="BR10" s="28" t="str">
        <f>AN9</f>
        <v>地下</v>
      </c>
      <c r="BS10" s="1511" t="str">
        <f>AP9</f>
        <v>地上</v>
      </c>
      <c r="BT10" s="1766" t="str">
        <f>AR9</f>
        <v>地下</v>
      </c>
    </row>
    <row r="11" spans="1:72" s="1754" customFormat="1" ht="13.2">
      <c r="A11" s="1747"/>
      <c r="B11" s="1747"/>
      <c r="C11" s="1747"/>
      <c r="D11" s="1747"/>
      <c r="E11" s="1747"/>
      <c r="F11" s="1747"/>
      <c r="G11" s="1201"/>
      <c r="H11" s="1764"/>
      <c r="I11" s="1767"/>
      <c r="J11" s="1768"/>
      <c r="K11" s="1767" t="s">
        <v>3436</v>
      </c>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7"/>
      <c r="AZ11" s="27"/>
      <c r="BA11" s="27"/>
      <c r="BB11" s="1752" t="str">
        <f>I10</f>
        <v>工业</v>
      </c>
      <c r="BC11" s="1752" t="str">
        <f>K10</f>
        <v>仓储</v>
      </c>
      <c r="BD11" s="1752" t="str">
        <f>M10</f>
        <v>工业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3" t="str">
        <f>AH10</f>
        <v>物业管理用房</v>
      </c>
      <c r="BP11" s="23" t="str">
        <f>AJ10</f>
        <v>物业管理用房</v>
      </c>
      <c r="BQ11" s="23" t="str">
        <f>AL10</f>
        <v>设备及其他</v>
      </c>
      <c r="BR11" s="23" t="str">
        <f>AN10</f>
        <v>设备及其他</v>
      </c>
      <c r="BS11" s="24" t="str">
        <f>AP10</f>
        <v>未注明</v>
      </c>
      <c r="BT11" s="1771" t="str">
        <f>AR10</f>
        <v>未注明</v>
      </c>
    </row>
    <row r="12" spans="1:72" s="1732" customFormat="1" ht="13.2">
      <c r="A12" s="1772"/>
      <c r="B12" s="1772"/>
      <c r="C12" s="1772"/>
      <c r="D12" s="1772"/>
      <c r="E12" s="1772"/>
      <c r="F12" s="1772"/>
      <c r="G12" s="29"/>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2" t="s">
        <v>1730</v>
      </c>
      <c r="AT12" s="1775"/>
      <c r="AU12" s="1772"/>
      <c r="AV12" s="30"/>
      <c r="AW12" s="1731"/>
      <c r="AX12" s="30"/>
      <c r="AY12" s="1776"/>
      <c r="AZ12" s="27"/>
      <c r="BA12" s="1764"/>
      <c r="BB12" s="23">
        <f>I11</f>
        <v>0</v>
      </c>
      <c r="BC12" s="1777" t="str">
        <f>K11</f>
        <v>戊类库房</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3" t="str">
        <f>AH11</f>
        <v>（住宅、计出让金）</v>
      </c>
      <c r="BP12" s="23" t="str">
        <f>AJ11</f>
        <v>（住宅、计出让金）</v>
      </c>
      <c r="BQ12" s="23">
        <f>AL11</f>
        <v>0</v>
      </c>
      <c r="BR12" s="23">
        <f>AN11</f>
        <v>0</v>
      </c>
      <c r="BS12" s="24">
        <f>AP11</f>
        <v>0</v>
      </c>
      <c r="BT12" s="1771">
        <f>AR11</f>
        <v>0</v>
      </c>
    </row>
    <row r="13" spans="1:72" s="1732" customFormat="1" ht="13.2">
      <c r="A13" s="1181"/>
      <c r="B13" s="1181"/>
      <c r="C13" s="1181"/>
      <c r="D13" s="1778" t="s">
        <v>3162</v>
      </c>
      <c r="E13" s="15">
        <f>IF($C$3="是",ROUND($A$3*G13/$B$3,2),ROUND($A$3*(G13-AT13)/$B$3,2))</f>
        <v>31250</v>
      </c>
      <c r="F13" s="31"/>
      <c r="G13" s="32">
        <f>H13+AC13+AT13</f>
        <v>24880.78</v>
      </c>
      <c r="H13" s="19">
        <f>SUMIF(I$12:AB$12,"总值",I13:AB13)</f>
        <v>24880.78</v>
      </c>
      <c r="I13" s="1779">
        <f>Sheet1!H13+Sheet1!H14+Sheet1!H15+Sheet1!H16+Sheet1!H17+Sheet1!H19+Sheet1!H21+Sheet1!H22</f>
        <v>23078</v>
      </c>
      <c r="J13" s="1779"/>
      <c r="K13" s="1779">
        <f>Sheet1!H18+Sheet1!H20</f>
        <v>1802.78</v>
      </c>
      <c r="L13" s="1779"/>
      <c r="M13" s="1779"/>
      <c r="N13" s="1779"/>
      <c r="O13" s="1779"/>
      <c r="P13" s="1779"/>
      <c r="Q13" s="1779"/>
      <c r="R13" s="1779"/>
      <c r="S13" s="1779"/>
      <c r="T13" s="1779"/>
      <c r="U13" s="1779"/>
      <c r="V13" s="1779"/>
      <c r="W13" s="1779"/>
      <c r="X13" s="1779"/>
      <c r="Y13" s="1779"/>
      <c r="Z13" s="1779"/>
      <c r="AA13" s="1779"/>
      <c r="AB13" s="1779"/>
      <c r="AC13" s="15">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31250</v>
      </c>
      <c r="AZ13" s="15">
        <f>BA13+BL13</f>
        <v>24880.78</v>
      </c>
      <c r="BA13" s="15">
        <f>SUM(BB13:BK13)</f>
        <v>24880.78</v>
      </c>
      <c r="BB13" s="15">
        <f>IF($D13="是",I13-J13,0)</f>
        <v>23078</v>
      </c>
      <c r="BC13" s="15">
        <f>IF($D13="是",K13-L13,0)</f>
        <v>1802.78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2" customFormat="1" ht="13.2">
      <c r="A14" s="1181"/>
      <c r="B14" s="1181"/>
      <c r="C14" s="1723"/>
      <c r="D14" s="1778"/>
      <c r="E14" s="15">
        <f>IF($C$3="是",ROUND($A$3*G14/$B$3,2),ROUND($A$3*(G14-AT14)/$B$3,2))</f>
        <v>0</v>
      </c>
      <c r="F14" s="31"/>
      <c r="G14" s="32">
        <f>H14+AC14+AT14</f>
        <v>0</v>
      </c>
      <c r="H14" s="19">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5">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2" customFormat="1" ht="13.2">
      <c r="A15" s="1181"/>
      <c r="B15" s="1181"/>
      <c r="C15" s="1723"/>
      <c r="D15" s="1778"/>
      <c r="E15" s="15">
        <f>IF($C$3="是",ROUND($A$3*G15/$B$3,2),ROUND($A$3*(G15-AT15)/$B$3,2))</f>
        <v>0</v>
      </c>
      <c r="F15" s="31"/>
      <c r="G15" s="32">
        <f>H15+AC15+AT15</f>
        <v>0</v>
      </c>
      <c r="H15" s="19">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5">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2" customFormat="1" ht="13.2">
      <c r="A16" s="1181"/>
      <c r="B16" s="1181"/>
      <c r="C16" s="1723"/>
      <c r="D16" s="1778"/>
      <c r="E16" s="15">
        <f>IF($C$3="是",ROUND($A$3*G16/$B$3,2),ROUND($A$3*(G16-AT16)/$B$3,2))</f>
        <v>0</v>
      </c>
      <c r="F16" s="31"/>
      <c r="G16" s="32">
        <f>H16+AC16+AT16</f>
        <v>0</v>
      </c>
      <c r="H16" s="19">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5">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2" customFormat="1" ht="13.2">
      <c r="A17" s="1181"/>
      <c r="B17" s="1181"/>
      <c r="C17" s="1723"/>
      <c r="D17" s="1778"/>
      <c r="E17" s="15">
        <f>IF($C$3="是",ROUND($A$3*G17/$B$3,2),ROUND($A$3*(G17-AT17)/$B$3,2))</f>
        <v>0</v>
      </c>
      <c r="F17" s="31"/>
      <c r="G17" s="32">
        <f>H17+AC17+AT17</f>
        <v>0</v>
      </c>
      <c r="H17" s="19">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5">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4"/>
      <c r="AV18" s="1495">
        <f t="shared" ref="AV18:AV112" si="11">A18</f>
        <v>0</v>
      </c>
      <c r="AW18" s="1495">
        <f t="shared" ref="AW18:AW112" si="12">B18</f>
        <v>0</v>
      </c>
      <c r="AX18" s="14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4"/>
      <c r="AV19" s="1495">
        <f t="shared" si="11"/>
        <v>0</v>
      </c>
      <c r="AW19" s="1495">
        <f t="shared" si="12"/>
        <v>0</v>
      </c>
      <c r="AX19" s="14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4"/>
      <c r="AV20" s="1495">
        <f t="shared" si="11"/>
        <v>0</v>
      </c>
      <c r="AW20" s="1495">
        <f t="shared" si="12"/>
        <v>0</v>
      </c>
      <c r="AX20" s="14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4"/>
      <c r="AV21" s="1495">
        <f t="shared" si="11"/>
        <v>0</v>
      </c>
      <c r="AW21" s="1495">
        <f t="shared" si="12"/>
        <v>0</v>
      </c>
      <c r="AX21" s="14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4"/>
      <c r="AV22" s="1495">
        <f t="shared" si="11"/>
        <v>0</v>
      </c>
      <c r="AW22" s="1495">
        <f t="shared" si="12"/>
        <v>0</v>
      </c>
      <c r="AX22" s="14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4"/>
      <c r="AV23" s="1495">
        <f t="shared" si="11"/>
        <v>0</v>
      </c>
      <c r="AW23" s="1495">
        <f t="shared" si="12"/>
        <v>0</v>
      </c>
      <c r="AX23" s="14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4"/>
      <c r="AV24" s="1495">
        <f t="shared" si="11"/>
        <v>0</v>
      </c>
      <c r="AW24" s="1495">
        <f t="shared" si="12"/>
        <v>0</v>
      </c>
      <c r="AX24" s="14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4"/>
      <c r="AV25" s="1495">
        <f t="shared" si="11"/>
        <v>0</v>
      </c>
      <c r="AW25" s="1495">
        <f t="shared" si="12"/>
        <v>0</v>
      </c>
      <c r="AX25" s="14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4"/>
      <c r="AV26" s="1495">
        <f t="shared" si="11"/>
        <v>0</v>
      </c>
      <c r="AW26" s="1495">
        <f t="shared" si="12"/>
        <v>0</v>
      </c>
      <c r="AX26" s="14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4"/>
      <c r="AV27" s="1495">
        <f t="shared" si="11"/>
        <v>0</v>
      </c>
      <c r="AW27" s="1495">
        <f t="shared" si="12"/>
        <v>0</v>
      </c>
      <c r="AX27" s="14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4"/>
      <c r="AV28" s="1495">
        <f t="shared" si="11"/>
        <v>0</v>
      </c>
      <c r="AW28" s="1495">
        <f t="shared" si="12"/>
        <v>0</v>
      </c>
      <c r="AX28" s="14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4"/>
      <c r="AV29" s="1495">
        <f t="shared" si="11"/>
        <v>0</v>
      </c>
      <c r="AW29" s="1495">
        <f t="shared" si="12"/>
        <v>0</v>
      </c>
      <c r="AX29" s="14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4"/>
      <c r="AV30" s="1495">
        <f t="shared" si="11"/>
        <v>0</v>
      </c>
      <c r="AW30" s="1495">
        <f t="shared" si="12"/>
        <v>0</v>
      </c>
      <c r="AX30" s="14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4"/>
      <c r="AV31" s="1495">
        <f t="shared" si="11"/>
        <v>0</v>
      </c>
      <c r="AW31" s="1495">
        <f t="shared" si="12"/>
        <v>0</v>
      </c>
      <c r="AX31" s="14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4"/>
      <c r="AV32" s="1495">
        <f t="shared" si="11"/>
        <v>0</v>
      </c>
      <c r="AW32" s="1495">
        <f t="shared" si="12"/>
        <v>0</v>
      </c>
      <c r="AX32" s="14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4"/>
      <c r="AV33" s="1495">
        <f t="shared" si="11"/>
        <v>0</v>
      </c>
      <c r="AW33" s="1495">
        <f t="shared" si="12"/>
        <v>0</v>
      </c>
      <c r="AX33" s="14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4"/>
      <c r="AV34" s="1495">
        <f t="shared" si="11"/>
        <v>0</v>
      </c>
      <c r="AW34" s="1495">
        <f t="shared" si="12"/>
        <v>0</v>
      </c>
      <c r="AX34" s="14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4"/>
      <c r="AV35" s="1495">
        <f t="shared" si="11"/>
        <v>0</v>
      </c>
      <c r="AW35" s="1495">
        <f t="shared" si="12"/>
        <v>0</v>
      </c>
      <c r="AX35" s="14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4"/>
      <c r="AV36" s="1495">
        <f t="shared" si="11"/>
        <v>0</v>
      </c>
      <c r="AW36" s="1495">
        <f t="shared" si="12"/>
        <v>0</v>
      </c>
      <c r="AX36" s="14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4"/>
      <c r="AV37" s="1495">
        <f t="shared" si="11"/>
        <v>0</v>
      </c>
      <c r="AW37" s="1495">
        <f t="shared" si="12"/>
        <v>0</v>
      </c>
      <c r="AX37" s="14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4"/>
      <c r="AV38" s="1495">
        <f t="shared" si="11"/>
        <v>0</v>
      </c>
      <c r="AW38" s="1495">
        <f t="shared" si="12"/>
        <v>0</v>
      </c>
      <c r="AX38" s="14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4"/>
      <c r="AV39" s="1495">
        <f t="shared" si="11"/>
        <v>0</v>
      </c>
      <c r="AW39" s="1495">
        <f t="shared" si="12"/>
        <v>0</v>
      </c>
      <c r="AX39" s="14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4"/>
      <c r="AV40" s="1495">
        <f t="shared" si="11"/>
        <v>0</v>
      </c>
      <c r="AW40" s="1495">
        <f t="shared" si="12"/>
        <v>0</v>
      </c>
      <c r="AX40" s="14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4"/>
      <c r="AV41" s="1495">
        <f t="shared" si="11"/>
        <v>0</v>
      </c>
      <c r="AW41" s="1495">
        <f t="shared" si="12"/>
        <v>0</v>
      </c>
      <c r="AX41" s="14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4"/>
      <c r="AV42" s="1495">
        <f t="shared" si="11"/>
        <v>0</v>
      </c>
      <c r="AW42" s="1495">
        <f t="shared" si="12"/>
        <v>0</v>
      </c>
      <c r="AX42" s="14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4"/>
      <c r="AV43" s="1495">
        <f t="shared" si="11"/>
        <v>0</v>
      </c>
      <c r="AW43" s="1495">
        <f t="shared" si="12"/>
        <v>0</v>
      </c>
      <c r="AX43" s="14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4"/>
      <c r="AV44" s="1495">
        <f t="shared" si="11"/>
        <v>0</v>
      </c>
      <c r="AW44" s="1495">
        <f t="shared" si="12"/>
        <v>0</v>
      </c>
      <c r="AX44" s="14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4"/>
      <c r="AV45" s="1495">
        <f t="shared" si="11"/>
        <v>0</v>
      </c>
      <c r="AW45" s="1495">
        <f t="shared" si="12"/>
        <v>0</v>
      </c>
      <c r="AX45" s="14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4"/>
      <c r="AV46" s="1495">
        <f t="shared" si="11"/>
        <v>0</v>
      </c>
      <c r="AW46" s="1495">
        <f t="shared" si="12"/>
        <v>0</v>
      </c>
      <c r="AX46" s="14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4"/>
      <c r="AV47" s="1495">
        <f t="shared" si="11"/>
        <v>0</v>
      </c>
      <c r="AW47" s="1495">
        <f t="shared" si="12"/>
        <v>0</v>
      </c>
      <c r="AX47" s="14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4"/>
      <c r="AV48" s="1495">
        <f t="shared" si="11"/>
        <v>0</v>
      </c>
      <c r="AW48" s="1495">
        <f t="shared" si="12"/>
        <v>0</v>
      </c>
      <c r="AX48" s="14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4"/>
      <c r="AV49" s="1495">
        <f t="shared" si="11"/>
        <v>0</v>
      </c>
      <c r="AW49" s="1495">
        <f t="shared" si="12"/>
        <v>0</v>
      </c>
      <c r="AX49" s="14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4"/>
      <c r="AV50" s="1495">
        <f t="shared" si="11"/>
        <v>0</v>
      </c>
      <c r="AW50" s="1495">
        <f t="shared" si="12"/>
        <v>0</v>
      </c>
      <c r="AX50" s="14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4"/>
      <c r="AV51" s="1495">
        <f t="shared" si="11"/>
        <v>0</v>
      </c>
      <c r="AW51" s="1495">
        <f t="shared" si="12"/>
        <v>0</v>
      </c>
      <c r="AX51" s="14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4"/>
      <c r="AV52" s="1495">
        <f t="shared" si="11"/>
        <v>0</v>
      </c>
      <c r="AW52" s="1495">
        <f t="shared" si="12"/>
        <v>0</v>
      </c>
      <c r="AX52" s="14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4"/>
      <c r="AV53" s="1495">
        <f t="shared" si="11"/>
        <v>0</v>
      </c>
      <c r="AW53" s="1495">
        <f t="shared" si="12"/>
        <v>0</v>
      </c>
      <c r="AX53" s="14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4"/>
      <c r="AV54" s="1495">
        <f t="shared" si="11"/>
        <v>0</v>
      </c>
      <c r="AW54" s="1495">
        <f t="shared" si="12"/>
        <v>0</v>
      </c>
      <c r="AX54" s="14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4"/>
      <c r="AV55" s="1495">
        <f t="shared" si="11"/>
        <v>0</v>
      </c>
      <c r="AW55" s="1495">
        <f t="shared" si="12"/>
        <v>0</v>
      </c>
      <c r="AX55" s="14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4"/>
      <c r="AV56" s="1495">
        <f t="shared" si="11"/>
        <v>0</v>
      </c>
      <c r="AW56" s="1495">
        <f t="shared" si="12"/>
        <v>0</v>
      </c>
      <c r="AX56" s="14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4"/>
      <c r="AV57" s="1495">
        <f t="shared" si="11"/>
        <v>0</v>
      </c>
      <c r="AW57" s="1495">
        <f t="shared" si="12"/>
        <v>0</v>
      </c>
      <c r="AX57" s="14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4"/>
      <c r="AV58" s="1495">
        <f t="shared" si="11"/>
        <v>0</v>
      </c>
      <c r="AW58" s="1495">
        <f t="shared" si="12"/>
        <v>0</v>
      </c>
      <c r="AX58" s="14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4"/>
      <c r="AV59" s="1495">
        <f t="shared" si="11"/>
        <v>0</v>
      </c>
      <c r="AW59" s="1495">
        <f t="shared" si="12"/>
        <v>0</v>
      </c>
      <c r="AX59" s="14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4"/>
      <c r="AV60" s="1495">
        <f t="shared" si="11"/>
        <v>0</v>
      </c>
      <c r="AW60" s="1495">
        <f t="shared" si="12"/>
        <v>0</v>
      </c>
      <c r="AX60" s="14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4"/>
      <c r="AV61" s="1495">
        <f t="shared" si="11"/>
        <v>0</v>
      </c>
      <c r="AW61" s="1495">
        <f t="shared" si="12"/>
        <v>0</v>
      </c>
      <c r="AX61" s="14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4"/>
      <c r="AV62" s="1495">
        <f t="shared" si="11"/>
        <v>0</v>
      </c>
      <c r="AW62" s="1495">
        <f t="shared" si="12"/>
        <v>0</v>
      </c>
      <c r="AX62" s="14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4"/>
      <c r="AV63" s="1495">
        <f t="shared" si="11"/>
        <v>0</v>
      </c>
      <c r="AW63" s="1495">
        <f t="shared" si="12"/>
        <v>0</v>
      </c>
      <c r="AX63" s="14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4"/>
      <c r="AV64" s="1495">
        <f t="shared" si="11"/>
        <v>0</v>
      </c>
      <c r="AW64" s="1495">
        <f t="shared" si="12"/>
        <v>0</v>
      </c>
      <c r="AX64" s="14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4"/>
      <c r="AV65" s="1495">
        <f t="shared" si="11"/>
        <v>0</v>
      </c>
      <c r="AW65" s="1495">
        <f t="shared" si="12"/>
        <v>0</v>
      </c>
      <c r="AX65" s="14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4"/>
      <c r="AV66" s="1495">
        <f t="shared" si="11"/>
        <v>0</v>
      </c>
      <c r="AW66" s="1495">
        <f t="shared" si="12"/>
        <v>0</v>
      </c>
      <c r="AX66" s="14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4"/>
      <c r="AV67" s="1495">
        <f t="shared" si="11"/>
        <v>0</v>
      </c>
      <c r="AW67" s="1495">
        <f t="shared" si="12"/>
        <v>0</v>
      </c>
      <c r="AX67" s="14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4"/>
      <c r="AV68" s="1495">
        <f t="shared" si="11"/>
        <v>0</v>
      </c>
      <c r="AW68" s="1495">
        <f t="shared" si="12"/>
        <v>0</v>
      </c>
      <c r="AX68" s="14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4"/>
      <c r="AV69" s="1495">
        <f t="shared" si="11"/>
        <v>0</v>
      </c>
      <c r="AW69" s="1495">
        <f t="shared" si="12"/>
        <v>0</v>
      </c>
      <c r="AX69" s="14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4"/>
      <c r="AV70" s="1495">
        <f t="shared" si="11"/>
        <v>0</v>
      </c>
      <c r="AW70" s="1495">
        <f t="shared" si="12"/>
        <v>0</v>
      </c>
      <c r="AX70" s="14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4"/>
      <c r="AV71" s="1495">
        <f t="shared" si="11"/>
        <v>0</v>
      </c>
      <c r="AW71" s="1495">
        <f t="shared" si="12"/>
        <v>0</v>
      </c>
      <c r="AX71" s="14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4"/>
      <c r="AV72" s="1495">
        <f t="shared" si="11"/>
        <v>0</v>
      </c>
      <c r="AW72" s="1495">
        <f t="shared" si="12"/>
        <v>0</v>
      </c>
      <c r="AX72" s="14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4"/>
      <c r="AV73" s="1495">
        <f t="shared" si="11"/>
        <v>0</v>
      </c>
      <c r="AW73" s="1495">
        <f t="shared" si="12"/>
        <v>0</v>
      </c>
      <c r="AX73" s="14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4"/>
      <c r="AV74" s="1495">
        <f t="shared" si="11"/>
        <v>0</v>
      </c>
      <c r="AW74" s="1495">
        <f t="shared" si="12"/>
        <v>0</v>
      </c>
      <c r="AX74" s="14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4"/>
      <c r="AV75" s="1495">
        <f t="shared" si="11"/>
        <v>0</v>
      </c>
      <c r="AW75" s="1495">
        <f t="shared" si="12"/>
        <v>0</v>
      </c>
      <c r="AX75" s="14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4"/>
      <c r="AV76" s="1495">
        <f t="shared" si="11"/>
        <v>0</v>
      </c>
      <c r="AW76" s="1495">
        <f t="shared" si="12"/>
        <v>0</v>
      </c>
      <c r="AX76" s="14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4"/>
      <c r="AV77" s="1495">
        <f t="shared" si="11"/>
        <v>0</v>
      </c>
      <c r="AW77" s="1495">
        <f t="shared" si="12"/>
        <v>0</v>
      </c>
      <c r="AX77" s="14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4"/>
      <c r="AV78" s="1495">
        <f t="shared" si="11"/>
        <v>0</v>
      </c>
      <c r="AW78" s="1495">
        <f t="shared" si="12"/>
        <v>0</v>
      </c>
      <c r="AX78" s="14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4"/>
      <c r="AV79" s="1495">
        <f t="shared" si="11"/>
        <v>0</v>
      </c>
      <c r="AW79" s="1495">
        <f t="shared" si="12"/>
        <v>0</v>
      </c>
      <c r="AX79" s="14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4"/>
      <c r="AV80" s="1495">
        <f t="shared" si="11"/>
        <v>0</v>
      </c>
      <c r="AW80" s="1495">
        <f t="shared" si="12"/>
        <v>0</v>
      </c>
      <c r="AX80" s="14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4"/>
      <c r="AV81" s="1495">
        <f t="shared" si="11"/>
        <v>0</v>
      </c>
      <c r="AW81" s="1495">
        <f t="shared" si="12"/>
        <v>0</v>
      </c>
      <c r="AX81" s="14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4"/>
      <c r="AV82" s="1495">
        <f t="shared" si="11"/>
        <v>0</v>
      </c>
      <c r="AW82" s="1495">
        <f t="shared" si="12"/>
        <v>0</v>
      </c>
      <c r="AX82" s="14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4"/>
      <c r="AV83" s="1495">
        <f t="shared" si="11"/>
        <v>0</v>
      </c>
      <c r="AW83" s="1495">
        <f t="shared" si="12"/>
        <v>0</v>
      </c>
      <c r="AX83" s="14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4"/>
      <c r="AV84" s="1495">
        <f t="shared" si="11"/>
        <v>0</v>
      </c>
      <c r="AW84" s="1495">
        <f t="shared" si="12"/>
        <v>0</v>
      </c>
      <c r="AX84" s="14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4"/>
      <c r="AV85" s="1495">
        <f t="shared" si="11"/>
        <v>0</v>
      </c>
      <c r="AW85" s="1495">
        <f t="shared" si="12"/>
        <v>0</v>
      </c>
      <c r="AX85" s="14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4"/>
      <c r="AV86" s="1495">
        <f t="shared" si="11"/>
        <v>0</v>
      </c>
      <c r="AW86" s="1495">
        <f t="shared" si="12"/>
        <v>0</v>
      </c>
      <c r="AX86" s="14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4"/>
      <c r="AV87" s="1495">
        <f t="shared" si="11"/>
        <v>0</v>
      </c>
      <c r="AW87" s="1495">
        <f t="shared" si="12"/>
        <v>0</v>
      </c>
      <c r="AX87" s="14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4"/>
      <c r="AV88" s="1495">
        <f t="shared" si="11"/>
        <v>0</v>
      </c>
      <c r="AW88" s="1495">
        <f t="shared" si="12"/>
        <v>0</v>
      </c>
      <c r="AX88" s="14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4"/>
      <c r="AV89" s="1495">
        <f t="shared" si="11"/>
        <v>0</v>
      </c>
      <c r="AW89" s="1495">
        <f t="shared" si="12"/>
        <v>0</v>
      </c>
      <c r="AX89" s="14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4"/>
      <c r="AV90" s="1495">
        <f t="shared" si="11"/>
        <v>0</v>
      </c>
      <c r="AW90" s="1495">
        <f t="shared" si="12"/>
        <v>0</v>
      </c>
      <c r="AX90" s="14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4"/>
      <c r="AV91" s="1495">
        <f t="shared" si="11"/>
        <v>0</v>
      </c>
      <c r="AW91" s="1495">
        <f t="shared" si="12"/>
        <v>0</v>
      </c>
      <c r="AX91" s="14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4"/>
      <c r="AV92" s="1495">
        <f t="shared" si="11"/>
        <v>0</v>
      </c>
      <c r="AW92" s="1495">
        <f t="shared" si="12"/>
        <v>0</v>
      </c>
      <c r="AX92" s="14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4"/>
      <c r="AV93" s="1495">
        <f t="shared" si="11"/>
        <v>0</v>
      </c>
      <c r="AW93" s="1495">
        <f t="shared" si="12"/>
        <v>0</v>
      </c>
      <c r="AX93" s="14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4"/>
      <c r="AV94" s="1495">
        <f t="shared" si="11"/>
        <v>0</v>
      </c>
      <c r="AW94" s="1495">
        <f t="shared" si="12"/>
        <v>0</v>
      </c>
      <c r="AX94" s="14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4"/>
      <c r="AV95" s="1495">
        <f t="shared" si="11"/>
        <v>0</v>
      </c>
      <c r="AW95" s="1495">
        <f t="shared" si="12"/>
        <v>0</v>
      </c>
      <c r="AX95" s="14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4"/>
      <c r="AV96" s="1495">
        <f t="shared" si="11"/>
        <v>0</v>
      </c>
      <c r="AW96" s="1495">
        <f t="shared" si="12"/>
        <v>0</v>
      </c>
      <c r="AX96" s="14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4"/>
      <c r="AV97" s="1495">
        <f t="shared" si="11"/>
        <v>0</v>
      </c>
      <c r="AW97" s="1495">
        <f t="shared" si="12"/>
        <v>0</v>
      </c>
      <c r="AX97" s="14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4"/>
      <c r="AV98" s="1495">
        <f t="shared" si="11"/>
        <v>0</v>
      </c>
      <c r="AW98" s="1495">
        <f t="shared" si="12"/>
        <v>0</v>
      </c>
      <c r="AX98" s="14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4"/>
      <c r="AV99" s="1495">
        <f t="shared" si="11"/>
        <v>0</v>
      </c>
      <c r="AW99" s="1495">
        <f t="shared" si="12"/>
        <v>0</v>
      </c>
      <c r="AX99" s="14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4"/>
      <c r="AV100" s="1495">
        <f t="shared" si="11"/>
        <v>0</v>
      </c>
      <c r="AW100" s="1495">
        <f t="shared" si="12"/>
        <v>0</v>
      </c>
      <c r="AX100" s="14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4"/>
      <c r="AV101" s="1495">
        <f t="shared" si="11"/>
        <v>0</v>
      </c>
      <c r="AW101" s="1495">
        <f t="shared" si="12"/>
        <v>0</v>
      </c>
      <c r="AX101" s="14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4"/>
      <c r="AV102" s="1495">
        <f t="shared" si="11"/>
        <v>0</v>
      </c>
      <c r="AW102" s="1495">
        <f t="shared" si="12"/>
        <v>0</v>
      </c>
      <c r="AX102" s="14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4"/>
      <c r="AV103" s="1495">
        <f t="shared" si="11"/>
        <v>0</v>
      </c>
      <c r="AW103" s="1495">
        <f t="shared" si="12"/>
        <v>0</v>
      </c>
      <c r="AX103" s="14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4"/>
      <c r="AV104" s="1495">
        <f t="shared" si="11"/>
        <v>0</v>
      </c>
      <c r="AW104" s="1495">
        <f t="shared" si="12"/>
        <v>0</v>
      </c>
      <c r="AX104" s="14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4"/>
      <c r="AV105" s="1495">
        <f t="shared" si="11"/>
        <v>0</v>
      </c>
      <c r="AW105" s="1495">
        <f t="shared" si="12"/>
        <v>0</v>
      </c>
      <c r="AX105" s="14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4"/>
      <c r="AV106" s="1495">
        <f t="shared" si="11"/>
        <v>0</v>
      </c>
      <c r="AW106" s="1495">
        <f t="shared" si="12"/>
        <v>0</v>
      </c>
      <c r="AX106" s="14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4"/>
      <c r="AV107" s="1495">
        <f t="shared" si="11"/>
        <v>0</v>
      </c>
      <c r="AW107" s="1495">
        <f t="shared" si="12"/>
        <v>0</v>
      </c>
      <c r="AX107" s="14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4"/>
      <c r="AV108" s="1495">
        <f t="shared" si="11"/>
        <v>0</v>
      </c>
      <c r="AW108" s="1495">
        <f t="shared" si="12"/>
        <v>0</v>
      </c>
      <c r="AX108" s="14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4"/>
      <c r="AV109" s="1495">
        <f t="shared" si="11"/>
        <v>0</v>
      </c>
      <c r="AW109" s="1495">
        <f t="shared" si="12"/>
        <v>0</v>
      </c>
      <c r="AX109" s="14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4"/>
      <c r="AV110" s="1495">
        <f t="shared" si="11"/>
        <v>0</v>
      </c>
      <c r="AW110" s="1495">
        <f t="shared" si="12"/>
        <v>0</v>
      </c>
      <c r="AX110" s="14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4"/>
      <c r="AV111" s="1495">
        <f t="shared" si="11"/>
        <v>0</v>
      </c>
      <c r="AW111" s="1495">
        <f t="shared" si="12"/>
        <v>0</v>
      </c>
      <c r="AX111" s="14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4"/>
      <c r="AV112" s="1495">
        <f t="shared" si="11"/>
        <v>0</v>
      </c>
      <c r="AW112" s="1495">
        <f t="shared" si="12"/>
        <v>0</v>
      </c>
      <c r="AX112" s="14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4"/>
      <c r="AV113" s="1495">
        <f t="shared" ref="AV113:AV144" si="62">A113</f>
        <v>0</v>
      </c>
      <c r="AW113" s="1495">
        <f t="shared" ref="AW113:AW144" si="63">B113</f>
        <v>0</v>
      </c>
      <c r="AX113" s="14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4"/>
      <c r="AV114" s="1495">
        <f t="shared" si="62"/>
        <v>0</v>
      </c>
      <c r="AW114" s="1495">
        <f t="shared" si="63"/>
        <v>0</v>
      </c>
      <c r="AX114" s="14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4"/>
      <c r="AV115" s="1495">
        <f t="shared" si="62"/>
        <v>0</v>
      </c>
      <c r="AW115" s="1495">
        <f t="shared" si="63"/>
        <v>0</v>
      </c>
      <c r="AX115" s="14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4"/>
      <c r="AV116" s="1495">
        <f t="shared" si="62"/>
        <v>0</v>
      </c>
      <c r="AW116" s="1495">
        <f t="shared" si="63"/>
        <v>0</v>
      </c>
      <c r="AX116" s="14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4"/>
      <c r="AV117" s="1495">
        <f t="shared" si="62"/>
        <v>0</v>
      </c>
      <c r="AW117" s="1495">
        <f t="shared" si="63"/>
        <v>0</v>
      </c>
      <c r="AX117" s="14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4"/>
      <c r="AV118" s="1495">
        <f t="shared" si="62"/>
        <v>0</v>
      </c>
      <c r="AW118" s="1495">
        <f t="shared" si="63"/>
        <v>0</v>
      </c>
      <c r="AX118" s="14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4"/>
      <c r="AV119" s="1495">
        <f t="shared" si="62"/>
        <v>0</v>
      </c>
      <c r="AW119" s="1495">
        <f t="shared" si="63"/>
        <v>0</v>
      </c>
      <c r="AX119" s="14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4"/>
      <c r="AV120" s="1495">
        <f t="shared" si="62"/>
        <v>0</v>
      </c>
      <c r="AW120" s="1495">
        <f t="shared" si="63"/>
        <v>0</v>
      </c>
      <c r="AX120" s="14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4"/>
      <c r="AV121" s="1495">
        <f t="shared" si="62"/>
        <v>0</v>
      </c>
      <c r="AW121" s="1495">
        <f t="shared" si="63"/>
        <v>0</v>
      </c>
      <c r="AX121" s="14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4"/>
      <c r="AV122" s="1495">
        <f t="shared" si="62"/>
        <v>0</v>
      </c>
      <c r="AW122" s="1495">
        <f t="shared" si="63"/>
        <v>0</v>
      </c>
      <c r="AX122" s="14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4"/>
      <c r="AV123" s="1495">
        <f t="shared" si="62"/>
        <v>0</v>
      </c>
      <c r="AW123" s="1495">
        <f t="shared" si="63"/>
        <v>0</v>
      </c>
      <c r="AX123" s="14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4"/>
      <c r="AV124" s="1495">
        <f t="shared" si="62"/>
        <v>0</v>
      </c>
      <c r="AW124" s="1495">
        <f t="shared" si="63"/>
        <v>0</v>
      </c>
      <c r="AX124" s="14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4"/>
      <c r="AV125" s="1495">
        <f t="shared" si="62"/>
        <v>0</v>
      </c>
      <c r="AW125" s="1495">
        <f t="shared" si="63"/>
        <v>0</v>
      </c>
      <c r="AX125" s="14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4"/>
      <c r="AV126" s="1495">
        <f t="shared" si="62"/>
        <v>0</v>
      </c>
      <c r="AW126" s="1495">
        <f t="shared" si="63"/>
        <v>0</v>
      </c>
      <c r="AX126" s="14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4"/>
      <c r="AV127" s="1495">
        <f t="shared" si="62"/>
        <v>0</v>
      </c>
      <c r="AW127" s="1495">
        <f t="shared" si="63"/>
        <v>0</v>
      </c>
      <c r="AX127" s="14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4"/>
      <c r="AV128" s="1495">
        <f t="shared" si="62"/>
        <v>0</v>
      </c>
      <c r="AW128" s="1495">
        <f t="shared" si="63"/>
        <v>0</v>
      </c>
      <c r="AX128" s="14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4"/>
      <c r="AV129" s="1495">
        <f t="shared" si="62"/>
        <v>0</v>
      </c>
      <c r="AW129" s="1495">
        <f t="shared" si="63"/>
        <v>0</v>
      </c>
      <c r="AX129" s="14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4"/>
      <c r="AV130" s="1495">
        <f t="shared" si="62"/>
        <v>0</v>
      </c>
      <c r="AW130" s="1495">
        <f t="shared" si="63"/>
        <v>0</v>
      </c>
      <c r="AX130" s="14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4"/>
      <c r="AV131" s="1495">
        <f t="shared" si="62"/>
        <v>0</v>
      </c>
      <c r="AW131" s="1495">
        <f t="shared" si="63"/>
        <v>0</v>
      </c>
      <c r="AX131" s="14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4"/>
      <c r="AV132" s="1495">
        <f t="shared" si="62"/>
        <v>0</v>
      </c>
      <c r="AW132" s="1495">
        <f t="shared" si="63"/>
        <v>0</v>
      </c>
      <c r="AX132" s="14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4"/>
      <c r="AV133" s="1495">
        <f t="shared" si="62"/>
        <v>0</v>
      </c>
      <c r="AW133" s="1495">
        <f t="shared" si="63"/>
        <v>0</v>
      </c>
      <c r="AX133" s="14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4"/>
      <c r="AV134" s="1495">
        <f t="shared" si="62"/>
        <v>0</v>
      </c>
      <c r="AW134" s="1495">
        <f t="shared" si="63"/>
        <v>0</v>
      </c>
      <c r="AX134" s="14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4"/>
      <c r="AV135" s="1495">
        <f t="shared" si="62"/>
        <v>0</v>
      </c>
      <c r="AW135" s="1495">
        <f t="shared" si="63"/>
        <v>0</v>
      </c>
      <c r="AX135" s="14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4"/>
      <c r="AV136" s="1495">
        <f t="shared" si="62"/>
        <v>0</v>
      </c>
      <c r="AW136" s="1495">
        <f t="shared" si="63"/>
        <v>0</v>
      </c>
      <c r="AX136" s="14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4"/>
      <c r="AV137" s="1495">
        <f t="shared" si="62"/>
        <v>0</v>
      </c>
      <c r="AW137" s="1495">
        <f t="shared" si="63"/>
        <v>0</v>
      </c>
      <c r="AX137" s="14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4"/>
      <c r="AV138" s="1495">
        <f t="shared" si="62"/>
        <v>0</v>
      </c>
      <c r="AW138" s="1495">
        <f t="shared" si="63"/>
        <v>0</v>
      </c>
      <c r="AX138" s="14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4"/>
      <c r="AV139" s="1495">
        <f t="shared" si="62"/>
        <v>0</v>
      </c>
      <c r="AW139" s="1495">
        <f t="shared" si="63"/>
        <v>0</v>
      </c>
      <c r="AX139" s="14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4"/>
      <c r="AV140" s="1495">
        <f t="shared" si="62"/>
        <v>0</v>
      </c>
      <c r="AW140" s="1495">
        <f t="shared" si="63"/>
        <v>0</v>
      </c>
      <c r="AX140" s="14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4"/>
      <c r="AV141" s="1495">
        <f t="shared" si="62"/>
        <v>0</v>
      </c>
      <c r="AW141" s="1495">
        <f t="shared" si="63"/>
        <v>0</v>
      </c>
      <c r="AX141" s="14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4"/>
      <c r="AV142" s="1495">
        <f t="shared" si="62"/>
        <v>0</v>
      </c>
      <c r="AW142" s="1495">
        <f t="shared" si="63"/>
        <v>0</v>
      </c>
      <c r="AX142" s="14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4"/>
      <c r="AV143" s="1495">
        <f t="shared" si="62"/>
        <v>0</v>
      </c>
      <c r="AW143" s="1495">
        <f t="shared" si="63"/>
        <v>0</v>
      </c>
      <c r="AX143" s="14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4"/>
      <c r="AV144" s="1495">
        <f t="shared" si="62"/>
        <v>0</v>
      </c>
      <c r="AW144" s="1495">
        <f t="shared" si="63"/>
        <v>0</v>
      </c>
      <c r="AX144" s="14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4"/>
      <c r="AV145" s="1495">
        <f t="shared" ref="AV145:AV176" si="91">A145</f>
        <v>0</v>
      </c>
      <c r="AW145" s="1495">
        <f t="shared" ref="AW145:AW176" si="92">B145</f>
        <v>0</v>
      </c>
      <c r="AX145" s="14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4"/>
      <c r="AV146" s="1495">
        <f t="shared" si="91"/>
        <v>0</v>
      </c>
      <c r="AW146" s="1495">
        <f t="shared" si="92"/>
        <v>0</v>
      </c>
      <c r="AX146" s="14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4"/>
      <c r="AV147" s="1495">
        <f t="shared" si="91"/>
        <v>0</v>
      </c>
      <c r="AW147" s="1495">
        <f t="shared" si="92"/>
        <v>0</v>
      </c>
      <c r="AX147" s="14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4"/>
      <c r="AV148" s="1495">
        <f t="shared" si="91"/>
        <v>0</v>
      </c>
      <c r="AW148" s="1495">
        <f t="shared" si="92"/>
        <v>0</v>
      </c>
      <c r="AX148" s="14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4"/>
      <c r="AV149" s="1495">
        <f t="shared" si="91"/>
        <v>0</v>
      </c>
      <c r="AW149" s="1495">
        <f t="shared" si="92"/>
        <v>0</v>
      </c>
      <c r="AX149" s="14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4"/>
      <c r="AV150" s="1495">
        <f t="shared" si="91"/>
        <v>0</v>
      </c>
      <c r="AW150" s="1495">
        <f t="shared" si="92"/>
        <v>0</v>
      </c>
      <c r="AX150" s="14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4"/>
      <c r="AV151" s="1495">
        <f t="shared" si="91"/>
        <v>0</v>
      </c>
      <c r="AW151" s="1495">
        <f t="shared" si="92"/>
        <v>0</v>
      </c>
      <c r="AX151" s="14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4"/>
      <c r="AV152" s="1495">
        <f t="shared" si="91"/>
        <v>0</v>
      </c>
      <c r="AW152" s="1495">
        <f t="shared" si="92"/>
        <v>0</v>
      </c>
      <c r="AX152" s="14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4"/>
      <c r="AV153" s="1495">
        <f t="shared" si="91"/>
        <v>0</v>
      </c>
      <c r="AW153" s="1495">
        <f t="shared" si="92"/>
        <v>0</v>
      </c>
      <c r="AX153" s="14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4"/>
      <c r="AV154" s="1495">
        <f t="shared" si="91"/>
        <v>0</v>
      </c>
      <c r="AW154" s="1495">
        <f t="shared" si="92"/>
        <v>0</v>
      </c>
      <c r="AX154" s="14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4"/>
      <c r="AV155" s="1495">
        <f t="shared" si="91"/>
        <v>0</v>
      </c>
      <c r="AW155" s="1495">
        <f t="shared" si="92"/>
        <v>0</v>
      </c>
      <c r="AX155" s="14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4"/>
      <c r="AV156" s="1495">
        <f t="shared" si="91"/>
        <v>0</v>
      </c>
      <c r="AW156" s="1495">
        <f t="shared" si="92"/>
        <v>0</v>
      </c>
      <c r="AX156" s="14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4"/>
      <c r="AV157" s="1495">
        <f t="shared" si="91"/>
        <v>0</v>
      </c>
      <c r="AW157" s="1495">
        <f t="shared" si="92"/>
        <v>0</v>
      </c>
      <c r="AX157" s="14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4"/>
      <c r="AV158" s="1495">
        <f t="shared" si="91"/>
        <v>0</v>
      </c>
      <c r="AW158" s="1495">
        <f t="shared" si="92"/>
        <v>0</v>
      </c>
      <c r="AX158" s="14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4"/>
      <c r="AV159" s="1495">
        <f t="shared" si="91"/>
        <v>0</v>
      </c>
      <c r="AW159" s="1495">
        <f t="shared" si="92"/>
        <v>0</v>
      </c>
      <c r="AX159" s="14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4"/>
      <c r="AV160" s="1495">
        <f t="shared" si="91"/>
        <v>0</v>
      </c>
      <c r="AW160" s="1495">
        <f t="shared" si="92"/>
        <v>0</v>
      </c>
      <c r="AX160" s="14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4"/>
      <c r="AV161" s="1495">
        <f t="shared" si="91"/>
        <v>0</v>
      </c>
      <c r="AW161" s="1495">
        <f t="shared" si="92"/>
        <v>0</v>
      </c>
      <c r="AX161" s="14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4"/>
      <c r="AV162" s="1495">
        <f t="shared" si="91"/>
        <v>0</v>
      </c>
      <c r="AW162" s="1495">
        <f t="shared" si="92"/>
        <v>0</v>
      </c>
      <c r="AX162" s="14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4"/>
      <c r="AV163" s="1495">
        <f t="shared" si="91"/>
        <v>0</v>
      </c>
      <c r="AW163" s="1495">
        <f t="shared" si="92"/>
        <v>0</v>
      </c>
      <c r="AX163" s="14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4"/>
      <c r="AV164" s="1495">
        <f t="shared" si="91"/>
        <v>0</v>
      </c>
      <c r="AW164" s="1495">
        <f t="shared" si="92"/>
        <v>0</v>
      </c>
      <c r="AX164" s="14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4"/>
      <c r="AV165" s="1495">
        <f t="shared" si="91"/>
        <v>0</v>
      </c>
      <c r="AW165" s="1495">
        <f t="shared" si="92"/>
        <v>0</v>
      </c>
      <c r="AX165" s="14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4"/>
      <c r="AV166" s="1495">
        <f t="shared" si="91"/>
        <v>0</v>
      </c>
      <c r="AW166" s="1495">
        <f t="shared" si="92"/>
        <v>0</v>
      </c>
      <c r="AX166" s="14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4"/>
      <c r="AV167" s="1495">
        <f t="shared" si="91"/>
        <v>0</v>
      </c>
      <c r="AW167" s="1495">
        <f t="shared" si="92"/>
        <v>0</v>
      </c>
      <c r="AX167" s="14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4"/>
      <c r="AV168" s="1495">
        <f t="shared" si="91"/>
        <v>0</v>
      </c>
      <c r="AW168" s="1495">
        <f t="shared" si="92"/>
        <v>0</v>
      </c>
      <c r="AX168" s="14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4"/>
      <c r="AV169" s="1495">
        <f t="shared" si="91"/>
        <v>0</v>
      </c>
      <c r="AW169" s="1495">
        <f t="shared" si="92"/>
        <v>0</v>
      </c>
      <c r="AX169" s="14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4"/>
      <c r="AV170" s="1495">
        <f t="shared" si="91"/>
        <v>0</v>
      </c>
      <c r="AW170" s="1495">
        <f t="shared" si="92"/>
        <v>0</v>
      </c>
      <c r="AX170" s="14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4"/>
      <c r="AV171" s="1495">
        <f t="shared" si="91"/>
        <v>0</v>
      </c>
      <c r="AW171" s="1495">
        <f t="shared" si="92"/>
        <v>0</v>
      </c>
      <c r="AX171" s="14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4"/>
      <c r="AV172" s="1495">
        <f t="shared" si="91"/>
        <v>0</v>
      </c>
      <c r="AW172" s="1495">
        <f t="shared" si="92"/>
        <v>0</v>
      </c>
      <c r="AX172" s="14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4"/>
      <c r="AV173" s="1495">
        <f t="shared" si="91"/>
        <v>0</v>
      </c>
      <c r="AW173" s="1495">
        <f t="shared" si="92"/>
        <v>0</v>
      </c>
      <c r="AX173" s="14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4"/>
      <c r="AV174" s="1495">
        <f t="shared" si="91"/>
        <v>0</v>
      </c>
      <c r="AW174" s="1495">
        <f t="shared" si="92"/>
        <v>0</v>
      </c>
      <c r="AX174" s="14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4"/>
      <c r="AV175" s="1495">
        <f t="shared" si="91"/>
        <v>0</v>
      </c>
      <c r="AW175" s="1495">
        <f t="shared" si="92"/>
        <v>0</v>
      </c>
      <c r="AX175" s="14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4"/>
      <c r="AV176" s="1495">
        <f t="shared" si="91"/>
        <v>0</v>
      </c>
      <c r="AW176" s="1495">
        <f t="shared" si="92"/>
        <v>0</v>
      </c>
      <c r="AX176" s="14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4"/>
      <c r="AV177" s="1495">
        <f t="shared" ref="AV177:AV207" si="120">A177</f>
        <v>0</v>
      </c>
      <c r="AW177" s="1495">
        <f t="shared" ref="AW177:AW207" si="121">B177</f>
        <v>0</v>
      </c>
      <c r="AX177" s="14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4"/>
      <c r="AV178" s="1495">
        <f t="shared" si="120"/>
        <v>0</v>
      </c>
      <c r="AW178" s="1495">
        <f t="shared" si="121"/>
        <v>0</v>
      </c>
      <c r="AX178" s="14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4"/>
      <c r="AV179" s="1495">
        <f t="shared" si="120"/>
        <v>0</v>
      </c>
      <c r="AW179" s="1495">
        <f t="shared" si="121"/>
        <v>0</v>
      </c>
      <c r="AX179" s="14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4"/>
      <c r="AV180" s="1495">
        <f t="shared" si="120"/>
        <v>0</v>
      </c>
      <c r="AW180" s="1495">
        <f t="shared" si="121"/>
        <v>0</v>
      </c>
      <c r="AX180" s="14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4"/>
      <c r="AV181" s="1495">
        <f t="shared" si="120"/>
        <v>0</v>
      </c>
      <c r="AW181" s="1495">
        <f t="shared" si="121"/>
        <v>0</v>
      </c>
      <c r="AX181" s="14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4"/>
      <c r="AV182" s="1495">
        <f t="shared" si="120"/>
        <v>0</v>
      </c>
      <c r="AW182" s="1495">
        <f t="shared" si="121"/>
        <v>0</v>
      </c>
      <c r="AX182" s="14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4"/>
      <c r="AV183" s="1495">
        <f t="shared" si="120"/>
        <v>0</v>
      </c>
      <c r="AW183" s="1495">
        <f t="shared" si="121"/>
        <v>0</v>
      </c>
      <c r="AX183" s="14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4"/>
      <c r="AV184" s="1495">
        <f t="shared" si="120"/>
        <v>0</v>
      </c>
      <c r="AW184" s="1495">
        <f t="shared" si="121"/>
        <v>0</v>
      </c>
      <c r="AX184" s="14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4"/>
      <c r="AV185" s="1495">
        <f t="shared" si="120"/>
        <v>0</v>
      </c>
      <c r="AW185" s="1495">
        <f t="shared" si="121"/>
        <v>0</v>
      </c>
      <c r="AX185" s="14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4"/>
      <c r="AV186" s="1495">
        <f t="shared" si="120"/>
        <v>0</v>
      </c>
      <c r="AW186" s="1495">
        <f t="shared" si="121"/>
        <v>0</v>
      </c>
      <c r="AX186" s="14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4"/>
      <c r="AV187" s="1495">
        <f t="shared" si="120"/>
        <v>0</v>
      </c>
      <c r="AW187" s="1495">
        <f t="shared" si="121"/>
        <v>0</v>
      </c>
      <c r="AX187" s="14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4"/>
      <c r="AV188" s="1495">
        <f t="shared" si="120"/>
        <v>0</v>
      </c>
      <c r="AW188" s="1495">
        <f t="shared" si="121"/>
        <v>0</v>
      </c>
      <c r="AX188" s="14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4"/>
      <c r="AV189" s="1495">
        <f t="shared" si="120"/>
        <v>0</v>
      </c>
      <c r="AW189" s="1495">
        <f t="shared" si="121"/>
        <v>0</v>
      </c>
      <c r="AX189" s="14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4"/>
      <c r="AV190" s="1495">
        <f t="shared" si="120"/>
        <v>0</v>
      </c>
      <c r="AW190" s="1495">
        <f t="shared" si="121"/>
        <v>0</v>
      </c>
      <c r="AX190" s="14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4"/>
      <c r="AV191" s="1495">
        <f t="shared" si="120"/>
        <v>0</v>
      </c>
      <c r="AW191" s="1495">
        <f t="shared" si="121"/>
        <v>0</v>
      </c>
      <c r="AX191" s="14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4"/>
      <c r="AV192" s="1495">
        <f t="shared" si="120"/>
        <v>0</v>
      </c>
      <c r="AW192" s="1495">
        <f t="shared" si="121"/>
        <v>0</v>
      </c>
      <c r="AX192" s="14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4"/>
      <c r="AV193" s="1495">
        <f t="shared" si="120"/>
        <v>0</v>
      </c>
      <c r="AW193" s="1495">
        <f t="shared" si="121"/>
        <v>0</v>
      </c>
      <c r="AX193" s="14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4"/>
      <c r="AV194" s="1495">
        <f t="shared" si="120"/>
        <v>0</v>
      </c>
      <c r="AW194" s="1495">
        <f t="shared" si="121"/>
        <v>0</v>
      </c>
      <c r="AX194" s="14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4"/>
      <c r="AV195" s="1495">
        <f t="shared" si="120"/>
        <v>0</v>
      </c>
      <c r="AW195" s="1495">
        <f t="shared" si="121"/>
        <v>0</v>
      </c>
      <c r="AX195" s="14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4"/>
      <c r="AV196" s="1495">
        <f t="shared" si="120"/>
        <v>0</v>
      </c>
      <c r="AW196" s="1495">
        <f t="shared" si="121"/>
        <v>0</v>
      </c>
      <c r="AX196" s="14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4"/>
      <c r="AV197" s="1495">
        <f t="shared" si="120"/>
        <v>0</v>
      </c>
      <c r="AW197" s="1495">
        <f t="shared" si="121"/>
        <v>0</v>
      </c>
      <c r="AX197" s="14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4"/>
      <c r="AV198" s="1495">
        <f t="shared" si="120"/>
        <v>0</v>
      </c>
      <c r="AW198" s="1495">
        <f t="shared" si="121"/>
        <v>0</v>
      </c>
      <c r="AX198" s="14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4"/>
      <c r="AV199" s="1495">
        <f t="shared" si="120"/>
        <v>0</v>
      </c>
      <c r="AW199" s="1495">
        <f t="shared" si="121"/>
        <v>0</v>
      </c>
      <c r="AX199" s="14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4"/>
      <c r="AV200" s="1495">
        <f t="shared" si="120"/>
        <v>0</v>
      </c>
      <c r="AW200" s="1495">
        <f t="shared" si="121"/>
        <v>0</v>
      </c>
      <c r="AX200" s="14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4"/>
      <c r="AV201" s="1495">
        <f t="shared" si="120"/>
        <v>0</v>
      </c>
      <c r="AW201" s="1495">
        <f t="shared" si="121"/>
        <v>0</v>
      </c>
      <c r="AX201" s="14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4"/>
      <c r="AV202" s="1495">
        <f t="shared" si="120"/>
        <v>0</v>
      </c>
      <c r="AW202" s="1495">
        <f t="shared" si="121"/>
        <v>0</v>
      </c>
      <c r="AX202" s="14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4"/>
      <c r="AV203" s="1495">
        <f t="shared" si="120"/>
        <v>0</v>
      </c>
      <c r="AW203" s="1495">
        <f t="shared" si="121"/>
        <v>0</v>
      </c>
      <c r="AX203" s="14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4"/>
      <c r="AV204" s="1495">
        <f t="shared" si="120"/>
        <v>0</v>
      </c>
      <c r="AW204" s="1495">
        <f t="shared" si="121"/>
        <v>0</v>
      </c>
      <c r="AX204" s="14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4"/>
      <c r="AV205" s="1495">
        <f t="shared" si="120"/>
        <v>0</v>
      </c>
      <c r="AW205" s="1495">
        <f t="shared" si="121"/>
        <v>0</v>
      </c>
      <c r="AX205" s="14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4"/>
      <c r="AV206" s="1495">
        <f t="shared" si="120"/>
        <v>0</v>
      </c>
      <c r="AW206" s="1495">
        <f t="shared" si="121"/>
        <v>0</v>
      </c>
      <c r="AX206" s="14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4"/>
      <c r="AV207" s="1495">
        <f t="shared" si="120"/>
        <v>0</v>
      </c>
      <c r="AW207" s="1495">
        <f t="shared" si="121"/>
        <v>0</v>
      </c>
      <c r="AX207" s="14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4"/>
      <c r="AV208" s="1495">
        <f t="shared" ref="AV208:AV302" si="127">A208</f>
        <v>0</v>
      </c>
      <c r="AW208" s="1495">
        <f t="shared" ref="AW208:AW302" si="128">B208</f>
        <v>0</v>
      </c>
      <c r="AX208" s="14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4"/>
      <c r="AV209" s="1495">
        <f t="shared" si="127"/>
        <v>0</v>
      </c>
      <c r="AW209" s="1495">
        <f t="shared" si="128"/>
        <v>0</v>
      </c>
      <c r="AX209" s="14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4"/>
      <c r="AV210" s="1495">
        <f t="shared" si="127"/>
        <v>0</v>
      </c>
      <c r="AW210" s="1495">
        <f t="shared" si="128"/>
        <v>0</v>
      </c>
      <c r="AX210" s="14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4"/>
      <c r="AV211" s="1495">
        <f t="shared" si="127"/>
        <v>0</v>
      </c>
      <c r="AW211" s="1495">
        <f t="shared" si="128"/>
        <v>0</v>
      </c>
      <c r="AX211" s="14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4"/>
      <c r="AV212" s="1495">
        <f t="shared" si="127"/>
        <v>0</v>
      </c>
      <c r="AW212" s="1495">
        <f t="shared" si="128"/>
        <v>0</v>
      </c>
      <c r="AX212" s="14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4"/>
      <c r="AV213" s="1495">
        <f t="shared" si="127"/>
        <v>0</v>
      </c>
      <c r="AW213" s="1495">
        <f t="shared" si="128"/>
        <v>0</v>
      </c>
      <c r="AX213" s="14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4"/>
      <c r="AV214" s="1495">
        <f t="shared" si="127"/>
        <v>0</v>
      </c>
      <c r="AW214" s="1495">
        <f t="shared" si="128"/>
        <v>0</v>
      </c>
      <c r="AX214" s="14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4"/>
      <c r="AV215" s="1495">
        <f t="shared" si="127"/>
        <v>0</v>
      </c>
      <c r="AW215" s="1495">
        <f t="shared" si="128"/>
        <v>0</v>
      </c>
      <c r="AX215" s="14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4"/>
      <c r="AV216" s="1495">
        <f t="shared" si="127"/>
        <v>0</v>
      </c>
      <c r="AW216" s="1495">
        <f t="shared" si="128"/>
        <v>0</v>
      </c>
      <c r="AX216" s="14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4"/>
      <c r="AV217" s="1495">
        <f t="shared" si="127"/>
        <v>0</v>
      </c>
      <c r="AW217" s="1495">
        <f t="shared" si="128"/>
        <v>0</v>
      </c>
      <c r="AX217" s="14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4"/>
      <c r="AV218" s="1495">
        <f t="shared" si="127"/>
        <v>0</v>
      </c>
      <c r="AW218" s="1495">
        <f t="shared" si="128"/>
        <v>0</v>
      </c>
      <c r="AX218" s="14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4"/>
      <c r="AV219" s="1495">
        <f t="shared" si="127"/>
        <v>0</v>
      </c>
      <c r="AW219" s="1495">
        <f t="shared" si="128"/>
        <v>0</v>
      </c>
      <c r="AX219" s="14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4"/>
      <c r="AV220" s="1495">
        <f t="shared" si="127"/>
        <v>0</v>
      </c>
      <c r="AW220" s="1495">
        <f t="shared" si="128"/>
        <v>0</v>
      </c>
      <c r="AX220" s="14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4"/>
      <c r="AV221" s="1495">
        <f t="shared" si="127"/>
        <v>0</v>
      </c>
      <c r="AW221" s="1495">
        <f t="shared" si="128"/>
        <v>0</v>
      </c>
      <c r="AX221" s="14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4"/>
      <c r="AV222" s="1495">
        <f t="shared" si="127"/>
        <v>0</v>
      </c>
      <c r="AW222" s="1495">
        <f t="shared" si="128"/>
        <v>0</v>
      </c>
      <c r="AX222" s="14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4"/>
      <c r="AV223" s="1495">
        <f t="shared" si="127"/>
        <v>0</v>
      </c>
      <c r="AW223" s="1495">
        <f t="shared" si="128"/>
        <v>0</v>
      </c>
      <c r="AX223" s="14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4"/>
      <c r="AV224" s="1495">
        <f t="shared" si="127"/>
        <v>0</v>
      </c>
      <c r="AW224" s="1495">
        <f t="shared" si="128"/>
        <v>0</v>
      </c>
      <c r="AX224" s="14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4"/>
      <c r="AV225" s="1495">
        <f t="shared" si="127"/>
        <v>0</v>
      </c>
      <c r="AW225" s="1495">
        <f t="shared" si="128"/>
        <v>0</v>
      </c>
      <c r="AX225" s="14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4"/>
      <c r="AV226" s="1495">
        <f t="shared" si="127"/>
        <v>0</v>
      </c>
      <c r="AW226" s="1495">
        <f t="shared" si="128"/>
        <v>0</v>
      </c>
      <c r="AX226" s="14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4"/>
      <c r="AV227" s="1495">
        <f t="shared" si="127"/>
        <v>0</v>
      </c>
      <c r="AW227" s="1495">
        <f t="shared" si="128"/>
        <v>0</v>
      </c>
      <c r="AX227" s="14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4"/>
      <c r="AV228" s="1495">
        <f t="shared" si="127"/>
        <v>0</v>
      </c>
      <c r="AW228" s="1495">
        <f t="shared" si="128"/>
        <v>0</v>
      </c>
      <c r="AX228" s="14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4"/>
      <c r="AV229" s="1495">
        <f t="shared" si="127"/>
        <v>0</v>
      </c>
      <c r="AW229" s="1495">
        <f t="shared" si="128"/>
        <v>0</v>
      </c>
      <c r="AX229" s="14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4"/>
      <c r="AV230" s="1495">
        <f t="shared" si="127"/>
        <v>0</v>
      </c>
      <c r="AW230" s="1495">
        <f t="shared" si="128"/>
        <v>0</v>
      </c>
      <c r="AX230" s="14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4"/>
      <c r="AV231" s="1495">
        <f t="shared" si="127"/>
        <v>0</v>
      </c>
      <c r="AW231" s="1495">
        <f t="shared" si="128"/>
        <v>0</v>
      </c>
      <c r="AX231" s="14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4"/>
      <c r="AV232" s="1495">
        <f t="shared" si="127"/>
        <v>0</v>
      </c>
      <c r="AW232" s="1495">
        <f t="shared" si="128"/>
        <v>0</v>
      </c>
      <c r="AX232" s="14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4"/>
      <c r="AV233" s="1495">
        <f t="shared" si="127"/>
        <v>0</v>
      </c>
      <c r="AW233" s="1495">
        <f t="shared" si="128"/>
        <v>0</v>
      </c>
      <c r="AX233" s="14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4"/>
      <c r="AV234" s="1495">
        <f t="shared" si="127"/>
        <v>0</v>
      </c>
      <c r="AW234" s="1495">
        <f t="shared" si="128"/>
        <v>0</v>
      </c>
      <c r="AX234" s="14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4"/>
      <c r="AV235" s="1495">
        <f t="shared" si="127"/>
        <v>0</v>
      </c>
      <c r="AW235" s="1495">
        <f t="shared" si="128"/>
        <v>0</v>
      </c>
      <c r="AX235" s="14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4"/>
      <c r="AV236" s="1495">
        <f t="shared" si="127"/>
        <v>0</v>
      </c>
      <c r="AW236" s="1495">
        <f t="shared" si="128"/>
        <v>0</v>
      </c>
      <c r="AX236" s="14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4"/>
      <c r="AV237" s="1495">
        <f t="shared" si="127"/>
        <v>0</v>
      </c>
      <c r="AW237" s="1495">
        <f t="shared" si="128"/>
        <v>0</v>
      </c>
      <c r="AX237" s="14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4"/>
      <c r="AV238" s="1495">
        <f t="shared" si="127"/>
        <v>0</v>
      </c>
      <c r="AW238" s="1495">
        <f t="shared" si="128"/>
        <v>0</v>
      </c>
      <c r="AX238" s="14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4"/>
      <c r="AV239" s="1495">
        <f t="shared" si="127"/>
        <v>0</v>
      </c>
      <c r="AW239" s="1495">
        <f t="shared" si="128"/>
        <v>0</v>
      </c>
      <c r="AX239" s="14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4"/>
      <c r="AV240" s="1495">
        <f t="shared" si="127"/>
        <v>0</v>
      </c>
      <c r="AW240" s="1495">
        <f t="shared" si="128"/>
        <v>0</v>
      </c>
      <c r="AX240" s="14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4"/>
      <c r="AV241" s="1495">
        <f t="shared" si="127"/>
        <v>0</v>
      </c>
      <c r="AW241" s="1495">
        <f t="shared" si="128"/>
        <v>0</v>
      </c>
      <c r="AX241" s="14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4"/>
      <c r="AV242" s="1495">
        <f t="shared" si="127"/>
        <v>0</v>
      </c>
      <c r="AW242" s="1495">
        <f t="shared" si="128"/>
        <v>0</v>
      </c>
      <c r="AX242" s="14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4"/>
      <c r="AV243" s="1495">
        <f t="shared" si="127"/>
        <v>0</v>
      </c>
      <c r="AW243" s="1495">
        <f t="shared" si="128"/>
        <v>0</v>
      </c>
      <c r="AX243" s="14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4"/>
      <c r="AV244" s="1495">
        <f t="shared" si="127"/>
        <v>0</v>
      </c>
      <c r="AW244" s="1495">
        <f t="shared" si="128"/>
        <v>0</v>
      </c>
      <c r="AX244" s="14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4"/>
      <c r="AV245" s="1495">
        <f t="shared" si="127"/>
        <v>0</v>
      </c>
      <c r="AW245" s="1495">
        <f t="shared" si="128"/>
        <v>0</v>
      </c>
      <c r="AX245" s="14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4"/>
      <c r="AV246" s="1495">
        <f t="shared" si="127"/>
        <v>0</v>
      </c>
      <c r="AW246" s="1495">
        <f t="shared" si="128"/>
        <v>0</v>
      </c>
      <c r="AX246" s="14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4"/>
      <c r="AV247" s="1495">
        <f t="shared" si="127"/>
        <v>0</v>
      </c>
      <c r="AW247" s="1495">
        <f t="shared" si="128"/>
        <v>0</v>
      </c>
      <c r="AX247" s="14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4"/>
      <c r="AV248" s="1495">
        <f t="shared" si="127"/>
        <v>0</v>
      </c>
      <c r="AW248" s="1495">
        <f t="shared" si="128"/>
        <v>0</v>
      </c>
      <c r="AX248" s="14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4"/>
      <c r="AV249" s="1495">
        <f t="shared" si="127"/>
        <v>0</v>
      </c>
      <c r="AW249" s="1495">
        <f t="shared" si="128"/>
        <v>0</v>
      </c>
      <c r="AX249" s="14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4"/>
      <c r="AV250" s="1495">
        <f t="shared" si="127"/>
        <v>0</v>
      </c>
      <c r="AW250" s="1495">
        <f t="shared" si="128"/>
        <v>0</v>
      </c>
      <c r="AX250" s="14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4"/>
      <c r="AV251" s="1495">
        <f t="shared" si="127"/>
        <v>0</v>
      </c>
      <c r="AW251" s="1495">
        <f t="shared" si="128"/>
        <v>0</v>
      </c>
      <c r="AX251" s="14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4"/>
      <c r="AV252" s="1495">
        <f t="shared" si="127"/>
        <v>0</v>
      </c>
      <c r="AW252" s="1495">
        <f t="shared" si="128"/>
        <v>0</v>
      </c>
      <c r="AX252" s="14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4"/>
      <c r="AV253" s="1495">
        <f t="shared" si="127"/>
        <v>0</v>
      </c>
      <c r="AW253" s="1495">
        <f t="shared" si="128"/>
        <v>0</v>
      </c>
      <c r="AX253" s="14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4"/>
      <c r="AV254" s="1495">
        <f t="shared" si="127"/>
        <v>0</v>
      </c>
      <c r="AW254" s="1495">
        <f t="shared" si="128"/>
        <v>0</v>
      </c>
      <c r="AX254" s="14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4"/>
      <c r="AV255" s="1495">
        <f t="shared" si="127"/>
        <v>0</v>
      </c>
      <c r="AW255" s="1495">
        <f t="shared" si="128"/>
        <v>0</v>
      </c>
      <c r="AX255" s="14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4"/>
      <c r="AV256" s="1495">
        <f t="shared" si="127"/>
        <v>0</v>
      </c>
      <c r="AW256" s="1495">
        <f t="shared" si="128"/>
        <v>0</v>
      </c>
      <c r="AX256" s="14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4"/>
      <c r="AV257" s="1495">
        <f t="shared" si="127"/>
        <v>0</v>
      </c>
      <c r="AW257" s="1495">
        <f t="shared" si="128"/>
        <v>0</v>
      </c>
      <c r="AX257" s="14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4"/>
      <c r="AV258" s="1495">
        <f t="shared" si="127"/>
        <v>0</v>
      </c>
      <c r="AW258" s="1495">
        <f t="shared" si="128"/>
        <v>0</v>
      </c>
      <c r="AX258" s="14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4"/>
      <c r="AV259" s="1495">
        <f t="shared" si="127"/>
        <v>0</v>
      </c>
      <c r="AW259" s="1495">
        <f t="shared" si="128"/>
        <v>0</v>
      </c>
      <c r="AX259" s="14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4"/>
      <c r="AV260" s="1495">
        <f t="shared" si="127"/>
        <v>0</v>
      </c>
      <c r="AW260" s="1495">
        <f t="shared" si="128"/>
        <v>0</v>
      </c>
      <c r="AX260" s="14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4"/>
      <c r="AV261" s="1495">
        <f t="shared" si="127"/>
        <v>0</v>
      </c>
      <c r="AW261" s="1495">
        <f t="shared" si="128"/>
        <v>0</v>
      </c>
      <c r="AX261" s="14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4"/>
      <c r="AV262" s="1495">
        <f t="shared" si="127"/>
        <v>0</v>
      </c>
      <c r="AW262" s="1495">
        <f t="shared" si="128"/>
        <v>0</v>
      </c>
      <c r="AX262" s="14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4"/>
      <c r="AV263" s="1495">
        <f t="shared" si="127"/>
        <v>0</v>
      </c>
      <c r="AW263" s="1495">
        <f t="shared" si="128"/>
        <v>0</v>
      </c>
      <c r="AX263" s="14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4"/>
      <c r="AV264" s="1495">
        <f t="shared" si="127"/>
        <v>0</v>
      </c>
      <c r="AW264" s="1495">
        <f t="shared" si="128"/>
        <v>0</v>
      </c>
      <c r="AX264" s="14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4"/>
      <c r="AV265" s="1495">
        <f t="shared" si="127"/>
        <v>0</v>
      </c>
      <c r="AW265" s="1495">
        <f t="shared" si="128"/>
        <v>0</v>
      </c>
      <c r="AX265" s="14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4"/>
      <c r="AV266" s="1495">
        <f t="shared" si="127"/>
        <v>0</v>
      </c>
      <c r="AW266" s="1495">
        <f t="shared" si="128"/>
        <v>0</v>
      </c>
      <c r="AX266" s="14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4"/>
      <c r="AV267" s="1495">
        <f t="shared" si="127"/>
        <v>0</v>
      </c>
      <c r="AW267" s="1495">
        <f t="shared" si="128"/>
        <v>0</v>
      </c>
      <c r="AX267" s="14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4"/>
      <c r="AV268" s="1495">
        <f t="shared" si="127"/>
        <v>0</v>
      </c>
      <c r="AW268" s="1495">
        <f t="shared" si="128"/>
        <v>0</v>
      </c>
      <c r="AX268" s="14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4"/>
      <c r="AV269" s="1495">
        <f t="shared" si="127"/>
        <v>0</v>
      </c>
      <c r="AW269" s="1495">
        <f t="shared" si="128"/>
        <v>0</v>
      </c>
      <c r="AX269" s="14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4"/>
      <c r="AV270" s="1495">
        <f t="shared" si="127"/>
        <v>0</v>
      </c>
      <c r="AW270" s="1495">
        <f t="shared" si="128"/>
        <v>0</v>
      </c>
      <c r="AX270" s="14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4"/>
      <c r="AV271" s="1495">
        <f t="shared" si="127"/>
        <v>0</v>
      </c>
      <c r="AW271" s="1495">
        <f t="shared" si="128"/>
        <v>0</v>
      </c>
      <c r="AX271" s="14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4"/>
      <c r="AV272" s="1495">
        <f t="shared" si="127"/>
        <v>0</v>
      </c>
      <c r="AW272" s="1495">
        <f t="shared" si="128"/>
        <v>0</v>
      </c>
      <c r="AX272" s="14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4"/>
      <c r="AV273" s="1495">
        <f t="shared" si="127"/>
        <v>0</v>
      </c>
      <c r="AW273" s="1495">
        <f t="shared" si="128"/>
        <v>0</v>
      </c>
      <c r="AX273" s="14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4"/>
      <c r="AV274" s="1495">
        <f t="shared" si="127"/>
        <v>0</v>
      </c>
      <c r="AW274" s="1495">
        <f t="shared" si="128"/>
        <v>0</v>
      </c>
      <c r="AX274" s="14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4"/>
      <c r="AV275" s="1495">
        <f t="shared" si="127"/>
        <v>0</v>
      </c>
      <c r="AW275" s="1495">
        <f t="shared" si="128"/>
        <v>0</v>
      </c>
      <c r="AX275" s="14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4"/>
      <c r="AV276" s="1495">
        <f t="shared" si="127"/>
        <v>0</v>
      </c>
      <c r="AW276" s="1495">
        <f t="shared" si="128"/>
        <v>0</v>
      </c>
      <c r="AX276" s="14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4"/>
      <c r="AV277" s="1495">
        <f t="shared" si="127"/>
        <v>0</v>
      </c>
      <c r="AW277" s="1495">
        <f t="shared" si="128"/>
        <v>0</v>
      </c>
      <c r="AX277" s="14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4"/>
      <c r="AV278" s="1495">
        <f t="shared" si="127"/>
        <v>0</v>
      </c>
      <c r="AW278" s="1495">
        <f t="shared" si="128"/>
        <v>0</v>
      </c>
      <c r="AX278" s="14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4"/>
      <c r="AV279" s="1495">
        <f t="shared" si="127"/>
        <v>0</v>
      </c>
      <c r="AW279" s="1495">
        <f t="shared" si="128"/>
        <v>0</v>
      </c>
      <c r="AX279" s="14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4"/>
      <c r="AV280" s="1495">
        <f t="shared" si="127"/>
        <v>0</v>
      </c>
      <c r="AW280" s="1495">
        <f t="shared" si="128"/>
        <v>0</v>
      </c>
      <c r="AX280" s="14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4"/>
      <c r="AV281" s="1495">
        <f t="shared" si="127"/>
        <v>0</v>
      </c>
      <c r="AW281" s="1495">
        <f t="shared" si="128"/>
        <v>0</v>
      </c>
      <c r="AX281" s="14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4"/>
      <c r="AV282" s="1495">
        <f t="shared" si="127"/>
        <v>0</v>
      </c>
      <c r="AW282" s="1495">
        <f t="shared" si="128"/>
        <v>0</v>
      </c>
      <c r="AX282" s="14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4"/>
      <c r="AV283" s="1495">
        <f t="shared" si="127"/>
        <v>0</v>
      </c>
      <c r="AW283" s="1495">
        <f t="shared" si="128"/>
        <v>0</v>
      </c>
      <c r="AX283" s="14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4"/>
      <c r="AV284" s="1495">
        <f t="shared" si="127"/>
        <v>0</v>
      </c>
      <c r="AW284" s="1495">
        <f t="shared" si="128"/>
        <v>0</v>
      </c>
      <c r="AX284" s="14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4"/>
      <c r="AV285" s="1495">
        <f t="shared" si="127"/>
        <v>0</v>
      </c>
      <c r="AW285" s="1495">
        <f t="shared" si="128"/>
        <v>0</v>
      </c>
      <c r="AX285" s="14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4"/>
      <c r="AV286" s="1495">
        <f t="shared" si="127"/>
        <v>0</v>
      </c>
      <c r="AW286" s="1495">
        <f t="shared" si="128"/>
        <v>0</v>
      </c>
      <c r="AX286" s="14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4"/>
      <c r="AV287" s="1495">
        <f t="shared" si="127"/>
        <v>0</v>
      </c>
      <c r="AW287" s="1495">
        <f t="shared" si="128"/>
        <v>0</v>
      </c>
      <c r="AX287" s="14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4"/>
      <c r="AV288" s="1495">
        <f t="shared" si="127"/>
        <v>0</v>
      </c>
      <c r="AW288" s="1495">
        <f t="shared" si="128"/>
        <v>0</v>
      </c>
      <c r="AX288" s="14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4"/>
      <c r="AV289" s="1495">
        <f t="shared" si="127"/>
        <v>0</v>
      </c>
      <c r="AW289" s="1495">
        <f t="shared" si="128"/>
        <v>0</v>
      </c>
      <c r="AX289" s="14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4"/>
      <c r="AV290" s="1495">
        <f t="shared" si="127"/>
        <v>0</v>
      </c>
      <c r="AW290" s="1495">
        <f t="shared" si="128"/>
        <v>0</v>
      </c>
      <c r="AX290" s="14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4"/>
      <c r="AV291" s="1495">
        <f t="shared" si="127"/>
        <v>0</v>
      </c>
      <c r="AW291" s="1495">
        <f t="shared" si="128"/>
        <v>0</v>
      </c>
      <c r="AX291" s="14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4"/>
      <c r="AV292" s="1495">
        <f t="shared" si="127"/>
        <v>0</v>
      </c>
      <c r="AW292" s="1495">
        <f t="shared" si="128"/>
        <v>0</v>
      </c>
      <c r="AX292" s="14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4"/>
      <c r="AV293" s="1495">
        <f t="shared" si="127"/>
        <v>0</v>
      </c>
      <c r="AW293" s="1495">
        <f t="shared" si="128"/>
        <v>0</v>
      </c>
      <c r="AX293" s="14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4"/>
      <c r="AV294" s="1495">
        <f t="shared" si="127"/>
        <v>0</v>
      </c>
      <c r="AW294" s="1495">
        <f t="shared" si="128"/>
        <v>0</v>
      </c>
      <c r="AX294" s="14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4"/>
      <c r="AV295" s="1495">
        <f t="shared" si="127"/>
        <v>0</v>
      </c>
      <c r="AW295" s="1495">
        <f t="shared" si="128"/>
        <v>0</v>
      </c>
      <c r="AX295" s="14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4"/>
      <c r="AV296" s="1495">
        <f t="shared" si="127"/>
        <v>0</v>
      </c>
      <c r="AW296" s="1495">
        <f t="shared" si="128"/>
        <v>0</v>
      </c>
      <c r="AX296" s="14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4"/>
      <c r="AV297" s="1495">
        <f t="shared" si="127"/>
        <v>0</v>
      </c>
      <c r="AW297" s="1495">
        <f t="shared" si="128"/>
        <v>0</v>
      </c>
      <c r="AX297" s="14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4"/>
      <c r="AV298" s="1495">
        <f t="shared" si="127"/>
        <v>0</v>
      </c>
      <c r="AW298" s="1495">
        <f t="shared" si="128"/>
        <v>0</v>
      </c>
      <c r="AX298" s="14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4"/>
      <c r="AV299" s="1495">
        <f t="shared" si="127"/>
        <v>0</v>
      </c>
      <c r="AW299" s="1495">
        <f t="shared" si="128"/>
        <v>0</v>
      </c>
      <c r="AX299" s="14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4"/>
      <c r="AV300" s="1495">
        <f t="shared" si="127"/>
        <v>0</v>
      </c>
      <c r="AW300" s="1495">
        <f t="shared" si="128"/>
        <v>0</v>
      </c>
      <c r="AX300" s="14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4"/>
      <c r="AV301" s="1495">
        <f t="shared" si="127"/>
        <v>0</v>
      </c>
      <c r="AW301" s="1495">
        <f t="shared" si="128"/>
        <v>0</v>
      </c>
      <c r="AX301" s="14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4"/>
      <c r="AV302" s="1495">
        <f t="shared" si="127"/>
        <v>0</v>
      </c>
      <c r="AW302" s="1495">
        <f t="shared" si="128"/>
        <v>0</v>
      </c>
      <c r="AX302" s="14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4"/>
      <c r="AV303" s="1495">
        <f t="shared" ref="AV303:AV334" si="178">A303</f>
        <v>0</v>
      </c>
      <c r="AW303" s="1495">
        <f t="shared" ref="AW303:AW334" si="179">B303</f>
        <v>0</v>
      </c>
      <c r="AX303" s="14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4"/>
      <c r="AV304" s="1495">
        <f t="shared" si="178"/>
        <v>0</v>
      </c>
      <c r="AW304" s="1495">
        <f t="shared" si="179"/>
        <v>0</v>
      </c>
      <c r="AX304" s="14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4"/>
      <c r="AV305" s="1495">
        <f t="shared" si="178"/>
        <v>0</v>
      </c>
      <c r="AW305" s="1495">
        <f t="shared" si="179"/>
        <v>0</v>
      </c>
      <c r="AX305" s="14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4"/>
      <c r="AV306" s="1495">
        <f t="shared" si="178"/>
        <v>0</v>
      </c>
      <c r="AW306" s="1495">
        <f t="shared" si="179"/>
        <v>0</v>
      </c>
      <c r="AX306" s="14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4"/>
      <c r="AV307" s="1495">
        <f t="shared" si="178"/>
        <v>0</v>
      </c>
      <c r="AW307" s="1495">
        <f t="shared" si="179"/>
        <v>0</v>
      </c>
      <c r="AX307" s="14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4"/>
      <c r="AV308" s="1495">
        <f t="shared" si="178"/>
        <v>0</v>
      </c>
      <c r="AW308" s="1495">
        <f t="shared" si="179"/>
        <v>0</v>
      </c>
      <c r="AX308" s="14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4"/>
      <c r="AV309" s="1495">
        <f t="shared" si="178"/>
        <v>0</v>
      </c>
      <c r="AW309" s="1495">
        <f t="shared" si="179"/>
        <v>0</v>
      </c>
      <c r="AX309" s="14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4"/>
      <c r="AV310" s="1495">
        <f t="shared" si="178"/>
        <v>0</v>
      </c>
      <c r="AW310" s="1495">
        <f t="shared" si="179"/>
        <v>0</v>
      </c>
      <c r="AX310" s="14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4"/>
      <c r="AV311" s="1495">
        <f t="shared" si="178"/>
        <v>0</v>
      </c>
      <c r="AW311" s="1495">
        <f t="shared" si="179"/>
        <v>0</v>
      </c>
      <c r="AX311" s="14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4"/>
      <c r="AV312" s="1495">
        <f t="shared" si="178"/>
        <v>0</v>
      </c>
      <c r="AW312" s="1495">
        <f t="shared" si="179"/>
        <v>0</v>
      </c>
      <c r="AX312" s="14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4"/>
      <c r="AV313" s="1495">
        <f t="shared" si="178"/>
        <v>0</v>
      </c>
      <c r="AW313" s="1495">
        <f t="shared" si="179"/>
        <v>0</v>
      </c>
      <c r="AX313" s="14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4"/>
      <c r="AV314" s="1495">
        <f t="shared" si="178"/>
        <v>0</v>
      </c>
      <c r="AW314" s="1495">
        <f t="shared" si="179"/>
        <v>0</v>
      </c>
      <c r="AX314" s="14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4"/>
      <c r="AV315" s="1495">
        <f t="shared" si="178"/>
        <v>0</v>
      </c>
      <c r="AW315" s="1495">
        <f t="shared" si="179"/>
        <v>0</v>
      </c>
      <c r="AX315" s="14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4"/>
      <c r="AV316" s="1495">
        <f t="shared" si="178"/>
        <v>0</v>
      </c>
      <c r="AW316" s="1495">
        <f t="shared" si="179"/>
        <v>0</v>
      </c>
      <c r="AX316" s="14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4"/>
      <c r="AV317" s="1495">
        <f t="shared" si="178"/>
        <v>0</v>
      </c>
      <c r="AW317" s="1495">
        <f t="shared" si="179"/>
        <v>0</v>
      </c>
      <c r="AX317" s="14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4"/>
      <c r="AV318" s="1495">
        <f t="shared" si="178"/>
        <v>0</v>
      </c>
      <c r="AW318" s="1495">
        <f t="shared" si="179"/>
        <v>0</v>
      </c>
      <c r="AX318" s="14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4"/>
      <c r="AV319" s="1495">
        <f t="shared" si="178"/>
        <v>0</v>
      </c>
      <c r="AW319" s="1495">
        <f t="shared" si="179"/>
        <v>0</v>
      </c>
      <c r="AX319" s="14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4"/>
      <c r="AV320" s="1495">
        <f t="shared" si="178"/>
        <v>0</v>
      </c>
      <c r="AW320" s="1495">
        <f t="shared" si="179"/>
        <v>0</v>
      </c>
      <c r="AX320" s="14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4"/>
      <c r="AV321" s="1495">
        <f t="shared" si="178"/>
        <v>0</v>
      </c>
      <c r="AW321" s="1495">
        <f t="shared" si="179"/>
        <v>0</v>
      </c>
      <c r="AX321" s="14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4"/>
      <c r="AV322" s="1495">
        <f t="shared" si="178"/>
        <v>0</v>
      </c>
      <c r="AW322" s="1495">
        <f t="shared" si="179"/>
        <v>0</v>
      </c>
      <c r="AX322" s="14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4"/>
      <c r="AV323" s="1495">
        <f t="shared" si="178"/>
        <v>0</v>
      </c>
      <c r="AW323" s="1495">
        <f t="shared" si="179"/>
        <v>0</v>
      </c>
      <c r="AX323" s="14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4"/>
      <c r="AV324" s="1495">
        <f t="shared" si="178"/>
        <v>0</v>
      </c>
      <c r="AW324" s="1495">
        <f t="shared" si="179"/>
        <v>0</v>
      </c>
      <c r="AX324" s="14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4"/>
      <c r="AV325" s="1495">
        <f t="shared" si="178"/>
        <v>0</v>
      </c>
      <c r="AW325" s="1495">
        <f t="shared" si="179"/>
        <v>0</v>
      </c>
      <c r="AX325" s="14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4"/>
      <c r="AV326" s="1495">
        <f t="shared" si="178"/>
        <v>0</v>
      </c>
      <c r="AW326" s="1495">
        <f t="shared" si="179"/>
        <v>0</v>
      </c>
      <c r="AX326" s="14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4"/>
      <c r="AV327" s="1495">
        <f t="shared" si="178"/>
        <v>0</v>
      </c>
      <c r="AW327" s="1495">
        <f t="shared" si="179"/>
        <v>0</v>
      </c>
      <c r="AX327" s="14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4"/>
      <c r="AV328" s="1495">
        <f t="shared" si="178"/>
        <v>0</v>
      </c>
      <c r="AW328" s="1495">
        <f t="shared" si="179"/>
        <v>0</v>
      </c>
      <c r="AX328" s="14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4"/>
      <c r="AV329" s="1495">
        <f t="shared" si="178"/>
        <v>0</v>
      </c>
      <c r="AW329" s="1495">
        <f t="shared" si="179"/>
        <v>0</v>
      </c>
      <c r="AX329" s="14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4"/>
      <c r="AV330" s="1495">
        <f t="shared" si="178"/>
        <v>0</v>
      </c>
      <c r="AW330" s="1495">
        <f t="shared" si="179"/>
        <v>0</v>
      </c>
      <c r="AX330" s="14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4"/>
      <c r="AV331" s="1495">
        <f t="shared" si="178"/>
        <v>0</v>
      </c>
      <c r="AW331" s="1495">
        <f t="shared" si="179"/>
        <v>0</v>
      </c>
      <c r="AX331" s="14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4"/>
      <c r="AV332" s="1495">
        <f t="shared" si="178"/>
        <v>0</v>
      </c>
      <c r="AW332" s="1495">
        <f t="shared" si="179"/>
        <v>0</v>
      </c>
      <c r="AX332" s="14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4"/>
      <c r="AV333" s="1495">
        <f t="shared" si="178"/>
        <v>0</v>
      </c>
      <c r="AW333" s="1495">
        <f t="shared" si="179"/>
        <v>0</v>
      </c>
      <c r="AX333" s="14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4"/>
      <c r="AV334" s="1495">
        <f t="shared" si="178"/>
        <v>0</v>
      </c>
      <c r="AW334" s="1495">
        <f t="shared" si="179"/>
        <v>0</v>
      </c>
      <c r="AX334" s="14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4"/>
      <c r="AV335" s="1495">
        <f t="shared" ref="AV335:AV366" si="207">A335</f>
        <v>0</v>
      </c>
      <c r="AW335" s="1495">
        <f t="shared" ref="AW335:AW366" si="208">B335</f>
        <v>0</v>
      </c>
      <c r="AX335" s="14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4"/>
      <c r="AV336" s="1495">
        <f t="shared" si="207"/>
        <v>0</v>
      </c>
      <c r="AW336" s="1495">
        <f t="shared" si="208"/>
        <v>0</v>
      </c>
      <c r="AX336" s="14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4"/>
      <c r="AV337" s="1495">
        <f t="shared" si="207"/>
        <v>0</v>
      </c>
      <c r="AW337" s="1495">
        <f t="shared" si="208"/>
        <v>0</v>
      </c>
      <c r="AX337" s="14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4"/>
      <c r="AV338" s="1495">
        <f t="shared" si="207"/>
        <v>0</v>
      </c>
      <c r="AW338" s="1495">
        <f t="shared" si="208"/>
        <v>0</v>
      </c>
      <c r="AX338" s="14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4"/>
      <c r="AV339" s="1495">
        <f t="shared" si="207"/>
        <v>0</v>
      </c>
      <c r="AW339" s="1495">
        <f t="shared" si="208"/>
        <v>0</v>
      </c>
      <c r="AX339" s="14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4"/>
      <c r="AV340" s="1495">
        <f t="shared" si="207"/>
        <v>0</v>
      </c>
      <c r="AW340" s="1495">
        <f t="shared" si="208"/>
        <v>0</v>
      </c>
      <c r="AX340" s="14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4"/>
      <c r="AV341" s="1495">
        <f t="shared" si="207"/>
        <v>0</v>
      </c>
      <c r="AW341" s="1495">
        <f t="shared" si="208"/>
        <v>0</v>
      </c>
      <c r="AX341" s="14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4"/>
      <c r="AV342" s="1495">
        <f t="shared" si="207"/>
        <v>0</v>
      </c>
      <c r="AW342" s="1495">
        <f t="shared" si="208"/>
        <v>0</v>
      </c>
      <c r="AX342" s="14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4"/>
      <c r="AV343" s="1495">
        <f t="shared" si="207"/>
        <v>0</v>
      </c>
      <c r="AW343" s="1495">
        <f t="shared" si="208"/>
        <v>0</v>
      </c>
      <c r="AX343" s="14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4"/>
      <c r="AV344" s="1495">
        <f t="shared" si="207"/>
        <v>0</v>
      </c>
      <c r="AW344" s="1495">
        <f t="shared" si="208"/>
        <v>0</v>
      </c>
      <c r="AX344" s="14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4"/>
      <c r="AV345" s="1495">
        <f t="shared" si="207"/>
        <v>0</v>
      </c>
      <c r="AW345" s="1495">
        <f t="shared" si="208"/>
        <v>0</v>
      </c>
      <c r="AX345" s="14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4"/>
      <c r="AV346" s="1495">
        <f t="shared" si="207"/>
        <v>0</v>
      </c>
      <c r="AW346" s="1495">
        <f t="shared" si="208"/>
        <v>0</v>
      </c>
      <c r="AX346" s="14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4"/>
      <c r="AV347" s="1495">
        <f t="shared" si="207"/>
        <v>0</v>
      </c>
      <c r="AW347" s="1495">
        <f t="shared" si="208"/>
        <v>0</v>
      </c>
      <c r="AX347" s="14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4"/>
      <c r="AV348" s="1495">
        <f t="shared" si="207"/>
        <v>0</v>
      </c>
      <c r="AW348" s="1495">
        <f t="shared" si="208"/>
        <v>0</v>
      </c>
      <c r="AX348" s="14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4"/>
      <c r="AV349" s="1495">
        <f t="shared" si="207"/>
        <v>0</v>
      </c>
      <c r="AW349" s="1495">
        <f t="shared" si="208"/>
        <v>0</v>
      </c>
      <c r="AX349" s="14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4"/>
      <c r="AV350" s="1495">
        <f t="shared" si="207"/>
        <v>0</v>
      </c>
      <c r="AW350" s="1495">
        <f t="shared" si="208"/>
        <v>0</v>
      </c>
      <c r="AX350" s="14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4"/>
      <c r="AV351" s="1495">
        <f t="shared" si="207"/>
        <v>0</v>
      </c>
      <c r="AW351" s="1495">
        <f t="shared" si="208"/>
        <v>0</v>
      </c>
      <c r="AX351" s="14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4"/>
      <c r="AV352" s="1495">
        <f t="shared" si="207"/>
        <v>0</v>
      </c>
      <c r="AW352" s="1495">
        <f t="shared" si="208"/>
        <v>0</v>
      </c>
      <c r="AX352" s="14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4"/>
      <c r="AV353" s="1495">
        <f t="shared" si="207"/>
        <v>0</v>
      </c>
      <c r="AW353" s="1495">
        <f t="shared" si="208"/>
        <v>0</v>
      </c>
      <c r="AX353" s="14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4"/>
      <c r="AV354" s="1495">
        <f t="shared" si="207"/>
        <v>0</v>
      </c>
      <c r="AW354" s="1495">
        <f t="shared" si="208"/>
        <v>0</v>
      </c>
      <c r="AX354" s="14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4"/>
      <c r="AV355" s="1495">
        <f t="shared" si="207"/>
        <v>0</v>
      </c>
      <c r="AW355" s="1495">
        <f t="shared" si="208"/>
        <v>0</v>
      </c>
      <c r="AX355" s="14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4"/>
      <c r="AV356" s="1495">
        <f t="shared" si="207"/>
        <v>0</v>
      </c>
      <c r="AW356" s="1495">
        <f t="shared" si="208"/>
        <v>0</v>
      </c>
      <c r="AX356" s="14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4"/>
      <c r="AV357" s="1495">
        <f t="shared" si="207"/>
        <v>0</v>
      </c>
      <c r="AW357" s="1495">
        <f t="shared" si="208"/>
        <v>0</v>
      </c>
      <c r="AX357" s="14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4"/>
      <c r="AV358" s="1495">
        <f t="shared" si="207"/>
        <v>0</v>
      </c>
      <c r="AW358" s="1495">
        <f t="shared" si="208"/>
        <v>0</v>
      </c>
      <c r="AX358" s="14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4"/>
      <c r="AV359" s="1495">
        <f t="shared" si="207"/>
        <v>0</v>
      </c>
      <c r="AW359" s="1495">
        <f t="shared" si="208"/>
        <v>0</v>
      </c>
      <c r="AX359" s="14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4"/>
      <c r="AV360" s="1495">
        <f t="shared" si="207"/>
        <v>0</v>
      </c>
      <c r="AW360" s="1495">
        <f t="shared" si="208"/>
        <v>0</v>
      </c>
      <c r="AX360" s="14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4"/>
      <c r="AV361" s="1495">
        <f t="shared" si="207"/>
        <v>0</v>
      </c>
      <c r="AW361" s="1495">
        <f t="shared" si="208"/>
        <v>0</v>
      </c>
      <c r="AX361" s="14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4"/>
      <c r="AV362" s="1495">
        <f t="shared" si="207"/>
        <v>0</v>
      </c>
      <c r="AW362" s="1495">
        <f t="shared" si="208"/>
        <v>0</v>
      </c>
      <c r="AX362" s="14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4"/>
      <c r="AV363" s="1495">
        <f t="shared" si="207"/>
        <v>0</v>
      </c>
      <c r="AW363" s="1495">
        <f t="shared" si="208"/>
        <v>0</v>
      </c>
      <c r="AX363" s="14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4"/>
      <c r="AV364" s="1495">
        <f t="shared" si="207"/>
        <v>0</v>
      </c>
      <c r="AW364" s="1495">
        <f t="shared" si="208"/>
        <v>0</v>
      </c>
      <c r="AX364" s="14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4"/>
      <c r="AV365" s="1495">
        <f t="shared" si="207"/>
        <v>0</v>
      </c>
      <c r="AW365" s="1495">
        <f t="shared" si="208"/>
        <v>0</v>
      </c>
      <c r="AX365" s="14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4"/>
      <c r="AV366" s="1495">
        <f t="shared" si="207"/>
        <v>0</v>
      </c>
      <c r="AW366" s="1495">
        <f t="shared" si="208"/>
        <v>0</v>
      </c>
      <c r="AX366" s="14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4"/>
      <c r="AV367" s="1495">
        <f t="shared" ref="AV367:AV397" si="236">A367</f>
        <v>0</v>
      </c>
      <c r="AW367" s="1495">
        <f t="shared" ref="AW367:AW397" si="237">B367</f>
        <v>0</v>
      </c>
      <c r="AX367" s="14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4"/>
      <c r="AV368" s="1495">
        <f t="shared" si="236"/>
        <v>0</v>
      </c>
      <c r="AW368" s="1495">
        <f t="shared" si="237"/>
        <v>0</v>
      </c>
      <c r="AX368" s="14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4"/>
      <c r="AV369" s="1495">
        <f t="shared" si="236"/>
        <v>0</v>
      </c>
      <c r="AW369" s="1495">
        <f t="shared" si="237"/>
        <v>0</v>
      </c>
      <c r="AX369" s="14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4"/>
      <c r="AV370" s="1495">
        <f t="shared" si="236"/>
        <v>0</v>
      </c>
      <c r="AW370" s="1495">
        <f t="shared" si="237"/>
        <v>0</v>
      </c>
      <c r="AX370" s="14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4"/>
      <c r="AV371" s="1495">
        <f t="shared" si="236"/>
        <v>0</v>
      </c>
      <c r="AW371" s="1495">
        <f t="shared" si="237"/>
        <v>0</v>
      </c>
      <c r="AX371" s="14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4"/>
      <c r="AV372" s="1495">
        <f t="shared" si="236"/>
        <v>0</v>
      </c>
      <c r="AW372" s="1495">
        <f t="shared" si="237"/>
        <v>0</v>
      </c>
      <c r="AX372" s="14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4"/>
      <c r="AV373" s="1495">
        <f t="shared" si="236"/>
        <v>0</v>
      </c>
      <c r="AW373" s="1495">
        <f t="shared" si="237"/>
        <v>0</v>
      </c>
      <c r="AX373" s="14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4"/>
      <c r="AV374" s="1495">
        <f t="shared" si="236"/>
        <v>0</v>
      </c>
      <c r="AW374" s="1495">
        <f t="shared" si="237"/>
        <v>0</v>
      </c>
      <c r="AX374" s="14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4"/>
      <c r="AV375" s="1495">
        <f t="shared" si="236"/>
        <v>0</v>
      </c>
      <c r="AW375" s="1495">
        <f t="shared" si="237"/>
        <v>0</v>
      </c>
      <c r="AX375" s="14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4"/>
      <c r="AV376" s="1495">
        <f t="shared" si="236"/>
        <v>0</v>
      </c>
      <c r="AW376" s="1495">
        <f t="shared" si="237"/>
        <v>0</v>
      </c>
      <c r="AX376" s="14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4"/>
      <c r="AV377" s="1495">
        <f t="shared" si="236"/>
        <v>0</v>
      </c>
      <c r="AW377" s="1495">
        <f t="shared" si="237"/>
        <v>0</v>
      </c>
      <c r="AX377" s="14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4"/>
      <c r="AV378" s="1495">
        <f t="shared" si="236"/>
        <v>0</v>
      </c>
      <c r="AW378" s="1495">
        <f t="shared" si="237"/>
        <v>0</v>
      </c>
      <c r="AX378" s="14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4"/>
      <c r="AV379" s="1495">
        <f t="shared" si="236"/>
        <v>0</v>
      </c>
      <c r="AW379" s="1495">
        <f t="shared" si="237"/>
        <v>0</v>
      </c>
      <c r="AX379" s="14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4"/>
      <c r="AV380" s="1495">
        <f t="shared" si="236"/>
        <v>0</v>
      </c>
      <c r="AW380" s="1495">
        <f t="shared" si="237"/>
        <v>0</v>
      </c>
      <c r="AX380" s="14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4"/>
      <c r="AV381" s="1495">
        <f t="shared" si="236"/>
        <v>0</v>
      </c>
      <c r="AW381" s="1495">
        <f t="shared" si="237"/>
        <v>0</v>
      </c>
      <c r="AX381" s="14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4"/>
      <c r="AV382" s="1495">
        <f t="shared" si="236"/>
        <v>0</v>
      </c>
      <c r="AW382" s="1495">
        <f t="shared" si="237"/>
        <v>0</v>
      </c>
      <c r="AX382" s="14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4"/>
      <c r="AV383" s="1495">
        <f t="shared" si="236"/>
        <v>0</v>
      </c>
      <c r="AW383" s="1495">
        <f t="shared" si="237"/>
        <v>0</v>
      </c>
      <c r="AX383" s="14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4"/>
      <c r="AV384" s="1495">
        <f t="shared" si="236"/>
        <v>0</v>
      </c>
      <c r="AW384" s="1495">
        <f t="shared" si="237"/>
        <v>0</v>
      </c>
      <c r="AX384" s="14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4"/>
      <c r="AV385" s="1495">
        <f t="shared" si="236"/>
        <v>0</v>
      </c>
      <c r="AW385" s="1495">
        <f t="shared" si="237"/>
        <v>0</v>
      </c>
      <c r="AX385" s="14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4"/>
      <c r="AV386" s="1495">
        <f t="shared" si="236"/>
        <v>0</v>
      </c>
      <c r="AW386" s="1495">
        <f t="shared" si="237"/>
        <v>0</v>
      </c>
      <c r="AX386" s="14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4"/>
      <c r="AV387" s="1495">
        <f t="shared" si="236"/>
        <v>0</v>
      </c>
      <c r="AW387" s="1495">
        <f t="shared" si="237"/>
        <v>0</v>
      </c>
      <c r="AX387" s="14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4"/>
      <c r="AV388" s="1495">
        <f t="shared" si="236"/>
        <v>0</v>
      </c>
      <c r="AW388" s="1495">
        <f t="shared" si="237"/>
        <v>0</v>
      </c>
      <c r="AX388" s="14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4"/>
      <c r="AV389" s="1495">
        <f t="shared" si="236"/>
        <v>0</v>
      </c>
      <c r="AW389" s="1495">
        <f t="shared" si="237"/>
        <v>0</v>
      </c>
      <c r="AX389" s="14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4"/>
      <c r="AV390" s="1495">
        <f t="shared" si="236"/>
        <v>0</v>
      </c>
      <c r="AW390" s="1495">
        <f t="shared" si="237"/>
        <v>0</v>
      </c>
      <c r="AX390" s="14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4"/>
      <c r="AV391" s="1495">
        <f t="shared" si="236"/>
        <v>0</v>
      </c>
      <c r="AW391" s="1495">
        <f t="shared" si="237"/>
        <v>0</v>
      </c>
      <c r="AX391" s="14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4"/>
      <c r="AV392" s="1495">
        <f t="shared" si="236"/>
        <v>0</v>
      </c>
      <c r="AW392" s="1495">
        <f t="shared" si="237"/>
        <v>0</v>
      </c>
      <c r="AX392" s="14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4"/>
      <c r="AV393" s="1495">
        <f t="shared" si="236"/>
        <v>0</v>
      </c>
      <c r="AW393" s="1495">
        <f t="shared" si="237"/>
        <v>0</v>
      </c>
      <c r="AX393" s="14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4"/>
      <c r="AV394" s="1495">
        <f t="shared" si="236"/>
        <v>0</v>
      </c>
      <c r="AW394" s="1495">
        <f t="shared" si="237"/>
        <v>0</v>
      </c>
      <c r="AX394" s="14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4"/>
      <c r="AV395" s="1495">
        <f t="shared" si="236"/>
        <v>0</v>
      </c>
      <c r="AW395" s="1495">
        <f t="shared" si="237"/>
        <v>0</v>
      </c>
      <c r="AX395" s="14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4"/>
      <c r="AV396" s="1495">
        <f t="shared" si="236"/>
        <v>0</v>
      </c>
      <c r="AW396" s="1495">
        <f t="shared" si="237"/>
        <v>0</v>
      </c>
      <c r="AX396" s="14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4"/>
      <c r="AV397" s="1495">
        <f t="shared" si="236"/>
        <v>0</v>
      </c>
      <c r="AW397" s="1495">
        <f t="shared" si="237"/>
        <v>0</v>
      </c>
      <c r="AX397" s="14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4"/>
      <c r="AV398" s="1495">
        <f t="shared" ref="AV398:AV492" si="243">A398</f>
        <v>0</v>
      </c>
      <c r="AW398" s="1495">
        <f t="shared" ref="AW398:AW492" si="244">B398</f>
        <v>0</v>
      </c>
      <c r="AX398" s="14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4"/>
      <c r="AV399" s="1495">
        <f t="shared" si="243"/>
        <v>0</v>
      </c>
      <c r="AW399" s="1495">
        <f t="shared" si="244"/>
        <v>0</v>
      </c>
      <c r="AX399" s="14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4"/>
      <c r="AV400" s="1495">
        <f t="shared" si="243"/>
        <v>0</v>
      </c>
      <c r="AW400" s="1495">
        <f t="shared" si="244"/>
        <v>0</v>
      </c>
      <c r="AX400" s="14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4"/>
      <c r="AV401" s="1495">
        <f t="shared" si="243"/>
        <v>0</v>
      </c>
      <c r="AW401" s="1495">
        <f t="shared" si="244"/>
        <v>0</v>
      </c>
      <c r="AX401" s="14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4"/>
      <c r="AV402" s="1495">
        <f t="shared" si="243"/>
        <v>0</v>
      </c>
      <c r="AW402" s="1495">
        <f t="shared" si="244"/>
        <v>0</v>
      </c>
      <c r="AX402" s="14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4"/>
      <c r="AV403" s="1495">
        <f t="shared" si="243"/>
        <v>0</v>
      </c>
      <c r="AW403" s="1495">
        <f t="shared" si="244"/>
        <v>0</v>
      </c>
      <c r="AX403" s="14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4"/>
      <c r="AV404" s="1495">
        <f t="shared" si="243"/>
        <v>0</v>
      </c>
      <c r="AW404" s="1495">
        <f t="shared" si="244"/>
        <v>0</v>
      </c>
      <c r="AX404" s="14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4"/>
      <c r="AV405" s="1495">
        <f t="shared" si="243"/>
        <v>0</v>
      </c>
      <c r="AW405" s="1495">
        <f t="shared" si="244"/>
        <v>0</v>
      </c>
      <c r="AX405" s="14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4"/>
      <c r="AV406" s="1495">
        <f t="shared" si="243"/>
        <v>0</v>
      </c>
      <c r="AW406" s="1495">
        <f t="shared" si="244"/>
        <v>0</v>
      </c>
      <c r="AX406" s="14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4"/>
      <c r="AV407" s="1495">
        <f t="shared" si="243"/>
        <v>0</v>
      </c>
      <c r="AW407" s="1495">
        <f t="shared" si="244"/>
        <v>0</v>
      </c>
      <c r="AX407" s="14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4"/>
      <c r="AV408" s="1495">
        <f t="shared" si="243"/>
        <v>0</v>
      </c>
      <c r="AW408" s="1495">
        <f t="shared" si="244"/>
        <v>0</v>
      </c>
      <c r="AX408" s="14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4"/>
      <c r="AV409" s="1495">
        <f t="shared" si="243"/>
        <v>0</v>
      </c>
      <c r="AW409" s="1495">
        <f t="shared" si="244"/>
        <v>0</v>
      </c>
      <c r="AX409" s="14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4"/>
      <c r="AV410" s="1495">
        <f t="shared" si="243"/>
        <v>0</v>
      </c>
      <c r="AW410" s="1495">
        <f t="shared" si="244"/>
        <v>0</v>
      </c>
      <c r="AX410" s="14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4"/>
      <c r="AV411" s="1495">
        <f t="shared" si="243"/>
        <v>0</v>
      </c>
      <c r="AW411" s="1495">
        <f t="shared" si="244"/>
        <v>0</v>
      </c>
      <c r="AX411" s="14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4"/>
      <c r="AV412" s="1495">
        <f t="shared" si="243"/>
        <v>0</v>
      </c>
      <c r="AW412" s="1495">
        <f t="shared" si="244"/>
        <v>0</v>
      </c>
      <c r="AX412" s="14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4"/>
      <c r="AV413" s="1495">
        <f t="shared" si="243"/>
        <v>0</v>
      </c>
      <c r="AW413" s="1495">
        <f t="shared" si="244"/>
        <v>0</v>
      </c>
      <c r="AX413" s="14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4"/>
      <c r="AV414" s="1495">
        <f t="shared" si="243"/>
        <v>0</v>
      </c>
      <c r="AW414" s="1495">
        <f t="shared" si="244"/>
        <v>0</v>
      </c>
      <c r="AX414" s="14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4"/>
      <c r="AV415" s="1495">
        <f t="shared" si="243"/>
        <v>0</v>
      </c>
      <c r="AW415" s="1495">
        <f t="shared" si="244"/>
        <v>0</v>
      </c>
      <c r="AX415" s="14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4"/>
      <c r="AV416" s="1495">
        <f t="shared" si="243"/>
        <v>0</v>
      </c>
      <c r="AW416" s="1495">
        <f t="shared" si="244"/>
        <v>0</v>
      </c>
      <c r="AX416" s="14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4"/>
      <c r="AV417" s="1495">
        <f t="shared" si="243"/>
        <v>0</v>
      </c>
      <c r="AW417" s="1495">
        <f t="shared" si="244"/>
        <v>0</v>
      </c>
      <c r="AX417" s="14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4"/>
      <c r="AV418" s="1495">
        <f t="shared" si="243"/>
        <v>0</v>
      </c>
      <c r="AW418" s="1495">
        <f t="shared" si="244"/>
        <v>0</v>
      </c>
      <c r="AX418" s="14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4"/>
      <c r="AV419" s="1495">
        <f t="shared" si="243"/>
        <v>0</v>
      </c>
      <c r="AW419" s="1495">
        <f t="shared" si="244"/>
        <v>0</v>
      </c>
      <c r="AX419" s="14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4"/>
      <c r="AV420" s="1495">
        <f t="shared" si="243"/>
        <v>0</v>
      </c>
      <c r="AW420" s="1495">
        <f t="shared" si="244"/>
        <v>0</v>
      </c>
      <c r="AX420" s="14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4"/>
      <c r="AV421" s="1495">
        <f t="shared" si="243"/>
        <v>0</v>
      </c>
      <c r="AW421" s="1495">
        <f t="shared" si="244"/>
        <v>0</v>
      </c>
      <c r="AX421" s="14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4"/>
      <c r="AV422" s="1495">
        <f t="shared" si="243"/>
        <v>0</v>
      </c>
      <c r="AW422" s="1495">
        <f t="shared" si="244"/>
        <v>0</v>
      </c>
      <c r="AX422" s="14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4"/>
      <c r="AV423" s="1495">
        <f t="shared" si="243"/>
        <v>0</v>
      </c>
      <c r="AW423" s="1495">
        <f t="shared" si="244"/>
        <v>0</v>
      </c>
      <c r="AX423" s="14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4"/>
      <c r="AV424" s="1495">
        <f t="shared" si="243"/>
        <v>0</v>
      </c>
      <c r="AW424" s="1495">
        <f t="shared" si="244"/>
        <v>0</v>
      </c>
      <c r="AX424" s="14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4"/>
      <c r="AV425" s="1495">
        <f t="shared" si="243"/>
        <v>0</v>
      </c>
      <c r="AW425" s="1495">
        <f t="shared" si="244"/>
        <v>0</v>
      </c>
      <c r="AX425" s="14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4"/>
      <c r="AV426" s="1495">
        <f t="shared" si="243"/>
        <v>0</v>
      </c>
      <c r="AW426" s="1495">
        <f t="shared" si="244"/>
        <v>0</v>
      </c>
      <c r="AX426" s="14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4"/>
      <c r="AV427" s="1495">
        <f t="shared" si="243"/>
        <v>0</v>
      </c>
      <c r="AW427" s="1495">
        <f t="shared" si="244"/>
        <v>0</v>
      </c>
      <c r="AX427" s="14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4"/>
      <c r="AV428" s="1495">
        <f t="shared" si="243"/>
        <v>0</v>
      </c>
      <c r="AW428" s="1495">
        <f t="shared" si="244"/>
        <v>0</v>
      </c>
      <c r="AX428" s="14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4"/>
      <c r="AV429" s="1495">
        <f t="shared" si="243"/>
        <v>0</v>
      </c>
      <c r="AW429" s="1495">
        <f t="shared" si="244"/>
        <v>0</v>
      </c>
      <c r="AX429" s="14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4"/>
      <c r="AV430" s="1495">
        <f t="shared" si="243"/>
        <v>0</v>
      </c>
      <c r="AW430" s="1495">
        <f t="shared" si="244"/>
        <v>0</v>
      </c>
      <c r="AX430" s="14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4"/>
      <c r="AV431" s="1495">
        <f t="shared" si="243"/>
        <v>0</v>
      </c>
      <c r="AW431" s="1495">
        <f t="shared" si="244"/>
        <v>0</v>
      </c>
      <c r="AX431" s="14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4"/>
      <c r="AV432" s="1495">
        <f t="shared" si="243"/>
        <v>0</v>
      </c>
      <c r="AW432" s="1495">
        <f t="shared" si="244"/>
        <v>0</v>
      </c>
      <c r="AX432" s="14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4"/>
      <c r="AV433" s="1495">
        <f t="shared" si="243"/>
        <v>0</v>
      </c>
      <c r="AW433" s="1495">
        <f t="shared" si="244"/>
        <v>0</v>
      </c>
      <c r="AX433" s="14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4"/>
      <c r="AV434" s="1495">
        <f t="shared" si="243"/>
        <v>0</v>
      </c>
      <c r="AW434" s="1495">
        <f t="shared" si="244"/>
        <v>0</v>
      </c>
      <c r="AX434" s="14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4"/>
      <c r="AV435" s="1495">
        <f t="shared" si="243"/>
        <v>0</v>
      </c>
      <c r="AW435" s="1495">
        <f t="shared" si="244"/>
        <v>0</v>
      </c>
      <c r="AX435" s="14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4"/>
      <c r="AV436" s="1495">
        <f t="shared" si="243"/>
        <v>0</v>
      </c>
      <c r="AW436" s="1495">
        <f t="shared" si="244"/>
        <v>0</v>
      </c>
      <c r="AX436" s="14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4"/>
      <c r="AV437" s="1495">
        <f t="shared" si="243"/>
        <v>0</v>
      </c>
      <c r="AW437" s="1495">
        <f t="shared" si="244"/>
        <v>0</v>
      </c>
      <c r="AX437" s="14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4"/>
      <c r="AV438" s="1495">
        <f t="shared" si="243"/>
        <v>0</v>
      </c>
      <c r="AW438" s="1495">
        <f t="shared" si="244"/>
        <v>0</v>
      </c>
      <c r="AX438" s="14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4"/>
      <c r="AV439" s="1495">
        <f t="shared" si="243"/>
        <v>0</v>
      </c>
      <c r="AW439" s="1495">
        <f t="shared" si="244"/>
        <v>0</v>
      </c>
      <c r="AX439" s="14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4"/>
      <c r="AV440" s="1495">
        <f t="shared" si="243"/>
        <v>0</v>
      </c>
      <c r="AW440" s="1495">
        <f t="shared" si="244"/>
        <v>0</v>
      </c>
      <c r="AX440" s="14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4"/>
      <c r="AV441" s="1495">
        <f t="shared" si="243"/>
        <v>0</v>
      </c>
      <c r="AW441" s="1495">
        <f t="shared" si="244"/>
        <v>0</v>
      </c>
      <c r="AX441" s="14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4"/>
      <c r="AV442" s="1495">
        <f t="shared" si="243"/>
        <v>0</v>
      </c>
      <c r="AW442" s="1495">
        <f t="shared" si="244"/>
        <v>0</v>
      </c>
      <c r="AX442" s="14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4"/>
      <c r="AV443" s="1495">
        <f t="shared" si="243"/>
        <v>0</v>
      </c>
      <c r="AW443" s="1495">
        <f t="shared" si="244"/>
        <v>0</v>
      </c>
      <c r="AX443" s="14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4"/>
      <c r="AV444" s="1495">
        <f t="shared" si="243"/>
        <v>0</v>
      </c>
      <c r="AW444" s="1495">
        <f t="shared" si="244"/>
        <v>0</v>
      </c>
      <c r="AX444" s="14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4"/>
      <c r="AV445" s="1495">
        <f t="shared" si="243"/>
        <v>0</v>
      </c>
      <c r="AW445" s="1495">
        <f t="shared" si="244"/>
        <v>0</v>
      </c>
      <c r="AX445" s="14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4"/>
      <c r="AV446" s="1495">
        <f t="shared" si="243"/>
        <v>0</v>
      </c>
      <c r="AW446" s="1495">
        <f t="shared" si="244"/>
        <v>0</v>
      </c>
      <c r="AX446" s="14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4"/>
      <c r="AV447" s="1495">
        <f t="shared" si="243"/>
        <v>0</v>
      </c>
      <c r="AW447" s="1495">
        <f t="shared" si="244"/>
        <v>0</v>
      </c>
      <c r="AX447" s="14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4"/>
      <c r="AV448" s="1495">
        <f t="shared" si="243"/>
        <v>0</v>
      </c>
      <c r="AW448" s="1495">
        <f t="shared" si="244"/>
        <v>0</v>
      </c>
      <c r="AX448" s="14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4"/>
      <c r="AV449" s="1495">
        <f t="shared" si="243"/>
        <v>0</v>
      </c>
      <c r="AW449" s="1495">
        <f t="shared" si="244"/>
        <v>0</v>
      </c>
      <c r="AX449" s="14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4"/>
      <c r="AV450" s="1495">
        <f t="shared" si="243"/>
        <v>0</v>
      </c>
      <c r="AW450" s="1495">
        <f t="shared" si="244"/>
        <v>0</v>
      </c>
      <c r="AX450" s="14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4"/>
      <c r="AV451" s="1495">
        <f t="shared" si="243"/>
        <v>0</v>
      </c>
      <c r="AW451" s="1495">
        <f t="shared" si="244"/>
        <v>0</v>
      </c>
      <c r="AX451" s="14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4"/>
      <c r="AV452" s="1495">
        <f t="shared" si="243"/>
        <v>0</v>
      </c>
      <c r="AW452" s="1495">
        <f t="shared" si="244"/>
        <v>0</v>
      </c>
      <c r="AX452" s="14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4"/>
      <c r="AV453" s="1495">
        <f t="shared" si="243"/>
        <v>0</v>
      </c>
      <c r="AW453" s="1495">
        <f t="shared" si="244"/>
        <v>0</v>
      </c>
      <c r="AX453" s="14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4"/>
      <c r="AV454" s="1495">
        <f t="shared" si="243"/>
        <v>0</v>
      </c>
      <c r="AW454" s="1495">
        <f t="shared" si="244"/>
        <v>0</v>
      </c>
      <c r="AX454" s="14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4"/>
      <c r="AV455" s="1495">
        <f t="shared" si="243"/>
        <v>0</v>
      </c>
      <c r="AW455" s="1495">
        <f t="shared" si="244"/>
        <v>0</v>
      </c>
      <c r="AX455" s="14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4"/>
      <c r="AV456" s="1495">
        <f t="shared" si="243"/>
        <v>0</v>
      </c>
      <c r="AW456" s="1495">
        <f t="shared" si="244"/>
        <v>0</v>
      </c>
      <c r="AX456" s="14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4"/>
      <c r="AV457" s="1495">
        <f t="shared" si="243"/>
        <v>0</v>
      </c>
      <c r="AW457" s="1495">
        <f t="shared" si="244"/>
        <v>0</v>
      </c>
      <c r="AX457" s="14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4"/>
      <c r="AV458" s="1495">
        <f t="shared" si="243"/>
        <v>0</v>
      </c>
      <c r="AW458" s="1495">
        <f t="shared" si="244"/>
        <v>0</v>
      </c>
      <c r="AX458" s="14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4"/>
      <c r="AV459" s="1495">
        <f t="shared" si="243"/>
        <v>0</v>
      </c>
      <c r="AW459" s="1495">
        <f t="shared" si="244"/>
        <v>0</v>
      </c>
      <c r="AX459" s="14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4"/>
      <c r="AV460" s="1495">
        <f t="shared" si="243"/>
        <v>0</v>
      </c>
      <c r="AW460" s="1495">
        <f t="shared" si="244"/>
        <v>0</v>
      </c>
      <c r="AX460" s="14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4"/>
      <c r="AV461" s="1495">
        <f t="shared" si="243"/>
        <v>0</v>
      </c>
      <c r="AW461" s="1495">
        <f t="shared" si="244"/>
        <v>0</v>
      </c>
      <c r="AX461" s="14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4"/>
      <c r="AV462" s="1495">
        <f t="shared" si="243"/>
        <v>0</v>
      </c>
      <c r="AW462" s="1495">
        <f t="shared" si="244"/>
        <v>0</v>
      </c>
      <c r="AX462" s="14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4"/>
      <c r="AV463" s="1495">
        <f t="shared" si="243"/>
        <v>0</v>
      </c>
      <c r="AW463" s="1495">
        <f t="shared" si="244"/>
        <v>0</v>
      </c>
      <c r="AX463" s="14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4"/>
      <c r="AV464" s="1495">
        <f t="shared" si="243"/>
        <v>0</v>
      </c>
      <c r="AW464" s="1495">
        <f t="shared" si="244"/>
        <v>0</v>
      </c>
      <c r="AX464" s="14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4"/>
      <c r="AV465" s="1495">
        <f t="shared" si="243"/>
        <v>0</v>
      </c>
      <c r="AW465" s="1495">
        <f t="shared" si="244"/>
        <v>0</v>
      </c>
      <c r="AX465" s="14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4"/>
      <c r="AV466" s="1495">
        <f t="shared" si="243"/>
        <v>0</v>
      </c>
      <c r="AW466" s="1495">
        <f t="shared" si="244"/>
        <v>0</v>
      </c>
      <c r="AX466" s="14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4"/>
      <c r="AV467" s="1495">
        <f t="shared" si="243"/>
        <v>0</v>
      </c>
      <c r="AW467" s="1495">
        <f t="shared" si="244"/>
        <v>0</v>
      </c>
      <c r="AX467" s="14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4"/>
      <c r="AV468" s="1495">
        <f t="shared" si="243"/>
        <v>0</v>
      </c>
      <c r="AW468" s="1495">
        <f t="shared" si="244"/>
        <v>0</v>
      </c>
      <c r="AX468" s="14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4"/>
      <c r="AV469" s="1495">
        <f t="shared" si="243"/>
        <v>0</v>
      </c>
      <c r="AW469" s="1495">
        <f t="shared" si="244"/>
        <v>0</v>
      </c>
      <c r="AX469" s="14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4"/>
      <c r="AV470" s="1495">
        <f t="shared" si="243"/>
        <v>0</v>
      </c>
      <c r="AW470" s="1495">
        <f t="shared" si="244"/>
        <v>0</v>
      </c>
      <c r="AX470" s="14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4"/>
      <c r="AV471" s="1495">
        <f t="shared" si="243"/>
        <v>0</v>
      </c>
      <c r="AW471" s="1495">
        <f t="shared" si="244"/>
        <v>0</v>
      </c>
      <c r="AX471" s="14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4"/>
      <c r="AV472" s="1495">
        <f t="shared" si="243"/>
        <v>0</v>
      </c>
      <c r="AW472" s="1495">
        <f t="shared" si="244"/>
        <v>0</v>
      </c>
      <c r="AX472" s="14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4"/>
      <c r="AV473" s="1495">
        <f t="shared" si="243"/>
        <v>0</v>
      </c>
      <c r="AW473" s="1495">
        <f t="shared" si="244"/>
        <v>0</v>
      </c>
      <c r="AX473" s="14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4"/>
      <c r="AV474" s="1495">
        <f t="shared" si="243"/>
        <v>0</v>
      </c>
      <c r="AW474" s="1495">
        <f t="shared" si="244"/>
        <v>0</v>
      </c>
      <c r="AX474" s="14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4"/>
      <c r="AV475" s="1495">
        <f t="shared" si="243"/>
        <v>0</v>
      </c>
      <c r="AW475" s="1495">
        <f t="shared" si="244"/>
        <v>0</v>
      </c>
      <c r="AX475" s="14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4"/>
      <c r="AV476" s="1495">
        <f t="shared" si="243"/>
        <v>0</v>
      </c>
      <c r="AW476" s="1495">
        <f t="shared" si="244"/>
        <v>0</v>
      </c>
      <c r="AX476" s="14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4"/>
      <c r="AV477" s="1495">
        <f t="shared" si="243"/>
        <v>0</v>
      </c>
      <c r="AW477" s="1495">
        <f t="shared" si="244"/>
        <v>0</v>
      </c>
      <c r="AX477" s="14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4"/>
      <c r="AV478" s="1495">
        <f t="shared" si="243"/>
        <v>0</v>
      </c>
      <c r="AW478" s="1495">
        <f t="shared" si="244"/>
        <v>0</v>
      </c>
      <c r="AX478" s="14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4"/>
      <c r="AV479" s="1495">
        <f t="shared" si="243"/>
        <v>0</v>
      </c>
      <c r="AW479" s="1495">
        <f t="shared" si="244"/>
        <v>0</v>
      </c>
      <c r="AX479" s="14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4"/>
      <c r="AV480" s="1495">
        <f t="shared" si="243"/>
        <v>0</v>
      </c>
      <c r="AW480" s="1495">
        <f t="shared" si="244"/>
        <v>0</v>
      </c>
      <c r="AX480" s="14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4"/>
      <c r="AV481" s="1495">
        <f t="shared" si="243"/>
        <v>0</v>
      </c>
      <c r="AW481" s="1495">
        <f t="shared" si="244"/>
        <v>0</v>
      </c>
      <c r="AX481" s="14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4"/>
      <c r="AV482" s="1495">
        <f t="shared" si="243"/>
        <v>0</v>
      </c>
      <c r="AW482" s="1495">
        <f t="shared" si="244"/>
        <v>0</v>
      </c>
      <c r="AX482" s="14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4"/>
      <c r="AV483" s="1495">
        <f t="shared" si="243"/>
        <v>0</v>
      </c>
      <c r="AW483" s="1495">
        <f t="shared" si="244"/>
        <v>0</v>
      </c>
      <c r="AX483" s="14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4"/>
      <c r="AV484" s="1495">
        <f t="shared" si="243"/>
        <v>0</v>
      </c>
      <c r="AW484" s="1495">
        <f t="shared" si="244"/>
        <v>0</v>
      </c>
      <c r="AX484" s="14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4"/>
      <c r="AV485" s="1495">
        <f t="shared" si="243"/>
        <v>0</v>
      </c>
      <c r="AW485" s="1495">
        <f t="shared" si="244"/>
        <v>0</v>
      </c>
      <c r="AX485" s="14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4"/>
      <c r="AV486" s="1495">
        <f t="shared" si="243"/>
        <v>0</v>
      </c>
      <c r="AW486" s="1495">
        <f t="shared" si="244"/>
        <v>0</v>
      </c>
      <c r="AX486" s="14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4"/>
      <c r="AV487" s="1495">
        <f t="shared" si="243"/>
        <v>0</v>
      </c>
      <c r="AW487" s="1495">
        <f t="shared" si="244"/>
        <v>0</v>
      </c>
      <c r="AX487" s="14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4"/>
      <c r="AV488" s="1495">
        <f t="shared" si="243"/>
        <v>0</v>
      </c>
      <c r="AW488" s="1495">
        <f t="shared" si="244"/>
        <v>0</v>
      </c>
      <c r="AX488" s="14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4"/>
      <c r="AV489" s="1495">
        <f t="shared" si="243"/>
        <v>0</v>
      </c>
      <c r="AW489" s="1495">
        <f t="shared" si="244"/>
        <v>0</v>
      </c>
      <c r="AX489" s="14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4"/>
      <c r="AV490" s="1495">
        <f t="shared" si="243"/>
        <v>0</v>
      </c>
      <c r="AW490" s="1495">
        <f t="shared" si="244"/>
        <v>0</v>
      </c>
      <c r="AX490" s="14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4"/>
      <c r="AV491" s="1495">
        <f t="shared" si="243"/>
        <v>0</v>
      </c>
      <c r="AW491" s="1495">
        <f t="shared" si="244"/>
        <v>0</v>
      </c>
      <c r="AX491" s="14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4"/>
      <c r="AV492" s="1495">
        <f t="shared" si="243"/>
        <v>0</v>
      </c>
      <c r="AW492" s="1495">
        <f t="shared" si="244"/>
        <v>0</v>
      </c>
      <c r="AX492" s="14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4"/>
      <c r="AV493" s="1495">
        <f t="shared" ref="AV493:AV520" si="294">A493</f>
        <v>0</v>
      </c>
      <c r="AW493" s="1495">
        <f t="shared" ref="AW493:AW520" si="295">B493</f>
        <v>0</v>
      </c>
      <c r="AX493" s="14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4"/>
      <c r="AV494" s="1495">
        <f t="shared" si="294"/>
        <v>0</v>
      </c>
      <c r="AW494" s="1495">
        <f t="shared" si="295"/>
        <v>0</v>
      </c>
      <c r="AX494" s="14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4"/>
      <c r="AV495" s="1495">
        <f t="shared" si="294"/>
        <v>0</v>
      </c>
      <c r="AW495" s="1495">
        <f t="shared" si="295"/>
        <v>0</v>
      </c>
      <c r="AX495" s="14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4"/>
      <c r="AV496" s="1495">
        <f t="shared" si="294"/>
        <v>0</v>
      </c>
      <c r="AW496" s="1495">
        <f t="shared" si="295"/>
        <v>0</v>
      </c>
      <c r="AX496" s="14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4"/>
      <c r="AV497" s="1495">
        <f t="shared" si="294"/>
        <v>0</v>
      </c>
      <c r="AW497" s="1495">
        <f t="shared" si="295"/>
        <v>0</v>
      </c>
      <c r="AX497" s="14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4"/>
      <c r="AV498" s="1495">
        <f t="shared" si="294"/>
        <v>0</v>
      </c>
      <c r="AW498" s="1495">
        <f t="shared" si="295"/>
        <v>0</v>
      </c>
      <c r="AX498" s="14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4"/>
      <c r="AV499" s="1495">
        <f t="shared" si="294"/>
        <v>0</v>
      </c>
      <c r="AW499" s="1495">
        <f t="shared" si="295"/>
        <v>0</v>
      </c>
      <c r="AX499" s="14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4"/>
      <c r="AV500" s="1495">
        <f t="shared" si="294"/>
        <v>0</v>
      </c>
      <c r="AW500" s="1495">
        <f t="shared" si="295"/>
        <v>0</v>
      </c>
      <c r="AX500" s="14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4"/>
      <c r="AV501" s="1495">
        <f t="shared" si="294"/>
        <v>0</v>
      </c>
      <c r="AW501" s="1495">
        <f t="shared" si="295"/>
        <v>0</v>
      </c>
      <c r="AX501" s="14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4"/>
      <c r="AV502" s="1495">
        <f t="shared" si="294"/>
        <v>0</v>
      </c>
      <c r="AW502" s="1495">
        <f t="shared" si="295"/>
        <v>0</v>
      </c>
      <c r="AX502" s="14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4"/>
      <c r="AV503" s="1495">
        <f t="shared" si="294"/>
        <v>0</v>
      </c>
      <c r="AW503" s="1495">
        <f t="shared" si="295"/>
        <v>0</v>
      </c>
      <c r="AX503" s="14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4"/>
      <c r="AV504" s="1495">
        <f t="shared" si="294"/>
        <v>0</v>
      </c>
      <c r="AW504" s="1495">
        <f t="shared" si="295"/>
        <v>0</v>
      </c>
      <c r="AX504" s="14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4"/>
      <c r="AV505" s="1495">
        <f t="shared" si="294"/>
        <v>0</v>
      </c>
      <c r="AW505" s="1495">
        <f t="shared" si="295"/>
        <v>0</v>
      </c>
      <c r="AX505" s="14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4"/>
      <c r="AV506" s="1495">
        <f t="shared" si="294"/>
        <v>0</v>
      </c>
      <c r="AW506" s="1495">
        <f t="shared" si="295"/>
        <v>0</v>
      </c>
      <c r="AX506" s="14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4"/>
      <c r="AV507" s="1495">
        <f t="shared" si="294"/>
        <v>0</v>
      </c>
      <c r="AW507" s="1495">
        <f t="shared" si="295"/>
        <v>0</v>
      </c>
      <c r="AX507" s="14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4"/>
      <c r="AV508" s="1495">
        <f t="shared" si="294"/>
        <v>0</v>
      </c>
      <c r="AW508" s="1495">
        <f t="shared" si="295"/>
        <v>0</v>
      </c>
      <c r="AX508" s="14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4"/>
      <c r="AV509" s="1495">
        <f t="shared" si="294"/>
        <v>0</v>
      </c>
      <c r="AW509" s="1495">
        <f t="shared" si="295"/>
        <v>0</v>
      </c>
      <c r="AX509" s="14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4"/>
      <c r="AV510" s="1495">
        <f t="shared" si="294"/>
        <v>0</v>
      </c>
      <c r="AW510" s="1495">
        <f t="shared" si="295"/>
        <v>0</v>
      </c>
      <c r="AX510" s="14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4"/>
      <c r="AV511" s="1495">
        <f t="shared" si="294"/>
        <v>0</v>
      </c>
      <c r="AW511" s="1495">
        <f t="shared" si="295"/>
        <v>0</v>
      </c>
      <c r="AX511" s="14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4"/>
      <c r="AV512" s="1495">
        <f t="shared" si="294"/>
        <v>0</v>
      </c>
      <c r="AW512" s="1495">
        <f t="shared" si="295"/>
        <v>0</v>
      </c>
      <c r="AX512" s="14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4"/>
      <c r="AV513" s="1495">
        <f t="shared" si="294"/>
        <v>0</v>
      </c>
      <c r="AW513" s="1495">
        <f t="shared" si="295"/>
        <v>0</v>
      </c>
      <c r="AX513" s="14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4"/>
      <c r="AV514" s="1495">
        <f t="shared" si="294"/>
        <v>0</v>
      </c>
      <c r="AW514" s="1495">
        <f t="shared" si="295"/>
        <v>0</v>
      </c>
      <c r="AX514" s="14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4"/>
      <c r="AV515" s="1495">
        <f t="shared" si="294"/>
        <v>0</v>
      </c>
      <c r="AW515" s="1495">
        <f t="shared" si="295"/>
        <v>0</v>
      </c>
      <c r="AX515" s="14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4"/>
      <c r="AV516" s="1495">
        <f t="shared" si="294"/>
        <v>0</v>
      </c>
      <c r="AW516" s="1495">
        <f t="shared" si="295"/>
        <v>0</v>
      </c>
      <c r="AX516" s="14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4"/>
      <c r="AV517" s="1495">
        <f t="shared" si="294"/>
        <v>0</v>
      </c>
      <c r="AW517" s="1495">
        <f t="shared" si="295"/>
        <v>0</v>
      </c>
      <c r="AX517" s="14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4"/>
      <c r="AV518" s="1495">
        <f t="shared" si="294"/>
        <v>0</v>
      </c>
      <c r="AW518" s="1495">
        <f t="shared" si="295"/>
        <v>0</v>
      </c>
      <c r="AX518" s="14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4"/>
      <c r="AV519" s="1495">
        <f t="shared" si="294"/>
        <v>0</v>
      </c>
      <c r="AW519" s="1495">
        <f t="shared" si="295"/>
        <v>0</v>
      </c>
      <c r="AX519" s="14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4"/>
      <c r="AV520" s="1495">
        <f t="shared" si="294"/>
        <v>0</v>
      </c>
      <c r="AW520" s="1495">
        <f t="shared" si="295"/>
        <v>0</v>
      </c>
      <c r="AX520" s="14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4"/>
      <c r="AV521" s="1495">
        <f t="shared" ref="AV521:AV552" si="298">A521</f>
        <v>0</v>
      </c>
      <c r="AW521" s="1495">
        <f t="shared" ref="AW521:AW552" si="299">B521</f>
        <v>0</v>
      </c>
      <c r="AX521" s="14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4"/>
      <c r="AV522" s="1495">
        <f t="shared" si="298"/>
        <v>0</v>
      </c>
      <c r="AW522" s="1495">
        <f t="shared" si="299"/>
        <v>0</v>
      </c>
      <c r="AX522" s="14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4"/>
      <c r="AV523" s="1495">
        <f t="shared" si="298"/>
        <v>0</v>
      </c>
      <c r="AW523" s="1495">
        <f t="shared" si="299"/>
        <v>0</v>
      </c>
      <c r="AX523" s="14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4"/>
      <c r="AV524" s="1495">
        <f t="shared" si="298"/>
        <v>0</v>
      </c>
      <c r="AW524" s="1495">
        <f t="shared" si="299"/>
        <v>0</v>
      </c>
      <c r="AX524" s="14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4"/>
      <c r="AV525" s="1495">
        <f t="shared" si="298"/>
        <v>0</v>
      </c>
      <c r="AW525" s="1495">
        <f t="shared" si="299"/>
        <v>0</v>
      </c>
      <c r="AX525" s="14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4"/>
      <c r="AV526" s="1495">
        <f t="shared" si="298"/>
        <v>0</v>
      </c>
      <c r="AW526" s="1495">
        <f t="shared" si="299"/>
        <v>0</v>
      </c>
      <c r="AX526" s="14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4"/>
      <c r="AV527" s="1495">
        <f t="shared" si="298"/>
        <v>0</v>
      </c>
      <c r="AW527" s="1495">
        <f t="shared" si="299"/>
        <v>0</v>
      </c>
      <c r="AX527" s="14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4"/>
      <c r="AV528" s="1495">
        <f t="shared" si="298"/>
        <v>0</v>
      </c>
      <c r="AW528" s="1495">
        <f t="shared" si="299"/>
        <v>0</v>
      </c>
      <c r="AX528" s="14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4"/>
      <c r="AV529" s="1495">
        <f t="shared" si="298"/>
        <v>0</v>
      </c>
      <c r="AW529" s="1495">
        <f t="shared" si="299"/>
        <v>0</v>
      </c>
      <c r="AX529" s="14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4"/>
      <c r="AV530" s="1495">
        <f t="shared" si="298"/>
        <v>0</v>
      </c>
      <c r="AW530" s="1495">
        <f t="shared" si="299"/>
        <v>0</v>
      </c>
      <c r="AX530" s="14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4"/>
      <c r="AV531" s="1495">
        <f t="shared" si="298"/>
        <v>0</v>
      </c>
      <c r="AW531" s="1495">
        <f t="shared" si="299"/>
        <v>0</v>
      </c>
      <c r="AX531" s="14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4"/>
      <c r="AV532" s="1495">
        <f t="shared" si="298"/>
        <v>0</v>
      </c>
      <c r="AW532" s="1495">
        <f t="shared" si="299"/>
        <v>0</v>
      </c>
      <c r="AX532" s="14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4"/>
      <c r="AV533" s="1495">
        <f t="shared" si="298"/>
        <v>0</v>
      </c>
      <c r="AW533" s="1495">
        <f t="shared" si="299"/>
        <v>0</v>
      </c>
      <c r="AX533" s="14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4"/>
      <c r="AV534" s="1495">
        <f t="shared" si="298"/>
        <v>0</v>
      </c>
      <c r="AW534" s="1495">
        <f t="shared" si="299"/>
        <v>0</v>
      </c>
      <c r="AX534" s="14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4"/>
      <c r="AV535" s="1495">
        <f t="shared" si="298"/>
        <v>0</v>
      </c>
      <c r="AW535" s="1495">
        <f t="shared" si="299"/>
        <v>0</v>
      </c>
      <c r="AX535" s="14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4"/>
      <c r="AV536" s="1495">
        <f t="shared" si="298"/>
        <v>0</v>
      </c>
      <c r="AW536" s="1495">
        <f t="shared" si="299"/>
        <v>0</v>
      </c>
      <c r="AX536" s="14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4"/>
      <c r="AV537" s="1495">
        <f t="shared" si="298"/>
        <v>0</v>
      </c>
      <c r="AW537" s="1495">
        <f t="shared" si="299"/>
        <v>0</v>
      </c>
      <c r="AX537" s="14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4"/>
      <c r="AV538" s="1495">
        <f t="shared" si="298"/>
        <v>0</v>
      </c>
      <c r="AW538" s="1495">
        <f t="shared" si="299"/>
        <v>0</v>
      </c>
      <c r="AX538" s="14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4"/>
      <c r="AV539" s="1495">
        <f t="shared" si="298"/>
        <v>0</v>
      </c>
      <c r="AW539" s="1495">
        <f t="shared" si="299"/>
        <v>0</v>
      </c>
      <c r="AX539" s="14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4"/>
      <c r="AV540" s="1495">
        <f t="shared" si="298"/>
        <v>0</v>
      </c>
      <c r="AW540" s="1495">
        <f t="shared" si="299"/>
        <v>0</v>
      </c>
      <c r="AX540" s="14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4"/>
      <c r="AV541" s="1495">
        <f t="shared" si="298"/>
        <v>0</v>
      </c>
      <c r="AW541" s="1495">
        <f t="shared" si="299"/>
        <v>0</v>
      </c>
      <c r="AX541" s="14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4"/>
      <c r="AV542" s="1495">
        <f t="shared" si="298"/>
        <v>0</v>
      </c>
      <c r="AW542" s="1495">
        <f t="shared" si="299"/>
        <v>0</v>
      </c>
      <c r="AX542" s="14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4"/>
      <c r="AV543" s="1495">
        <f t="shared" si="298"/>
        <v>0</v>
      </c>
      <c r="AW543" s="1495">
        <f t="shared" si="299"/>
        <v>0</v>
      </c>
      <c r="AX543" s="14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4"/>
      <c r="AV544" s="1495">
        <f t="shared" si="298"/>
        <v>0</v>
      </c>
      <c r="AW544" s="1495">
        <f t="shared" si="299"/>
        <v>0</v>
      </c>
      <c r="AX544" s="14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4"/>
      <c r="AV545" s="1495">
        <f t="shared" si="298"/>
        <v>0</v>
      </c>
      <c r="AW545" s="1495">
        <f t="shared" si="299"/>
        <v>0</v>
      </c>
      <c r="AX545" s="14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4"/>
      <c r="AV546" s="1495">
        <f t="shared" si="298"/>
        <v>0</v>
      </c>
      <c r="AW546" s="1495">
        <f t="shared" si="299"/>
        <v>0</v>
      </c>
      <c r="AX546" s="14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4"/>
      <c r="AV547" s="1495">
        <f t="shared" si="298"/>
        <v>0</v>
      </c>
      <c r="AW547" s="1495">
        <f t="shared" si="299"/>
        <v>0</v>
      </c>
      <c r="AX547" s="14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4"/>
      <c r="AV548" s="1495">
        <f t="shared" si="298"/>
        <v>0</v>
      </c>
      <c r="AW548" s="1495">
        <f t="shared" si="299"/>
        <v>0</v>
      </c>
      <c r="AX548" s="14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4"/>
      <c r="AV549" s="1495">
        <f t="shared" si="298"/>
        <v>0</v>
      </c>
      <c r="AW549" s="1495">
        <f t="shared" si="299"/>
        <v>0</v>
      </c>
      <c r="AX549" s="14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4"/>
      <c r="AV550" s="1495">
        <f t="shared" si="298"/>
        <v>0</v>
      </c>
      <c r="AW550" s="1495">
        <f t="shared" si="299"/>
        <v>0</v>
      </c>
      <c r="AX550" s="14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4"/>
      <c r="AV551" s="1495">
        <f t="shared" si="298"/>
        <v>0</v>
      </c>
      <c r="AW551" s="1495">
        <f t="shared" si="299"/>
        <v>0</v>
      </c>
      <c r="AX551" s="14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4"/>
      <c r="AV552" s="1495">
        <f t="shared" si="298"/>
        <v>0</v>
      </c>
      <c r="AW552" s="1495">
        <f t="shared" si="299"/>
        <v>0</v>
      </c>
      <c r="AX552" s="14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4"/>
      <c r="AV553" s="1495">
        <f t="shared" ref="AV553:AV587" si="330">A553</f>
        <v>0</v>
      </c>
      <c r="AW553" s="1495">
        <f t="shared" ref="AW553:AW587" si="331">B553</f>
        <v>0</v>
      </c>
      <c r="AX553" s="14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4"/>
      <c r="AV554" s="1495">
        <f t="shared" si="330"/>
        <v>0</v>
      </c>
      <c r="AW554" s="1495">
        <f t="shared" si="331"/>
        <v>0</v>
      </c>
      <c r="AX554" s="14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4"/>
      <c r="AV555" s="1495">
        <f t="shared" si="330"/>
        <v>0</v>
      </c>
      <c r="AW555" s="1495">
        <f t="shared" si="331"/>
        <v>0</v>
      </c>
      <c r="AX555" s="14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4"/>
      <c r="AV556" s="1495">
        <f t="shared" si="330"/>
        <v>0</v>
      </c>
      <c r="AW556" s="1495">
        <f t="shared" si="331"/>
        <v>0</v>
      </c>
      <c r="AX556" s="14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4"/>
      <c r="AV557" s="1495">
        <f t="shared" si="330"/>
        <v>0</v>
      </c>
      <c r="AW557" s="1495">
        <f t="shared" si="331"/>
        <v>0</v>
      </c>
      <c r="AX557" s="14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4"/>
      <c r="AV558" s="1495">
        <f t="shared" si="330"/>
        <v>0</v>
      </c>
      <c r="AW558" s="1495">
        <f t="shared" si="331"/>
        <v>0</v>
      </c>
      <c r="AX558" s="14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4"/>
      <c r="AV559" s="1495">
        <f t="shared" si="330"/>
        <v>0</v>
      </c>
      <c r="AW559" s="1495">
        <f t="shared" si="331"/>
        <v>0</v>
      </c>
      <c r="AX559" s="14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4"/>
      <c r="AV560" s="1495">
        <f t="shared" si="330"/>
        <v>0</v>
      </c>
      <c r="AW560" s="1495">
        <f t="shared" si="331"/>
        <v>0</v>
      </c>
      <c r="AX560" s="14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4"/>
      <c r="AV561" s="1495">
        <f t="shared" si="330"/>
        <v>0</v>
      </c>
      <c r="AW561" s="1495">
        <f t="shared" si="331"/>
        <v>0</v>
      </c>
      <c r="AX561" s="14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4"/>
      <c r="AV562" s="1495">
        <f t="shared" si="330"/>
        <v>0</v>
      </c>
      <c r="AW562" s="1495">
        <f t="shared" si="331"/>
        <v>0</v>
      </c>
      <c r="AX562" s="14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4"/>
      <c r="AV563" s="1495">
        <f t="shared" si="330"/>
        <v>0</v>
      </c>
      <c r="AW563" s="1495">
        <f t="shared" si="331"/>
        <v>0</v>
      </c>
      <c r="AX563" s="14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4"/>
      <c r="AV564" s="1495">
        <f t="shared" si="330"/>
        <v>0</v>
      </c>
      <c r="AW564" s="1495">
        <f t="shared" si="331"/>
        <v>0</v>
      </c>
      <c r="AX564" s="14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4"/>
      <c r="AV565" s="1495">
        <f t="shared" si="330"/>
        <v>0</v>
      </c>
      <c r="AW565" s="1495">
        <f t="shared" si="331"/>
        <v>0</v>
      </c>
      <c r="AX565" s="14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4"/>
      <c r="AV566" s="1495">
        <f t="shared" si="330"/>
        <v>0</v>
      </c>
      <c r="AW566" s="1495">
        <f t="shared" si="331"/>
        <v>0</v>
      </c>
      <c r="AX566" s="14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4"/>
      <c r="AV567" s="1495">
        <f t="shared" si="330"/>
        <v>0</v>
      </c>
      <c r="AW567" s="1495">
        <f t="shared" si="331"/>
        <v>0</v>
      </c>
      <c r="AX567" s="14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4"/>
      <c r="AV568" s="1495">
        <f t="shared" si="330"/>
        <v>0</v>
      </c>
      <c r="AW568" s="1495">
        <f t="shared" si="331"/>
        <v>0</v>
      </c>
      <c r="AX568" s="14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4"/>
      <c r="AV569" s="1495">
        <f t="shared" si="330"/>
        <v>0</v>
      </c>
      <c r="AW569" s="1495">
        <f t="shared" si="331"/>
        <v>0</v>
      </c>
      <c r="AX569" s="14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4"/>
      <c r="AV570" s="1495">
        <f t="shared" si="330"/>
        <v>0</v>
      </c>
      <c r="AW570" s="1495">
        <f t="shared" si="331"/>
        <v>0</v>
      </c>
      <c r="AX570" s="14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4"/>
      <c r="AV571" s="1495">
        <f t="shared" si="330"/>
        <v>0</v>
      </c>
      <c r="AW571" s="1495">
        <f t="shared" si="331"/>
        <v>0</v>
      </c>
      <c r="AX571" s="14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4"/>
      <c r="AV572" s="1495">
        <f t="shared" si="330"/>
        <v>0</v>
      </c>
      <c r="AW572" s="1495">
        <f t="shared" si="331"/>
        <v>0</v>
      </c>
      <c r="AX572" s="14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4"/>
      <c r="AV573" s="1495">
        <f t="shared" si="330"/>
        <v>0</v>
      </c>
      <c r="AW573" s="1495">
        <f t="shared" si="331"/>
        <v>0</v>
      </c>
      <c r="AX573" s="14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4"/>
      <c r="AV574" s="1495">
        <f t="shared" si="330"/>
        <v>0</v>
      </c>
      <c r="AW574" s="1495">
        <f t="shared" si="331"/>
        <v>0</v>
      </c>
      <c r="AX574" s="14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4"/>
      <c r="AV575" s="1495">
        <f t="shared" si="330"/>
        <v>0</v>
      </c>
      <c r="AW575" s="1495">
        <f t="shared" si="331"/>
        <v>0</v>
      </c>
      <c r="AX575" s="14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4"/>
      <c r="AV576" s="1495">
        <f t="shared" si="330"/>
        <v>0</v>
      </c>
      <c r="AW576" s="1495">
        <f t="shared" si="331"/>
        <v>0</v>
      </c>
      <c r="AX576" s="14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4"/>
      <c r="AV577" s="1495">
        <f t="shared" si="330"/>
        <v>0</v>
      </c>
      <c r="AW577" s="1495">
        <f t="shared" si="331"/>
        <v>0</v>
      </c>
      <c r="AX577" s="14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4"/>
      <c r="AV578" s="1495">
        <f t="shared" si="330"/>
        <v>0</v>
      </c>
      <c r="AW578" s="1495">
        <f t="shared" si="331"/>
        <v>0</v>
      </c>
      <c r="AX578" s="14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4"/>
      <c r="AV579" s="1495">
        <f t="shared" si="330"/>
        <v>0</v>
      </c>
      <c r="AW579" s="1495">
        <f t="shared" si="331"/>
        <v>0</v>
      </c>
      <c r="AX579" s="14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4"/>
      <c r="AV580" s="1495">
        <f t="shared" si="330"/>
        <v>0</v>
      </c>
      <c r="AW580" s="1495">
        <f t="shared" si="331"/>
        <v>0</v>
      </c>
      <c r="AX580" s="14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4"/>
      <c r="AV581" s="1495">
        <f t="shared" si="330"/>
        <v>0</v>
      </c>
      <c r="AW581" s="1495">
        <f t="shared" si="331"/>
        <v>0</v>
      </c>
      <c r="AX581" s="14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4"/>
      <c r="AV582" s="1495">
        <f t="shared" si="330"/>
        <v>0</v>
      </c>
      <c r="AW582" s="1495">
        <f t="shared" si="331"/>
        <v>0</v>
      </c>
      <c r="AX582" s="14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4"/>
      <c r="AV583" s="1495">
        <f t="shared" si="330"/>
        <v>0</v>
      </c>
      <c r="AW583" s="1495">
        <f t="shared" si="331"/>
        <v>0</v>
      </c>
      <c r="AX583" s="14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4"/>
      <c r="AV584" s="1495">
        <f t="shared" si="330"/>
        <v>0</v>
      </c>
      <c r="AW584" s="1495">
        <f t="shared" si="331"/>
        <v>0</v>
      </c>
      <c r="AX584" s="14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4"/>
      <c r="AV585" s="1495">
        <f t="shared" si="330"/>
        <v>0</v>
      </c>
      <c r="AW585" s="1495">
        <f t="shared" si="331"/>
        <v>0</v>
      </c>
      <c r="AX585" s="14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4"/>
      <c r="AV586" s="1495">
        <f t="shared" si="330"/>
        <v>0</v>
      </c>
      <c r="AW586" s="1495">
        <f t="shared" si="331"/>
        <v>0</v>
      </c>
      <c r="AX586" s="14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4"/>
      <c r="AV587" s="1495">
        <f t="shared" si="330"/>
        <v>0</v>
      </c>
      <c r="AW587" s="1495">
        <f t="shared" si="331"/>
        <v>0</v>
      </c>
      <c r="AX587" s="14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46.8">
      <c r="A3" s="3335"/>
      <c r="B3" s="3335"/>
      <c r="C3" s="3335"/>
      <c r="D3" s="3336"/>
      <c r="E3" s="33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791" customWidth="1"/>
    <col min="2" max="2" width="10.21875" style="1791" customWidth="1"/>
    <col min="3" max="3" width="18.44140625" style="1791" customWidth="1"/>
    <col min="4" max="4" width="11.6640625" style="1791" customWidth="1"/>
    <col min="5" max="5" width="13.33203125" style="1791" customWidth="1"/>
    <col min="6" max="8" width="11.44140625" style="1791" customWidth="1"/>
    <col min="9" max="9" width="11.109375" style="1791" customWidth="1"/>
    <col min="10" max="10" width="3.109375" style="2844" customWidth="1"/>
    <col min="11" max="16" width="10" style="1791" customWidth="1"/>
    <col min="17" max="17" width="2.6640625" style="1791" customWidth="1"/>
    <col min="18" max="18" width="9.33203125" style="1791" bestFit="1" customWidth="1"/>
    <col min="19" max="19" width="10.44140625" style="1791" bestFit="1" customWidth="1"/>
    <col min="20" max="16384" width="9.21875" style="1791"/>
  </cols>
  <sheetData>
    <row r="1" spans="1:16" ht="18" thickBot="1">
      <c r="A1" s="1790" t="s">
        <v>1756</v>
      </c>
      <c r="B1" s="1272"/>
      <c r="C1" s="1272"/>
      <c r="D1" s="1272"/>
      <c r="E1" s="1272"/>
      <c r="F1" s="1272"/>
      <c r="G1" s="1272"/>
      <c r="H1" s="1272"/>
      <c r="I1" s="1272"/>
      <c r="J1" s="1272"/>
      <c r="K1" s="1272"/>
      <c r="L1" s="1272"/>
      <c r="M1" s="1272"/>
      <c r="N1" s="1272"/>
      <c r="O1" s="1272"/>
      <c r="P1" s="1272"/>
    </row>
    <row r="2" spans="1:16" ht="14.4">
      <c r="A2" s="3346" t="s">
        <v>1757</v>
      </c>
      <c r="B2" s="3346"/>
      <c r="C2" s="3346"/>
      <c r="D2" s="903" t="s">
        <v>1733</v>
      </c>
      <c r="E2" s="1792" t="s">
        <v>1734</v>
      </c>
      <c r="F2" s="2854"/>
      <c r="G2" s="2845"/>
      <c r="H2" s="2846"/>
      <c r="I2" s="2516" t="s">
        <v>1758</v>
      </c>
      <c r="J2" s="2854"/>
      <c r="K2" s="2854"/>
      <c r="L2" s="2854"/>
      <c r="M2" s="2854"/>
      <c r="N2" s="2856"/>
      <c r="O2" s="2854"/>
      <c r="P2" s="2854"/>
    </row>
    <row r="3" spans="1:16" ht="15" thickBot="1">
      <c r="A3" s="3347" t="s">
        <v>1731</v>
      </c>
      <c r="B3" s="3347"/>
      <c r="C3" s="3347"/>
      <c r="D3" s="45">
        <f>'数据-基础表'!AY6</f>
        <v>31250</v>
      </c>
      <c r="E3" s="45">
        <f>'数据-基础表'!AZ5</f>
        <v>24880.78</v>
      </c>
      <c r="F3" s="2854"/>
      <c r="G3" s="1278"/>
      <c r="H3" s="1156" t="s">
        <v>1732</v>
      </c>
      <c r="I3" s="963">
        <f>ROUND('数据-基础表'!B3/'数据-基础表'!A3,2)</f>
        <v>0.8</v>
      </c>
      <c r="J3" s="2854"/>
      <c r="K3" s="2854"/>
      <c r="L3" s="2854"/>
      <c r="M3" s="2854"/>
      <c r="N3" s="2856"/>
      <c r="O3" s="2854"/>
      <c r="P3" s="2854"/>
    </row>
    <row r="4" spans="1:16" ht="14.4">
      <c r="A4" s="3348"/>
      <c r="B4" s="3349"/>
      <c r="C4" s="3350"/>
      <c r="D4" s="1794" t="s">
        <v>1733</v>
      </c>
      <c r="E4" s="1795" t="s">
        <v>1734</v>
      </c>
      <c r="F4" s="2854"/>
      <c r="G4" s="2847" t="s">
        <v>1759</v>
      </c>
      <c r="H4" s="1156" t="s">
        <v>1739</v>
      </c>
      <c r="I4" s="963">
        <f>ROUND(SUMIF('数据-基础表'!I9:AS9,"地上",'数据-基础表'!I5:AS5)/'数据-基础表'!A3,2)</f>
        <v>0.74</v>
      </c>
      <c r="J4" s="2854"/>
      <c r="K4" s="2854"/>
      <c r="L4" s="2854"/>
      <c r="M4" s="2854"/>
      <c r="N4" s="2856"/>
      <c r="O4" s="2854"/>
      <c r="P4" s="2854"/>
    </row>
    <row r="5" spans="1:16" ht="14.4">
      <c r="A5" s="46" t="s">
        <v>1735</v>
      </c>
      <c r="B5" s="3351" t="s">
        <v>1736</v>
      </c>
      <c r="C5" s="3351"/>
      <c r="D5" s="47">
        <f>ROUND($D$3*E5/$E$3,2)</f>
        <v>0</v>
      </c>
      <c r="E5" s="48">
        <f>SUMIF('数据-基础表'!$11:$11,"住宅",'数据-基础表'!$5:$5)</f>
        <v>0</v>
      </c>
      <c r="F5" s="2854"/>
      <c r="G5" s="1278"/>
      <c r="H5" s="1156" t="s">
        <v>1732</v>
      </c>
      <c r="I5" s="963">
        <f>ROUND(E31/D31,2)</f>
        <v>0.8</v>
      </c>
      <c r="J5" s="2854"/>
      <c r="K5" s="2854"/>
      <c r="L5" s="2854"/>
      <c r="M5" s="2854"/>
      <c r="N5" s="2854"/>
      <c r="O5" s="2854"/>
      <c r="P5" s="2854"/>
    </row>
    <row r="6" spans="1:16" ht="15" thickBot="1">
      <c r="A6" s="1797"/>
      <c r="B6" s="3351" t="s">
        <v>1737</v>
      </c>
      <c r="C6" s="3351"/>
      <c r="D6" s="47">
        <f>ROUND($D$3*E6/$E$3,2)</f>
        <v>31250</v>
      </c>
      <c r="E6" s="48">
        <f>E3-E5</f>
        <v>24880.78</v>
      </c>
      <c r="F6" s="2854"/>
      <c r="G6" s="2848" t="s">
        <v>1738</v>
      </c>
      <c r="H6" s="1279" t="s">
        <v>1739</v>
      </c>
      <c r="I6" s="2849">
        <f>ROUND(F31/D31,2)</f>
        <v>0.74</v>
      </c>
      <c r="J6" s="2854"/>
      <c r="K6" s="2854"/>
      <c r="L6" s="2854"/>
      <c r="M6" s="2854"/>
      <c r="N6" s="2854"/>
      <c r="O6" s="2854"/>
      <c r="P6" s="2854"/>
    </row>
    <row r="7" spans="1:16" ht="15" thickBot="1">
      <c r="A7" s="3343"/>
      <c r="B7" s="3344"/>
      <c r="C7" s="3345"/>
      <c r="D7" s="1794" t="s">
        <v>1733</v>
      </c>
      <c r="E7" s="1798" t="s">
        <v>1740</v>
      </c>
      <c r="F7" s="2854"/>
      <c r="G7" s="2850" t="s">
        <v>1741</v>
      </c>
      <c r="H7" s="2851"/>
      <c r="I7" s="2852">
        <v>0.74</v>
      </c>
      <c r="J7" s="2854"/>
      <c r="K7" s="2854"/>
      <c r="L7" s="2854"/>
      <c r="M7" s="2854"/>
      <c r="N7" s="2854"/>
      <c r="O7" s="2854"/>
      <c r="P7" s="2854"/>
    </row>
    <row r="8" spans="1:16" ht="14.4">
      <c r="A8" s="46" t="s">
        <v>1742</v>
      </c>
      <c r="B8" s="49" t="s">
        <v>1743</v>
      </c>
      <c r="C8" s="47" t="s">
        <v>1744</v>
      </c>
      <c r="D8" s="47">
        <f t="shared" ref="D8:D15" si="0">ROUND($D$3*E8/$E$3,2)</f>
        <v>28985.73</v>
      </c>
      <c r="E8" s="50">
        <f>SUMIF('数据-基础表'!BB10:BK10,"地上",'数据-基础表'!BB5:BK5)</f>
        <v>23078</v>
      </c>
      <c r="F8" s="2854"/>
      <c r="G8" s="2855"/>
      <c r="H8" s="2855"/>
      <c r="I8" s="2854"/>
      <c r="J8" s="2854"/>
      <c r="K8" s="2854"/>
      <c r="L8" s="2854"/>
      <c r="M8" s="2854"/>
      <c r="N8" s="2854"/>
      <c r="O8" s="2854"/>
      <c r="P8" s="2854"/>
    </row>
    <row r="9" spans="1:16" ht="14.4">
      <c r="A9" s="1799"/>
      <c r="B9" s="1800"/>
      <c r="C9" s="47" t="s">
        <v>1745</v>
      </c>
      <c r="D9" s="47">
        <f t="shared" si="0"/>
        <v>0</v>
      </c>
      <c r="E9" s="51">
        <v>0</v>
      </c>
      <c r="F9" s="2854"/>
      <c r="G9" s="2855"/>
      <c r="H9" s="2855"/>
      <c r="I9" s="2854"/>
      <c r="J9" s="2854"/>
      <c r="K9" s="2854"/>
      <c r="L9" s="2854"/>
      <c r="M9" s="2854"/>
      <c r="N9" s="2854"/>
      <c r="O9" s="2854"/>
      <c r="P9" s="2854"/>
    </row>
    <row r="10" spans="1:16" ht="14.4">
      <c r="A10" s="1799"/>
      <c r="B10" s="1800"/>
      <c r="C10" s="47" t="s">
        <v>1754</v>
      </c>
      <c r="D10" s="47">
        <f t="shared" si="0"/>
        <v>0</v>
      </c>
      <c r="E10" s="50">
        <f>SUMPRODUCT(('数据-基础表'!BB10:BK10="地下")*('数据-基础表'!BB11:BK11="商业")*('数据-基础表'!BB5:BK5))</f>
        <v>0</v>
      </c>
      <c r="F10" s="2854"/>
      <c r="G10" s="2855"/>
      <c r="H10" s="2855"/>
      <c r="I10" s="2854"/>
      <c r="J10" s="2854"/>
      <c r="K10" s="2854"/>
      <c r="L10" s="2854"/>
      <c r="M10" s="2854"/>
      <c r="N10" s="2854"/>
      <c r="O10" s="2854"/>
      <c r="P10" s="2854"/>
    </row>
    <row r="11" spans="1:16" ht="14.4">
      <c r="A11" s="1799"/>
      <c r="B11" s="1800"/>
      <c r="C11" s="47" t="s">
        <v>1746</v>
      </c>
      <c r="D11" s="47">
        <f t="shared" si="0"/>
        <v>0</v>
      </c>
      <c r="E11" s="50">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ht="14.4">
      <c r="A12" s="1799"/>
      <c r="B12" s="1800"/>
      <c r="C12" s="47" t="s">
        <v>1747</v>
      </c>
      <c r="D12" s="47">
        <f t="shared" si="0"/>
        <v>2264.27</v>
      </c>
      <c r="E12" s="50">
        <f>SUMPRODUCT(('数据-基础表'!BB10:BK10="地下")*('数据-基础表'!BB11:BK11="仓储")*('数据-基础表'!BB5:BK5))</f>
        <v>1802.78</v>
      </c>
      <c r="F12" s="2854"/>
      <c r="G12" s="2855"/>
      <c r="H12" s="2855"/>
      <c r="I12" s="2854"/>
      <c r="J12" s="2854"/>
      <c r="K12" s="2854"/>
      <c r="L12" s="2854"/>
      <c r="M12" s="2854"/>
      <c r="N12" s="2854"/>
      <c r="O12" s="2854"/>
      <c r="P12" s="2854"/>
    </row>
    <row r="13" spans="1:16" ht="14.4">
      <c r="A13" s="1799"/>
      <c r="B13" s="1800"/>
      <c r="C13" s="47" t="s">
        <v>1748</v>
      </c>
      <c r="D13" s="47">
        <f t="shared" si="0"/>
        <v>0</v>
      </c>
      <c r="E13" s="50">
        <f>SUMPRODUCT(('数据-基础表'!BB10:BK10="地下")*('数据-基础表'!BB11:BK11="车库")*('数据-基础表'!BB5:BK5))</f>
        <v>0</v>
      </c>
      <c r="F13" s="2854"/>
      <c r="G13" s="2855"/>
      <c r="H13" s="2855"/>
      <c r="I13" s="2854"/>
      <c r="J13" s="2854"/>
      <c r="K13" s="2854"/>
      <c r="L13" s="2854"/>
      <c r="M13" s="2854"/>
      <c r="N13" s="2854"/>
      <c r="O13" s="2854"/>
      <c r="P13" s="2854"/>
    </row>
    <row r="14" spans="1:16" ht="14.4">
      <c r="A14" s="1799"/>
      <c r="B14" s="1800"/>
      <c r="C14" s="47" t="s">
        <v>1760</v>
      </c>
      <c r="D14" s="47">
        <f t="shared" si="0"/>
        <v>0</v>
      </c>
      <c r="E14" s="50">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7" t="s">
        <v>1755</v>
      </c>
      <c r="D15" s="47">
        <f t="shared" si="0"/>
        <v>0</v>
      </c>
      <c r="E15" s="50">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7"/>
      <c r="B16" s="1800"/>
      <c r="C16" s="49" t="s">
        <v>1749</v>
      </c>
      <c r="D16" s="49">
        <f>SUM(D8:D15)</f>
        <v>31250</v>
      </c>
      <c r="E16" s="52">
        <f>SUM(E8:E15)</f>
        <v>24880.78</v>
      </c>
      <c r="F16" s="2854"/>
      <c r="G16" s="2855"/>
      <c r="H16" s="1801" t="s">
        <v>1761</v>
      </c>
      <c r="I16" s="1802"/>
      <c r="J16" s="1272"/>
      <c r="K16" s="3340" t="s">
        <v>1761</v>
      </c>
      <c r="L16" s="3341"/>
      <c r="M16" s="3341"/>
      <c r="N16" s="3341"/>
      <c r="O16" s="3341"/>
      <c r="P16" s="3342"/>
    </row>
    <row r="17" spans="1:19" ht="14.4">
      <c r="A17" s="1803" t="s">
        <v>1762</v>
      </c>
      <c r="B17" s="1804" t="s">
        <v>1763</v>
      </c>
      <c r="C17" s="1805" t="s">
        <v>1764</v>
      </c>
      <c r="D17" s="1806" t="s">
        <v>1752</v>
      </c>
      <c r="E17" s="1807" t="s">
        <v>1753</v>
      </c>
      <c r="F17" s="1808"/>
      <c r="G17" s="1809"/>
      <c r="H17" s="1810" t="s">
        <v>1765</v>
      </c>
      <c r="I17" s="1811" t="s">
        <v>1750</v>
      </c>
      <c r="J17" s="1272"/>
      <c r="K17" s="3337" t="s">
        <v>1766</v>
      </c>
      <c r="L17" s="3338"/>
      <c r="M17" s="3339"/>
      <c r="N17" s="3337" t="s">
        <v>1767</v>
      </c>
      <c r="O17" s="3338"/>
      <c r="P17" s="3339"/>
      <c r="R17" s="1793" t="s">
        <v>1768</v>
      </c>
      <c r="S17" s="59"/>
    </row>
    <row r="18" spans="1:19" ht="14.4">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ht="14.4">
      <c r="A19" s="1820"/>
      <c r="B19" s="49" t="s">
        <v>1751</v>
      </c>
      <c r="C19" s="3207" t="s">
        <v>3454</v>
      </c>
      <c r="D19" s="47">
        <f>ROUND($D$3*E19/$E$3,2)</f>
        <v>31250</v>
      </c>
      <c r="E19" s="55">
        <f t="shared" ref="E19:E26" si="1">SUM(F19:G19)</f>
        <v>24880.78</v>
      </c>
      <c r="F19" s="2994">
        <f>'数据-基础表'!I13</f>
        <v>23078</v>
      </c>
      <c r="G19" s="2995">
        <f>'数据-基础表'!K13</f>
        <v>1802.78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31250</v>
      </c>
      <c r="S19" s="1157">
        <f t="shared" si="5"/>
        <v>24880.78</v>
      </c>
    </row>
    <row r="20" spans="1:19" ht="14.4">
      <c r="A20" s="1824"/>
      <c r="B20" s="49" t="s">
        <v>1779</v>
      </c>
      <c r="C20" s="1821"/>
      <c r="D20" s="47">
        <f t="shared" ref="D20:D26" si="6">ROUND($D$3*E20/$E$3,2)</f>
        <v>0</v>
      </c>
      <c r="E20" s="55">
        <f t="shared" si="1"/>
        <v>0</v>
      </c>
      <c r="F20" s="2994"/>
      <c r="G20" s="2995"/>
      <c r="H20" s="678">
        <f t="shared" ref="H20:H26" si="7">ROUND($D$3*I20/$E$3,2)</f>
        <v>0</v>
      </c>
      <c r="I20" s="50">
        <f t="shared" si="2"/>
        <v>0</v>
      </c>
      <c r="J20" s="1272"/>
      <c r="K20" s="1271">
        <f t="shared" si="3"/>
        <v>0</v>
      </c>
      <c r="L20" s="1156">
        <f t="shared" si="4"/>
        <v>0</v>
      </c>
      <c r="M20" s="1283">
        <f t="shared" ref="M20:M26" si="8">K20+L20</f>
        <v>0</v>
      </c>
      <c r="N20" s="1822"/>
      <c r="O20" s="1823"/>
      <c r="P20" s="1283">
        <f t="shared" ref="P20:P26" si="9">N20+O20</f>
        <v>0</v>
      </c>
      <c r="R20" s="1156">
        <f t="shared" si="5"/>
        <v>0</v>
      </c>
      <c r="S20" s="1157">
        <f t="shared" si="5"/>
        <v>0</v>
      </c>
    </row>
    <row r="21" spans="1:19" ht="14.4">
      <c r="A21" s="1824"/>
      <c r="B21" s="49" t="s">
        <v>1779</v>
      </c>
      <c r="C21" s="1821"/>
      <c r="D21" s="47">
        <f t="shared" si="6"/>
        <v>0</v>
      </c>
      <c r="E21" s="55">
        <f t="shared" si="1"/>
        <v>0</v>
      </c>
      <c r="F21" s="2994"/>
      <c r="G21" s="2995"/>
      <c r="H21" s="678">
        <f t="shared" si="7"/>
        <v>0</v>
      </c>
      <c r="I21" s="50">
        <f t="shared" si="2"/>
        <v>0</v>
      </c>
      <c r="J21" s="1272"/>
      <c r="K21" s="1271">
        <f t="shared" si="3"/>
        <v>0</v>
      </c>
      <c r="L21" s="1156">
        <f t="shared" si="4"/>
        <v>0</v>
      </c>
      <c r="M21" s="1283">
        <f t="shared" si="8"/>
        <v>0</v>
      </c>
      <c r="N21" s="1822"/>
      <c r="O21" s="1823"/>
      <c r="P21" s="1283">
        <f t="shared" si="9"/>
        <v>0</v>
      </c>
      <c r="R21" s="1156">
        <f t="shared" si="5"/>
        <v>0</v>
      </c>
      <c r="S21" s="1157">
        <f t="shared" si="5"/>
        <v>0</v>
      </c>
    </row>
    <row r="22" spans="1:19" ht="14.4">
      <c r="A22" s="1824"/>
      <c r="B22" s="49" t="s">
        <v>1779</v>
      </c>
      <c r="C22" s="57"/>
      <c r="D22" s="47">
        <f t="shared" si="6"/>
        <v>0</v>
      </c>
      <c r="E22" s="55">
        <f t="shared" si="1"/>
        <v>0</v>
      </c>
      <c r="F22" s="2996"/>
      <c r="G22" s="2997"/>
      <c r="H22" s="678">
        <f t="shared" si="7"/>
        <v>0</v>
      </c>
      <c r="I22" s="50">
        <f t="shared" si="2"/>
        <v>0</v>
      </c>
      <c r="J22" s="1272"/>
      <c r="K22" s="1271">
        <f t="shared" si="3"/>
        <v>0</v>
      </c>
      <c r="L22" s="1156">
        <f t="shared" si="4"/>
        <v>0</v>
      </c>
      <c r="M22" s="1283">
        <f t="shared" si="8"/>
        <v>0</v>
      </c>
      <c r="N22" s="1822"/>
      <c r="O22" s="1823"/>
      <c r="P22" s="1283">
        <f t="shared" si="9"/>
        <v>0</v>
      </c>
      <c r="R22" s="1156">
        <f t="shared" si="5"/>
        <v>0</v>
      </c>
      <c r="S22" s="1157">
        <f t="shared" si="5"/>
        <v>0</v>
      </c>
    </row>
    <row r="23" spans="1:19" ht="14.4">
      <c r="A23" s="1824"/>
      <c r="B23" s="49" t="s">
        <v>1779</v>
      </c>
      <c r="C23" s="57"/>
      <c r="D23" s="47">
        <f>ROUND($D$3*E23/$E$3,2)</f>
        <v>0</v>
      </c>
      <c r="E23" s="55">
        <f>SUM(F23:G23)</f>
        <v>0</v>
      </c>
      <c r="F23" s="2996"/>
      <c r="G23" s="2997"/>
      <c r="H23" s="678">
        <f>ROUND($D$3*I23/$E$3,2)</f>
        <v>0</v>
      </c>
      <c r="I23" s="50">
        <f t="shared" si="2"/>
        <v>0</v>
      </c>
      <c r="J23" s="1272"/>
      <c r="K23" s="1271">
        <f t="shared" si="3"/>
        <v>0</v>
      </c>
      <c r="L23" s="1156">
        <f t="shared" si="4"/>
        <v>0</v>
      </c>
      <c r="M23" s="1283">
        <f t="shared" si="8"/>
        <v>0</v>
      </c>
      <c r="N23" s="1822"/>
      <c r="O23" s="1823"/>
      <c r="P23" s="1283">
        <f t="shared" si="9"/>
        <v>0</v>
      </c>
      <c r="R23" s="1156">
        <f t="shared" si="5"/>
        <v>0</v>
      </c>
      <c r="S23" s="1157">
        <f t="shared" si="5"/>
        <v>0</v>
      </c>
    </row>
    <row r="24" spans="1:19" ht="14.4">
      <c r="A24" s="1824"/>
      <c r="B24" s="49" t="s">
        <v>1779</v>
      </c>
      <c r="C24" s="57"/>
      <c r="D24" s="47">
        <f>ROUND($D$3*E24/$E$3,2)</f>
        <v>0</v>
      </c>
      <c r="E24" s="55">
        <f>SUM(F24:G24)</f>
        <v>0</v>
      </c>
      <c r="F24" s="2996"/>
      <c r="G24" s="2997"/>
      <c r="H24" s="678">
        <f>ROUND($D$3*I24/$E$3,2)</f>
        <v>0</v>
      </c>
      <c r="I24" s="50">
        <f t="shared" si="2"/>
        <v>0</v>
      </c>
      <c r="J24" s="1272"/>
      <c r="K24" s="1271">
        <f t="shared" si="3"/>
        <v>0</v>
      </c>
      <c r="L24" s="1156">
        <f t="shared" si="4"/>
        <v>0</v>
      </c>
      <c r="M24" s="1283">
        <f t="shared" si="8"/>
        <v>0</v>
      </c>
      <c r="N24" s="1822"/>
      <c r="O24" s="1823"/>
      <c r="P24" s="1283">
        <f t="shared" si="9"/>
        <v>0</v>
      </c>
      <c r="R24" s="1156">
        <f t="shared" si="5"/>
        <v>0</v>
      </c>
      <c r="S24" s="1157">
        <f t="shared" si="5"/>
        <v>0</v>
      </c>
    </row>
    <row r="25" spans="1:19" ht="14.4">
      <c r="A25" s="1824"/>
      <c r="B25" s="49" t="s">
        <v>1779</v>
      </c>
      <c r="C25" s="57"/>
      <c r="D25" s="47">
        <f t="shared" si="6"/>
        <v>0</v>
      </c>
      <c r="E25" s="55">
        <f t="shared" si="1"/>
        <v>0</v>
      </c>
      <c r="F25" s="2996"/>
      <c r="G25" s="2997"/>
      <c r="H25" s="46">
        <f t="shared" si="7"/>
        <v>0</v>
      </c>
      <c r="I25" s="50">
        <f t="shared" si="2"/>
        <v>0</v>
      </c>
      <c r="J25" s="1272"/>
      <c r="K25" s="1271">
        <f t="shared" si="3"/>
        <v>0</v>
      </c>
      <c r="L25" s="1156">
        <f t="shared" si="4"/>
        <v>0</v>
      </c>
      <c r="M25" s="1283">
        <f t="shared" si="8"/>
        <v>0</v>
      </c>
      <c r="N25" s="1822"/>
      <c r="O25" s="1823"/>
      <c r="P25" s="1283">
        <f t="shared" si="9"/>
        <v>0</v>
      </c>
      <c r="R25" s="1156">
        <f t="shared" si="5"/>
        <v>0</v>
      </c>
      <c r="S25" s="1157">
        <f t="shared" si="5"/>
        <v>0</v>
      </c>
    </row>
    <row r="26" spans="1:19" ht="14.4">
      <c r="A26" s="1824"/>
      <c r="B26" s="49" t="s">
        <v>1779</v>
      </c>
      <c r="C26" s="58"/>
      <c r="D26" s="47">
        <f t="shared" si="6"/>
        <v>0</v>
      </c>
      <c r="E26" s="55">
        <f t="shared" si="1"/>
        <v>0</v>
      </c>
      <c r="F26" s="2996"/>
      <c r="G26" s="2997"/>
      <c r="H26" s="46">
        <f t="shared" si="7"/>
        <v>0</v>
      </c>
      <c r="I26" s="50">
        <f t="shared" si="2"/>
        <v>0</v>
      </c>
      <c r="J26" s="1272"/>
      <c r="K26" s="1278">
        <f t="shared" si="3"/>
        <v>0</v>
      </c>
      <c r="L26" s="1279">
        <f t="shared" si="4"/>
        <v>0</v>
      </c>
      <c r="M26" s="62">
        <f t="shared" si="8"/>
        <v>0</v>
      </c>
      <c r="N26" s="1825"/>
      <c r="O26" s="1826"/>
      <c r="P26" s="62">
        <f t="shared" si="9"/>
        <v>0</v>
      </c>
      <c r="R26" s="1156">
        <f t="shared" si="5"/>
        <v>0</v>
      </c>
      <c r="S26" s="1157">
        <f t="shared" si="5"/>
        <v>0</v>
      </c>
    </row>
    <row r="27" spans="1:19" ht="15" thickBot="1">
      <c r="A27" s="1824"/>
      <c r="B27" s="47"/>
      <c r="C27" s="1827" t="s">
        <v>1780</v>
      </c>
      <c r="D27" s="1273">
        <f>SUM(D19:D26)</f>
        <v>31250</v>
      </c>
      <c r="E27" s="1274">
        <f>IF(SUM(E19:E26)='数据-基础表'!BA5,SUM(E19:E26),IF(F27="地上面积有误","面积有误","地下面积有误"))</f>
        <v>24880.78</v>
      </c>
      <c r="F27" s="1273">
        <f>IF(SUM(F19:F26)=E8,SUM(F19:F26),"地上面积有误")</f>
        <v>23078</v>
      </c>
      <c r="G27" s="1275">
        <f>SUM(G19:G26)</f>
        <v>1802.78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31250</v>
      </c>
      <c r="S27" s="1156">
        <f>IF(SUM(S19:S26)=$E$3,SUM(S19:S26),SUM(S19:S26)&amp;"误差"&amp;ROUND(SUM(S19:S26)-E3,2))</f>
        <v>24880.78</v>
      </c>
    </row>
    <row r="28" spans="1:19" ht="14.4">
      <c r="A28" s="1824"/>
      <c r="B28" s="49" t="s">
        <v>1781</v>
      </c>
      <c r="C28" s="1168" t="s">
        <v>1782</v>
      </c>
      <c r="D28" s="47">
        <f>ROUND($D$3*E28/$E$3,2)</f>
        <v>0</v>
      </c>
      <c r="E28" s="55">
        <f>SUM(F28:G28)</f>
        <v>0</v>
      </c>
      <c r="F28" s="59">
        <f>'数据-基础表'!BQ5+'数据-基础表'!BS5</f>
        <v>0</v>
      </c>
      <c r="G28" s="60">
        <f>'数据-基础表'!BR5+'数据-基础表'!BT5</f>
        <v>0</v>
      </c>
      <c r="H28" s="2854"/>
      <c r="I28" s="2854"/>
      <c r="J28" s="2854"/>
      <c r="K28" s="2854"/>
      <c r="L28" s="2854"/>
      <c r="M28" s="2854"/>
      <c r="N28" s="2854"/>
      <c r="O28" s="2854"/>
      <c r="P28" s="2854"/>
    </row>
    <row r="29" spans="1:19" ht="14.4">
      <c r="A29" s="1824"/>
      <c r="B29" s="49" t="s">
        <v>1781</v>
      </c>
      <c r="C29" s="1828" t="s">
        <v>1783</v>
      </c>
      <c r="D29" s="47">
        <f>ROUND($D$3*E29/$E$3,2)</f>
        <v>0</v>
      </c>
      <c r="E29" s="55">
        <f>SUM(F29:G29)</f>
        <v>0</v>
      </c>
      <c r="F29" s="61">
        <f>'数据-基础表'!BM5+'数据-基础表'!BO5</f>
        <v>0</v>
      </c>
      <c r="G29" s="62">
        <f>'数据-基础表'!BN5+'数据-基础表'!BP5</f>
        <v>0</v>
      </c>
      <c r="H29" s="2854"/>
      <c r="I29" s="2854"/>
      <c r="J29" s="2854"/>
      <c r="K29" s="2854"/>
      <c r="L29" s="2854"/>
      <c r="M29" s="2854"/>
      <c r="N29" s="2854"/>
      <c r="O29" s="2854"/>
      <c r="P29" s="2854"/>
    </row>
    <row r="30" spans="1:19" ht="14.4">
      <c r="A30" s="1824"/>
      <c r="B30" s="49"/>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 thickBot="1">
      <c r="A31" s="1830"/>
      <c r="B31" s="1831"/>
      <c r="C31" s="943" t="s">
        <v>1784</v>
      </c>
      <c r="D31" s="684">
        <f>D27+D30</f>
        <v>31250</v>
      </c>
      <c r="E31" s="684">
        <f>E27+E30</f>
        <v>24880.78</v>
      </c>
      <c r="F31" s="685">
        <f>F27+F30</f>
        <v>23078</v>
      </c>
      <c r="G31" s="686">
        <f>G27+G30</f>
        <v>1802.78</v>
      </c>
      <c r="H31" s="2854"/>
      <c r="I31" s="2854"/>
      <c r="J31" s="2854"/>
      <c r="K31" s="2854"/>
      <c r="L31" s="2854"/>
      <c r="M31" s="2854"/>
      <c r="N31" s="2854"/>
      <c r="O31" s="2854"/>
      <c r="P31" s="2854"/>
    </row>
    <row r="32" spans="1:19" ht="14.4">
      <c r="A32" s="1796"/>
      <c r="B32" s="1796" t="s">
        <v>1785</v>
      </c>
      <c r="C32" s="1796"/>
      <c r="D32" s="1796"/>
      <c r="E32" s="1183">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D10" sqref="D10"/>
    </sheetView>
  </sheetViews>
  <sheetFormatPr defaultColWidth="9" defaultRowHeight="15.6"/>
  <cols>
    <col min="1" max="1" width="5.21875" style="3205" customWidth="1"/>
    <col min="2" max="2" width="23.33203125" style="3205" customWidth="1"/>
    <col min="3" max="3" width="25.33203125" style="3205" customWidth="1"/>
    <col min="4" max="4" width="22.33203125" style="3205" customWidth="1"/>
    <col min="5" max="5" width="12.21875" style="3205" customWidth="1"/>
    <col min="6" max="6" width="11" style="3205" customWidth="1"/>
    <col min="7" max="16384" width="9" style="3205"/>
  </cols>
  <sheetData>
    <row r="1" spans="1:9">
      <c r="A1" s="3205" t="s">
        <v>3126</v>
      </c>
      <c r="B1" s="3205" t="s">
        <v>3128</v>
      </c>
      <c r="C1" s="3205" t="s">
        <v>3129</v>
      </c>
      <c r="D1" s="3205" t="s">
        <v>3139</v>
      </c>
      <c r="E1" s="3205" t="s">
        <v>3133</v>
      </c>
      <c r="F1" s="3205" t="s">
        <v>3134</v>
      </c>
    </row>
    <row r="2" spans="1:9">
      <c r="A2" s="3205">
        <v>1</v>
      </c>
      <c r="B2" s="3205" t="s">
        <v>3464</v>
      </c>
      <c r="C2" s="3205" t="s">
        <v>3130</v>
      </c>
      <c r="D2" s="3205" t="s">
        <v>3131</v>
      </c>
      <c r="E2" s="3206">
        <v>54887</v>
      </c>
      <c r="F2" s="3205">
        <v>5040.5</v>
      </c>
    </row>
    <row r="3" spans="1:9">
      <c r="A3" s="3205">
        <v>2</v>
      </c>
      <c r="B3" s="3205" t="s">
        <v>3135</v>
      </c>
      <c r="C3" s="3205" t="s">
        <v>3130</v>
      </c>
      <c r="D3" s="3205" t="s">
        <v>3131</v>
      </c>
      <c r="E3" s="3206">
        <v>54887</v>
      </c>
      <c r="F3" s="3205">
        <v>6495</v>
      </c>
    </row>
    <row r="4" spans="1:9">
      <c r="A4" s="3205">
        <v>3</v>
      </c>
      <c r="B4" s="3205" t="s">
        <v>3136</v>
      </c>
      <c r="C4" s="3205" t="s">
        <v>3130</v>
      </c>
      <c r="D4" s="3205" t="s">
        <v>3131</v>
      </c>
      <c r="E4" s="3206">
        <v>54887</v>
      </c>
      <c r="F4" s="3205">
        <v>6555</v>
      </c>
    </row>
    <row r="5" spans="1:9">
      <c r="A5" s="3205">
        <v>4</v>
      </c>
      <c r="B5" s="3205" t="s">
        <v>3137</v>
      </c>
      <c r="C5" s="3205" t="s">
        <v>3130</v>
      </c>
      <c r="D5" s="3205" t="s">
        <v>3131</v>
      </c>
      <c r="E5" s="3206">
        <v>54887</v>
      </c>
      <c r="F5" s="3205">
        <v>6499.5</v>
      </c>
    </row>
    <row r="6" spans="1:9">
      <c r="A6" s="3205">
        <v>5</v>
      </c>
      <c r="B6" s="3205" t="s">
        <v>3138</v>
      </c>
      <c r="C6" s="3205" t="s">
        <v>3130</v>
      </c>
      <c r="D6" s="3205" t="s">
        <v>3131</v>
      </c>
      <c r="E6" s="3206">
        <v>54887</v>
      </c>
      <c r="F6" s="3205">
        <v>6660</v>
      </c>
    </row>
    <row r="7" spans="1:9">
      <c r="A7" s="3205" t="s">
        <v>3127</v>
      </c>
      <c r="F7" s="3205">
        <f>SUM(F2:F6)</f>
        <v>31250</v>
      </c>
    </row>
    <row r="9" spans="1:9">
      <c r="B9" s="3205" t="s">
        <v>3140</v>
      </c>
      <c r="C9" s="3205" t="s">
        <v>3141</v>
      </c>
      <c r="D9" s="3205" t="s">
        <v>3142</v>
      </c>
    </row>
    <row r="10" spans="1:9">
      <c r="B10" s="3205" t="s">
        <v>3465</v>
      </c>
      <c r="C10" s="3205" t="s">
        <v>3130</v>
      </c>
      <c r="D10" s="3205" t="s">
        <v>3471</v>
      </c>
      <c r="F10" s="3205">
        <v>24880.78</v>
      </c>
    </row>
    <row r="12" spans="1:9">
      <c r="B12" s="3259" t="s">
        <v>3143</v>
      </c>
      <c r="C12" s="3259" t="s">
        <v>3144</v>
      </c>
      <c r="D12" s="3259" t="s">
        <v>3145</v>
      </c>
      <c r="E12" s="3259" t="s">
        <v>3146</v>
      </c>
      <c r="F12" s="3259" t="s">
        <v>3147</v>
      </c>
      <c r="G12" s="3259" t="s">
        <v>3148</v>
      </c>
      <c r="H12" s="3259" t="s">
        <v>3149</v>
      </c>
    </row>
    <row r="13" spans="1:9">
      <c r="B13" s="3352">
        <v>1</v>
      </c>
      <c r="C13" s="3352">
        <v>4</v>
      </c>
      <c r="D13" s="3259"/>
      <c r="E13" s="3260" t="s">
        <v>3150</v>
      </c>
      <c r="F13" s="3259" t="s">
        <v>3151</v>
      </c>
      <c r="G13" s="3259">
        <v>2008</v>
      </c>
      <c r="H13" s="3259">
        <v>4624.5600000000004</v>
      </c>
      <c r="I13" s="3205">
        <v>0.6</v>
      </c>
    </row>
    <row r="14" spans="1:9">
      <c r="B14" s="3352"/>
      <c r="C14" s="3352"/>
      <c r="D14" s="3259"/>
      <c r="E14" s="3259" t="s">
        <v>3155</v>
      </c>
      <c r="F14" s="3259" t="s">
        <v>3151</v>
      </c>
      <c r="G14" s="3259">
        <v>2008</v>
      </c>
      <c r="H14" s="3259">
        <v>77.599999999999994</v>
      </c>
      <c r="I14" s="3205">
        <v>0.6</v>
      </c>
    </row>
    <row r="15" spans="1:9">
      <c r="B15" s="3259">
        <v>2</v>
      </c>
      <c r="C15" s="3259">
        <v>4</v>
      </c>
      <c r="D15" s="3259"/>
      <c r="E15" s="3259"/>
      <c r="F15" s="3259" t="s">
        <v>3151</v>
      </c>
      <c r="G15" s="3259">
        <v>2008</v>
      </c>
      <c r="H15" s="3259">
        <v>3530.68</v>
      </c>
      <c r="I15" s="3205">
        <v>0.65</v>
      </c>
    </row>
    <row r="16" spans="1:9">
      <c r="B16" s="3259">
        <v>3</v>
      </c>
      <c r="C16" s="3259">
        <v>4</v>
      </c>
      <c r="D16" s="3259"/>
      <c r="E16" s="3259"/>
      <c r="F16" s="3259" t="s">
        <v>3151</v>
      </c>
      <c r="G16" s="3259">
        <v>2008</v>
      </c>
      <c r="H16" s="3259">
        <v>3530.68</v>
      </c>
      <c r="I16" s="3205">
        <v>0.65</v>
      </c>
    </row>
    <row r="17" spans="2:9">
      <c r="B17" s="3352">
        <v>4</v>
      </c>
      <c r="C17" s="3352" t="s">
        <v>3152</v>
      </c>
      <c r="D17" s="3259" t="s">
        <v>3156</v>
      </c>
      <c r="E17" s="3259"/>
      <c r="F17" s="3259" t="s">
        <v>3151</v>
      </c>
      <c r="G17" s="3259">
        <v>2008</v>
      </c>
      <c r="H17" s="3259">
        <v>2704.17</v>
      </c>
      <c r="I17" s="3205">
        <v>0.75</v>
      </c>
    </row>
    <row r="18" spans="2:9">
      <c r="B18" s="3352"/>
      <c r="C18" s="3352"/>
      <c r="D18" s="3260" t="s">
        <v>3153</v>
      </c>
      <c r="E18" s="3259" t="s">
        <v>3154</v>
      </c>
      <c r="F18" s="3259" t="s">
        <v>3151</v>
      </c>
      <c r="G18" s="3259">
        <v>2008</v>
      </c>
      <c r="H18" s="3259">
        <v>901.39</v>
      </c>
      <c r="I18" s="3205">
        <v>0.75</v>
      </c>
    </row>
    <row r="19" spans="2:9">
      <c r="B19" s="3352">
        <v>5</v>
      </c>
      <c r="C19" s="3352" t="s">
        <v>3152</v>
      </c>
      <c r="D19" s="3259" t="s">
        <v>3156</v>
      </c>
      <c r="E19" s="3259"/>
      <c r="F19" s="3259" t="s">
        <v>3151</v>
      </c>
      <c r="G19" s="3259">
        <v>2008</v>
      </c>
      <c r="H19" s="3259">
        <v>2704.17</v>
      </c>
      <c r="I19" s="3205">
        <v>0.65</v>
      </c>
    </row>
    <row r="20" spans="2:9">
      <c r="B20" s="3352"/>
      <c r="C20" s="3352"/>
      <c r="D20" s="3260" t="s">
        <v>3153</v>
      </c>
      <c r="E20" s="3259" t="s">
        <v>3154</v>
      </c>
      <c r="F20" s="3259" t="s">
        <v>3151</v>
      </c>
      <c r="G20" s="3259">
        <v>2008</v>
      </c>
      <c r="H20" s="3259">
        <v>901.39</v>
      </c>
      <c r="I20" s="3205">
        <v>0.65</v>
      </c>
    </row>
    <row r="21" spans="2:9">
      <c r="B21" s="3259">
        <v>6</v>
      </c>
      <c r="C21" s="3259">
        <v>3</v>
      </c>
      <c r="D21" s="3259"/>
      <c r="E21" s="3259"/>
      <c r="F21" s="3259" t="s">
        <v>3151</v>
      </c>
      <c r="G21" s="3259">
        <v>2000</v>
      </c>
      <c r="H21" s="3259">
        <v>2953.07</v>
      </c>
      <c r="I21" s="3205">
        <v>0.65</v>
      </c>
    </row>
    <row r="22" spans="2:9">
      <c r="B22" s="3259">
        <v>7</v>
      </c>
      <c r="C22" s="3259">
        <v>3</v>
      </c>
      <c r="D22" s="3259"/>
      <c r="E22" s="3259"/>
      <c r="F22" s="3259" t="s">
        <v>3151</v>
      </c>
      <c r="G22" s="3259">
        <v>2000</v>
      </c>
      <c r="H22" s="3259">
        <v>2953.07</v>
      </c>
      <c r="I22" s="3205">
        <v>0.65</v>
      </c>
    </row>
    <row r="23" spans="2:9">
      <c r="B23" s="3259" t="s">
        <v>3466</v>
      </c>
      <c r="C23" s="3259"/>
      <c r="D23" s="3259"/>
      <c r="E23" s="3259"/>
      <c r="F23" s="3259"/>
      <c r="G23" s="3259"/>
      <c r="H23" s="3259">
        <f>SUM(H13:H22)</f>
        <v>24880.78</v>
      </c>
      <c r="I23" s="3205">
        <f>ROUND((H13*I13+H14*I14+H15*I15+H16*I16+H17*I17+H18*I18+H19*I19+H20*I20+H21*I21+H22*I22)/H23,2)</f>
        <v>0.66</v>
      </c>
    </row>
  </sheetData>
  <mergeCells count="6">
    <mergeCell ref="B13:B14"/>
    <mergeCell ref="B17:B18"/>
    <mergeCell ref="B19:B20"/>
    <mergeCell ref="C17:C18"/>
    <mergeCell ref="C19:C20"/>
    <mergeCell ref="C13:C14"/>
  </mergeCells>
  <phoneticPr fontId="14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23.21875" style="1899" customWidth="1"/>
    <col min="2" max="2" width="12" style="1836" customWidth="1"/>
    <col min="3" max="3" width="12.77734375" style="1836" customWidth="1"/>
    <col min="4" max="4" width="9.109375" style="1900" customWidth="1"/>
    <col min="5" max="5" width="15" style="1836" bestFit="1" customWidth="1"/>
    <col min="6" max="10" width="8.88671875" style="1836" customWidth="1"/>
    <col min="11" max="12" width="12.33203125" style="1754" customWidth="1"/>
    <col min="13" max="13" width="8.6640625" style="1836" customWidth="1"/>
    <col min="14" max="14" width="11.88671875" style="1836" customWidth="1"/>
    <col min="15" max="15" width="11" style="1836" customWidth="1"/>
    <col min="16" max="17" width="10.88671875" style="1836" customWidth="1"/>
    <col min="18" max="19" width="12.44140625" style="1836" customWidth="1"/>
    <col min="20" max="20" width="12.109375" style="1836" customWidth="1"/>
    <col min="21" max="21" width="7.44140625" style="1836" customWidth="1"/>
    <col min="22" max="22" width="6.33203125" style="1836" customWidth="1"/>
    <col min="23" max="30" width="6.77734375" style="1836" customWidth="1"/>
    <col min="31" max="31" width="8" style="1836" customWidth="1"/>
    <col min="32" max="34" width="7.21875" style="1836" customWidth="1"/>
    <col min="35" max="39" width="8" style="1836" customWidth="1"/>
    <col min="40" max="40" width="13.77734375" style="1835"/>
    <col min="41" max="41" width="11.6640625" style="1835" customWidth="1"/>
    <col min="42" max="42" width="9.77734375" style="1835" customWidth="1"/>
    <col min="43" max="67" width="13.77734375" style="1835"/>
    <col min="68" max="16384" width="13.77734375" style="1836"/>
  </cols>
  <sheetData>
    <row r="1" spans="1:67" ht="18"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 thickBot="1">
      <c r="A2" s="1837" t="s">
        <v>1787</v>
      </c>
      <c r="B2" s="1175">
        <f>项目基本情况!D3</f>
        <v>44567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4.4"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3"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57.6">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3165</v>
      </c>
      <c r="O5" s="1856" t="s">
        <v>1807</v>
      </c>
      <c r="P5" s="1859" t="s">
        <v>1808</v>
      </c>
      <c r="Q5" s="64" t="s">
        <v>1809</v>
      </c>
      <c r="R5" s="1860" t="s">
        <v>1810</v>
      </c>
      <c r="S5" s="1861" t="s">
        <v>1811</v>
      </c>
      <c r="T5" s="1862" t="s">
        <v>1812</v>
      </c>
      <c r="U5" s="1176" t="s">
        <v>1813</v>
      </c>
      <c r="V5" s="1177" t="s">
        <v>1814</v>
      </c>
      <c r="W5" s="1177" t="s">
        <v>1815</v>
      </c>
      <c r="X5" s="66"/>
      <c r="Y5" s="65" t="s">
        <v>1816</v>
      </c>
      <c r="Z5" s="1863" t="s">
        <v>1813</v>
      </c>
      <c r="AA5" s="1177" t="s">
        <v>1814</v>
      </c>
      <c r="AB5" s="1177" t="s">
        <v>1815</v>
      </c>
      <c r="AC5" s="66"/>
      <c r="AD5" s="66" t="s">
        <v>1816</v>
      </c>
      <c r="AE5" s="1176" t="s">
        <v>1817</v>
      </c>
      <c r="AF5" s="1177" t="s">
        <v>1818</v>
      </c>
      <c r="AG5" s="65" t="s">
        <v>1819</v>
      </c>
      <c r="AH5" s="1176" t="s">
        <v>1820</v>
      </c>
      <c r="AI5" s="1863" t="s">
        <v>1821</v>
      </c>
      <c r="AJ5" s="1863" t="s">
        <v>1822</v>
      </c>
      <c r="AK5" s="1177" t="s">
        <v>1823</v>
      </c>
      <c r="AL5" s="1177" t="s">
        <v>1824</v>
      </c>
      <c r="AM5" s="65" t="s">
        <v>1825</v>
      </c>
      <c r="AN5" s="1864" t="s">
        <v>1826</v>
      </c>
      <c r="AO5" s="1715" t="s">
        <v>1827</v>
      </c>
      <c r="AP5" s="1158"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3.8">
      <c r="A6" s="1866" t="str">
        <f>'数据-汇总表'!C19</f>
        <v>工业</v>
      </c>
      <c r="B6" s="1867" t="str">
        <f>IF(A6=0,"","经营性")</f>
        <v>经营性</v>
      </c>
      <c r="C6" s="1868" t="s">
        <v>6</v>
      </c>
      <c r="D6" s="966">
        <f>SUMIF(项目基本情况!D$12:I$12,C6,项目基本情况!D$14:I$14)</f>
        <v>50</v>
      </c>
      <c r="E6" s="965">
        <f>IF(B6="","",SUMIF(项目基本情况!D$12:I$12,C6,项目基本情况!D$13:I$13))</f>
        <v>54887</v>
      </c>
      <c r="F6" s="67">
        <f>SUMIF(项目基本情况!D$12:I$12,C6,项目基本情况!D$15:I$15)</f>
        <v>28.27</v>
      </c>
      <c r="G6" s="68">
        <f>IF(ISERROR(ROUND(POWER(1+H6,D6-F6)*(POWER(1+H6,F6)-1)/(POWER(1+H6,D6)-1),3)),0,ROUND(POWER(1+H6,D6-F6)*(POWER(1+H6,F6)-1)/(POWER(1+H6,D6)-1),3))</f>
        <v>0.8</v>
      </c>
      <c r="H6" s="740">
        <v>4.4999999999999998E-2</v>
      </c>
      <c r="I6" s="740">
        <v>0.05</v>
      </c>
      <c r="J6" s="69">
        <v>7.0000000000000007E-2</v>
      </c>
      <c r="K6" s="1160">
        <f>SUMIF('数据-汇总表'!C$19:C$33,A6,'数据-汇总表'!E$19:E$33)</f>
        <v>24880.78</v>
      </c>
      <c r="L6" s="741">
        <v>1800</v>
      </c>
      <c r="M6" s="70">
        <f t="shared" ref="M6:M14" si="0">ROUND(K6*L6/10000,0)</f>
        <v>4479</v>
      </c>
      <c r="N6" s="739">
        <v>0.68</v>
      </c>
      <c r="O6" s="70" t="str">
        <f>IF($N$5="成新度","——",ROUND(M6*N6,0))</f>
        <v>——</v>
      </c>
      <c r="P6" s="71" t="str">
        <f>IF($N$5="成新度","——",M6-O6)</f>
        <v>——</v>
      </c>
      <c r="Q6" s="742">
        <v>0.1</v>
      </c>
      <c r="R6" s="72">
        <f ca="1">SUMIF('数据-汇总表'!C$19:C$33,A6,'数据-汇总表'!R$19:R$27)</f>
        <v>31250</v>
      </c>
      <c r="S6" s="53">
        <f>IF('数据-汇总表'!$I$17="按面积比例",SUMIF('数据-汇总表'!C$19:C$33,A6,'数据-汇总表'!K$19:K$33),SUMIF('数据-汇总表'!C$19:C$33,A6,'数据-汇总表'!N$19:N$33))</f>
        <v>0</v>
      </c>
      <c r="T6" s="1305">
        <f>ROUND($L$14*S6/10000,0)</f>
        <v>0</v>
      </c>
      <c r="U6" s="73">
        <v>0.8</v>
      </c>
      <c r="V6" s="74">
        <v>0.02</v>
      </c>
      <c r="W6" s="3257">
        <v>0.15</v>
      </c>
      <c r="X6" s="1170"/>
      <c r="Y6" s="75">
        <f>N6</f>
        <v>0.68</v>
      </c>
      <c r="Z6" s="76"/>
      <c r="AA6" s="69"/>
      <c r="AB6" s="69"/>
      <c r="AC6" s="1170"/>
      <c r="AD6" s="77"/>
      <c r="AE6" s="1171">
        <f ca="1">IF(AN6="",0,SUMIF(INDIRECT("'"&amp;AN6&amp;"'"&amp;"!E:E"),$AE$5,INDIRECT("'"&amp;AN6&amp;"'"&amp;"!F:F")))</f>
        <v>28.27</v>
      </c>
      <c r="AF6" s="1500"/>
      <c r="AG6" s="142">
        <f>IF(AF6="",0,AE6-AF6)</f>
        <v>0</v>
      </c>
      <c r="AH6" s="78"/>
      <c r="AI6" s="80">
        <v>365</v>
      </c>
      <c r="AJ6" s="81"/>
      <c r="AK6" s="82">
        <v>5.0000000000000001E-3</v>
      </c>
      <c r="AL6" s="83">
        <v>1E-3</v>
      </c>
      <c r="AM6" s="84">
        <v>5.0000000000000001E-3</v>
      </c>
      <c r="AN6" s="1869" t="s">
        <v>3167</v>
      </c>
      <c r="AO6" s="54">
        <f ca="1">SUMIF(INDIRECT("'"&amp;AN6&amp;"'"&amp;"!A:A"),"总价",INDIRECT("'"&amp;AN6&amp;"'"&amp;"!B:B"))</f>
        <v>8800</v>
      </c>
      <c r="AP6" s="1870">
        <f>IF(C6="住宅",K6*L6,0)</f>
        <v>0</v>
      </c>
      <c r="AQ6" s="54">
        <f>ROUND($L$14*$N$14*S6/10000,0)</f>
        <v>0</v>
      </c>
      <c r="AR6" s="54">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3.8">
      <c r="A7" s="1866">
        <f>'数据-汇总表'!C20</f>
        <v>0</v>
      </c>
      <c r="B7" s="1867" t="str">
        <f t="shared" ref="B7:B13" si="1">IF(A7=0,"","经营性")</f>
        <v/>
      </c>
      <c r="C7" s="186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3257"/>
      <c r="X7" s="1170"/>
      <c r="Y7" s="75"/>
      <c r="Z7" s="76"/>
      <c r="AA7" s="69"/>
      <c r="AB7" s="69"/>
      <c r="AC7" s="1170"/>
      <c r="AD7" s="77"/>
      <c r="AE7" s="1171">
        <f t="shared" ref="AE7:AE13" ca="1" si="6">IF(AN7="",0,SUMIF(INDIRECT("'"&amp;AN7&amp;"'"&amp;"!E:E"),$AE$5,INDIRECT("'"&amp;AN7&amp;"'"&amp;"!F:F")))</f>
        <v>0</v>
      </c>
      <c r="AF7" s="1500"/>
      <c r="AG7" s="142">
        <f t="shared" ref="AG7:AG13" si="7">IF(AF7="",0,AE7-AF7)</f>
        <v>0</v>
      </c>
      <c r="AH7" s="78"/>
      <c r="AI7" s="80"/>
      <c r="AJ7" s="81"/>
      <c r="AK7" s="82"/>
      <c r="AL7" s="83"/>
      <c r="AM7" s="84"/>
      <c r="AN7" s="1869"/>
      <c r="AO7" s="54" t="e">
        <f t="shared" ref="AO7:AO13" ca="1" si="8">SUMIF(INDIRECT("'"&amp;AN7&amp;"'"&amp;"!A:A"),"总价",INDIRECT("'"&amp;AN7&amp;"'"&amp;"!B:B"))</f>
        <v>#REF!</v>
      </c>
      <c r="AP7" s="1870">
        <f t="shared" ref="AP7:AP13" si="9">IF(C7="住宅",K7*L7,0)</f>
        <v>0</v>
      </c>
      <c r="AQ7" s="54">
        <f t="shared" ref="AQ7:AQ13" si="10">ROUND($L$14*$N$14*S7/10000,0)</f>
        <v>0</v>
      </c>
      <c r="AR7" s="54">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3.8">
      <c r="A8" s="1866">
        <f>'数据-汇总表'!C21</f>
        <v>0</v>
      </c>
      <c r="B8" s="1867" t="str">
        <f t="shared" si="1"/>
        <v/>
      </c>
      <c r="C8" s="186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0"/>
      <c r="AG8" s="142">
        <f t="shared" si="7"/>
        <v>0</v>
      </c>
      <c r="AH8" s="746"/>
      <c r="AI8" s="80"/>
      <c r="AJ8" s="81"/>
      <c r="AK8" s="747"/>
      <c r="AL8" s="748"/>
      <c r="AM8" s="749"/>
      <c r="AN8" s="1869"/>
      <c r="AO8" s="54" t="e">
        <f t="shared" ca="1" si="8"/>
        <v>#REF!</v>
      </c>
      <c r="AP8" s="1870">
        <f t="shared" si="9"/>
        <v>0</v>
      </c>
      <c r="AQ8" s="54">
        <f t="shared" si="10"/>
        <v>0</v>
      </c>
      <c r="AR8" s="54">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3.8">
      <c r="A9" s="1866">
        <f>'数据-汇总表'!C22</f>
        <v>0</v>
      </c>
      <c r="B9" s="1867" t="str">
        <f t="shared" si="1"/>
        <v/>
      </c>
      <c r="C9" s="186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0"/>
      <c r="AG9" s="142">
        <f t="shared" si="7"/>
        <v>0</v>
      </c>
      <c r="AH9" s="78"/>
      <c r="AI9" s="80"/>
      <c r="AJ9" s="81"/>
      <c r="AK9" s="82"/>
      <c r="AL9" s="83"/>
      <c r="AM9" s="84"/>
      <c r="AN9" s="1869"/>
      <c r="AO9" s="54" t="e">
        <f t="shared" ca="1" si="8"/>
        <v>#REF!</v>
      </c>
      <c r="AP9" s="1870">
        <f t="shared" si="9"/>
        <v>0</v>
      </c>
      <c r="AQ9" s="54">
        <f t="shared" si="10"/>
        <v>0</v>
      </c>
      <c r="AR9" s="54">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3.8">
      <c r="A10" s="1866">
        <f>'数据-汇总表'!C23</f>
        <v>0</v>
      </c>
      <c r="B10" s="1867" t="str">
        <f t="shared" si="1"/>
        <v/>
      </c>
      <c r="C10" s="186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0"/>
      <c r="AG10" s="142">
        <f t="shared" si="7"/>
        <v>0</v>
      </c>
      <c r="AH10" s="78"/>
      <c r="AI10" s="80"/>
      <c r="AJ10" s="81"/>
      <c r="AK10" s="82"/>
      <c r="AL10" s="83"/>
      <c r="AM10" s="84"/>
      <c r="AN10" s="1869"/>
      <c r="AO10" s="54" t="e">
        <f t="shared" ca="1" si="8"/>
        <v>#REF!</v>
      </c>
      <c r="AP10" s="1870">
        <f t="shared" si="9"/>
        <v>0</v>
      </c>
      <c r="AQ10" s="54">
        <f t="shared" si="10"/>
        <v>0</v>
      </c>
      <c r="AR10" s="54">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3.8">
      <c r="A11" s="1866">
        <f>'数据-汇总表'!C24</f>
        <v>0</v>
      </c>
      <c r="B11" s="1867" t="str">
        <f t="shared" si="1"/>
        <v/>
      </c>
      <c r="C11" s="186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0"/>
      <c r="AG11" s="142">
        <f t="shared" si="7"/>
        <v>0</v>
      </c>
      <c r="AH11" s="78"/>
      <c r="AI11" s="80"/>
      <c r="AJ11" s="81"/>
      <c r="AK11" s="89"/>
      <c r="AL11" s="90"/>
      <c r="AM11" s="91"/>
      <c r="AN11" s="1869"/>
      <c r="AO11" s="54" t="e">
        <f t="shared" ca="1" si="8"/>
        <v>#REF!</v>
      </c>
      <c r="AP11" s="1870">
        <f t="shared" si="9"/>
        <v>0</v>
      </c>
      <c r="AQ11" s="54">
        <f t="shared" si="10"/>
        <v>0</v>
      </c>
      <c r="AR11" s="54">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3.8">
      <c r="A12" s="1866">
        <f>'数据-汇总表'!C25</f>
        <v>0</v>
      </c>
      <c r="B12" s="1867" t="str">
        <f t="shared" si="1"/>
        <v/>
      </c>
      <c r="C12" s="186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0"/>
      <c r="AG12" s="142">
        <f t="shared" si="7"/>
        <v>0</v>
      </c>
      <c r="AH12" s="78"/>
      <c r="AI12" s="80"/>
      <c r="AJ12" s="81"/>
      <c r="AK12" s="89"/>
      <c r="AL12" s="90"/>
      <c r="AM12" s="91"/>
      <c r="AN12" s="1869"/>
      <c r="AO12" s="54" t="e">
        <f t="shared" ca="1" si="8"/>
        <v>#REF!</v>
      </c>
      <c r="AP12" s="1870">
        <f t="shared" si="9"/>
        <v>0</v>
      </c>
      <c r="AQ12" s="54">
        <f t="shared" si="10"/>
        <v>0</v>
      </c>
      <c r="AR12" s="54">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3.8">
      <c r="A13" s="1866">
        <f>'数据-汇总表'!C26</f>
        <v>0</v>
      </c>
      <c r="B13" s="1867" t="str">
        <f t="shared" si="1"/>
        <v/>
      </c>
      <c r="C13" s="186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0"/>
      <c r="AG13" s="142">
        <f t="shared" si="7"/>
        <v>0</v>
      </c>
      <c r="AH13" s="78"/>
      <c r="AI13" s="80"/>
      <c r="AJ13" s="81"/>
      <c r="AK13" s="82"/>
      <c r="AL13" s="83"/>
      <c r="AM13" s="84"/>
      <c r="AN13" s="1869"/>
      <c r="AO13" s="54" t="e">
        <f t="shared" ca="1" si="8"/>
        <v>#REF!</v>
      </c>
      <c r="AP13" s="1870">
        <f t="shared" si="9"/>
        <v>0</v>
      </c>
      <c r="AQ13" s="54">
        <f t="shared" si="10"/>
        <v>0</v>
      </c>
      <c r="AR13" s="54">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4">
      <c r="A14" s="1871" t="s">
        <v>1831</v>
      </c>
      <c r="B14" s="1867" t="s">
        <v>1832</v>
      </c>
      <c r="C14" s="1872"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4">
      <c r="A15" s="1871" t="s">
        <v>1833</v>
      </c>
      <c r="B15" s="1867" t="s">
        <v>1832</v>
      </c>
      <c r="C15" s="1872"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 thickBot="1">
      <c r="A16" s="1873" t="s">
        <v>1835</v>
      </c>
      <c r="B16" s="92"/>
      <c r="C16" s="941"/>
      <c r="D16" s="1874"/>
      <c r="E16" s="92"/>
      <c r="F16" s="92"/>
      <c r="G16" s="93">
        <f>ROUND(SUMPRODUCT(G6:G13,K6:K13)/SUMPRODUCT((G6:G13&gt;0)*(K6:K13)),3)</f>
        <v>0.8</v>
      </c>
      <c r="H16" s="94">
        <f>ROUND(SUMPRODUCT(H6:H13,K6:K13)/SUMPRODUCT((H6:H13&gt;0)*(K6:K13)),3)</f>
        <v>4.4999999999999998E-2</v>
      </c>
      <c r="I16" s="95"/>
      <c r="J16" s="95"/>
      <c r="K16" s="96">
        <f>SUM(K6:K15)</f>
        <v>24880.78</v>
      </c>
      <c r="L16" s="97">
        <f>ROUND(M16*10000/SUM(K6:K14),0)</f>
        <v>1800</v>
      </c>
      <c r="M16" s="97">
        <f>SUM(M6:M14)</f>
        <v>4479</v>
      </c>
      <c r="N16" s="98">
        <f>ROUND(SUMPRODUCT(M6:M14,N6:N14)/M16,3)</f>
        <v>0.68</v>
      </c>
      <c r="O16" s="97">
        <f>SUM(O6:O14)</f>
        <v>0</v>
      </c>
      <c r="P16" s="97">
        <f>SUM(P6:P14)</f>
        <v>0</v>
      </c>
      <c r="Q16" s="99">
        <f>ROUND(SUMPRODUCT(Q6:Q13,K6:K13)/SUMPRODUCT((Q6:Q13&gt;0)*(K6:K13)),2)</f>
        <v>0.1</v>
      </c>
      <c r="R16" s="1164">
        <f ca="1">SUM(R6:R13)</f>
        <v>31250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8"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3" t="s">
        <v>1836</v>
      </c>
      <c r="B18" s="2882"/>
      <c r="C18" s="2870"/>
      <c r="D18" s="2873"/>
      <c r="E18" s="2870"/>
      <c r="F18" s="2870"/>
      <c r="G18" s="2870"/>
      <c r="H18" s="2870"/>
      <c r="I18" s="2870"/>
      <c r="J18" s="2870"/>
      <c r="K18" s="2869"/>
      <c r="L18" s="2869"/>
      <c r="M18" s="2868"/>
      <c r="N18" s="2868">
        <v>2008</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6" t="s">
        <v>1837</v>
      </c>
      <c r="B19" s="107">
        <v>0</v>
      </c>
      <c r="C19" s="2998" t="s">
        <v>2989</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7" t="s">
        <v>1838</v>
      </c>
      <c r="B20" s="108">
        <v>1.5</v>
      </c>
      <c r="C20" s="2999" t="s">
        <v>2987</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78" t="s">
        <v>1839</v>
      </c>
      <c r="B21" s="108">
        <v>1.5</v>
      </c>
      <c r="C21" s="2870"/>
      <c r="D21" s="2873"/>
      <c r="E21" s="2870"/>
      <c r="F21" s="2870"/>
      <c r="G21" s="2870"/>
      <c r="H21" s="2870"/>
      <c r="I21" s="2870"/>
      <c r="J21" s="2870">
        <f>2022-2000</f>
        <v>22</v>
      </c>
      <c r="K21" s="2869"/>
      <c r="L21" s="2869"/>
      <c r="M21" s="3254" t="s">
        <v>3453</v>
      </c>
      <c r="N21" s="3256">
        <f>ROUND((1-0.98*(2022-N18)/50),2)</f>
        <v>0.73</v>
      </c>
      <c r="O21" s="2872">
        <f>Sheet1!H13+Sheet1!H15+Sheet1!H16+Sheet1!H17+Sheet1!H19+Sheet1!H20+Sheet1!H18+Sheet1!H14</f>
        <v>18974.64</v>
      </c>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7" t="s">
        <v>1840</v>
      </c>
      <c r="B22" s="109">
        <f>B19+B20</f>
        <v>1.5</v>
      </c>
      <c r="C22" s="2870"/>
      <c r="D22" s="2873"/>
      <c r="E22" s="2870"/>
      <c r="F22" s="2870"/>
      <c r="G22" s="2870"/>
      <c r="H22" s="2870"/>
      <c r="I22" s="2870"/>
      <c r="J22" s="2870"/>
      <c r="K22" s="2869"/>
      <c r="L22" s="2869"/>
      <c r="M22" s="2868"/>
      <c r="N22" s="3256">
        <f>ROUND((1-0.98*(2022-N19)/50),2)</f>
        <v>0.56999999999999995</v>
      </c>
      <c r="O22" s="2872">
        <f>Sheet1!H23-'数据-取费表'!O21</f>
        <v>5906.1399999999994</v>
      </c>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78" t="s">
        <v>1841</v>
      </c>
      <c r="B23" s="109">
        <f>B19+B21</f>
        <v>1.5</v>
      </c>
      <c r="C23" s="2870"/>
      <c r="D23" s="2873"/>
      <c r="E23" s="2870"/>
      <c r="F23" s="2870"/>
      <c r="G23" s="2870"/>
      <c r="H23" s="2870"/>
      <c r="I23" s="2870"/>
      <c r="J23" s="2870"/>
      <c r="K23" s="2869"/>
      <c r="L23" s="2869"/>
      <c r="M23" s="2868"/>
      <c r="N23" s="2868">
        <f>ROUND((N21*O21+N22*O22)/K16,2)</f>
        <v>0.69</v>
      </c>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0">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0"/>
      <c r="B25" s="1841"/>
      <c r="C25" s="2870"/>
      <c r="D25" s="2873"/>
      <c r="E25" s="2870"/>
      <c r="F25" s="2870"/>
      <c r="G25" s="2870"/>
      <c r="H25" s="2870"/>
      <c r="I25" s="2870"/>
      <c r="J25" s="2870"/>
      <c r="K25" s="2869"/>
      <c r="L25" s="2869"/>
      <c r="M25" s="3254" t="s">
        <v>3458</v>
      </c>
      <c r="N25" s="2868">
        <v>0.66</v>
      </c>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8.8">
      <c r="A27" s="1881" t="s">
        <v>1846</v>
      </c>
      <c r="B27" s="111"/>
      <c r="C27" s="3000" t="s">
        <v>2991</v>
      </c>
      <c r="D27" s="2876"/>
      <c r="E27" s="2856"/>
      <c r="F27" s="2856"/>
      <c r="G27" s="2870"/>
      <c r="H27" s="2870"/>
      <c r="I27" s="2870"/>
      <c r="J27" s="2870"/>
      <c r="K27" s="2869"/>
      <c r="L27" s="2869"/>
      <c r="M27" s="2868"/>
      <c r="N27" s="2868">
        <f>ROUND((N23+N25)/2,2)</f>
        <v>0.68</v>
      </c>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8.8">
      <c r="A28" s="1883" t="s">
        <v>1847</v>
      </c>
      <c r="B28" s="114">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9.4" thickBot="1">
      <c r="A29" s="1884" t="s">
        <v>1848</v>
      </c>
      <c r="B29" s="116">
        <v>473</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8.8">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8.8">
      <c r="A31" s="1883" t="s">
        <v>1850</v>
      </c>
      <c r="B31" s="115">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9.4"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4">
      <c r="A33" s="1881" t="s">
        <v>1852</v>
      </c>
      <c r="B33" s="681">
        <v>0.03</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4">
      <c r="A34" s="1883" t="s">
        <v>1853</v>
      </c>
      <c r="B34" s="117">
        <v>0</v>
      </c>
      <c r="C34" s="3002" t="s">
        <v>2980</v>
      </c>
      <c r="D34" s="2881" t="s">
        <v>2988</v>
      </c>
      <c r="E34" s="2879"/>
      <c r="F34" s="2870"/>
      <c r="G34" s="2870"/>
      <c r="H34" s="2870"/>
      <c r="I34" s="2870"/>
      <c r="J34" s="2870"/>
      <c r="K34" s="2869" t="s">
        <v>3455</v>
      </c>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4">
      <c r="A35" s="1883" t="s">
        <v>1854</v>
      </c>
      <c r="B35" s="114">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5" t="s">
        <v>1856</v>
      </c>
      <c r="B37" s="119">
        <v>0.01</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3" t="s">
        <v>1857</v>
      </c>
      <c r="B38" s="117">
        <v>0.01</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4.4" thickBot="1">
      <c r="A40" s="3014" t="s">
        <v>3166</v>
      </c>
      <c r="B40" s="1209">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1" t="s">
        <v>1859</v>
      </c>
      <c r="B41" s="120">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7" t="s">
        <v>1861</v>
      </c>
      <c r="B43" s="122">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88" t="s">
        <v>1862</v>
      </c>
      <c r="B44" s="123">
        <v>0.05</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88" t="s">
        <v>1863</v>
      </c>
      <c r="B45" s="121">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88" t="s">
        <v>1864</v>
      </c>
      <c r="B46" s="121">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0" t="s">
        <v>1866</v>
      </c>
      <c r="B48" s="125">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1" t="s">
        <v>1870</v>
      </c>
      <c r="B52" s="128">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3" t="s">
        <v>1871</v>
      </c>
      <c r="B53" s="1892" t="s">
        <v>56</v>
      </c>
      <c r="C53" s="2856" t="s">
        <v>1872</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3" t="s">
        <v>1873</v>
      </c>
      <c r="B54" s="79"/>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3" t="s">
        <v>1874</v>
      </c>
      <c r="B55" s="79"/>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3" t="s">
        <v>1875</v>
      </c>
      <c r="B56" s="79"/>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3" t="s">
        <v>1876</v>
      </c>
      <c r="B57" s="79"/>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3" t="s">
        <v>1877</v>
      </c>
      <c r="B58" s="79"/>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3" t="s">
        <v>1878</v>
      </c>
      <c r="B59" s="79">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3" t="s">
        <v>1879</v>
      </c>
      <c r="B60" s="79"/>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3" t="s">
        <v>1880</v>
      </c>
      <c r="B61" s="79"/>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3" t="s">
        <v>1881</v>
      </c>
      <c r="B62" s="79"/>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6"/>
      <c r="L134" s="26"/>
    </row>
    <row r="135" spans="1:12" s="1835" customFormat="1">
      <c r="A135" s="1897"/>
      <c r="D135" s="1898"/>
      <c r="K135" s="26"/>
      <c r="L135" s="26"/>
    </row>
    <row r="136" spans="1:12" s="1835" customFormat="1">
      <c r="A136" s="1897"/>
      <c r="D136" s="1898"/>
      <c r="K136" s="26"/>
      <c r="L136" s="26"/>
    </row>
    <row r="137" spans="1:12" s="1835" customFormat="1">
      <c r="A137" s="1897"/>
      <c r="D137" s="1898"/>
      <c r="K137" s="26"/>
      <c r="L137" s="26"/>
    </row>
    <row r="138" spans="1:12" s="1835" customFormat="1">
      <c r="A138" s="1897"/>
      <c r="D138" s="1898"/>
      <c r="K138" s="26"/>
      <c r="L138" s="26"/>
    </row>
    <row r="139" spans="1:12" s="1835" customFormat="1">
      <c r="A139" s="1897"/>
      <c r="D139" s="1898"/>
      <c r="K139" s="26"/>
      <c r="L139" s="26"/>
    </row>
    <row r="140" spans="1:12" s="1835" customFormat="1">
      <c r="A140" s="1897"/>
      <c r="D140" s="1898"/>
      <c r="K140" s="26"/>
      <c r="L140" s="26"/>
    </row>
    <row r="141" spans="1:12" s="1835" customFormat="1">
      <c r="A141" s="1897"/>
      <c r="D141" s="1898"/>
      <c r="K141" s="26"/>
      <c r="L141" s="26"/>
    </row>
    <row r="142" spans="1:12" s="1835" customFormat="1">
      <c r="A142" s="1897"/>
      <c r="D142" s="1898"/>
      <c r="K142" s="26"/>
      <c r="L142" s="26"/>
    </row>
    <row r="143" spans="1:12" s="1835" customFormat="1">
      <c r="A143" s="1897"/>
      <c r="D143" s="1898"/>
      <c r="K143" s="26"/>
      <c r="L143" s="26"/>
    </row>
    <row r="144" spans="1:12" s="1835" customFormat="1">
      <c r="A144" s="1897"/>
      <c r="D144" s="1898"/>
      <c r="K144" s="26"/>
      <c r="L144" s="26"/>
    </row>
    <row r="145" spans="1:12" s="1835" customFormat="1">
      <c r="A145" s="1897"/>
      <c r="D145" s="1898"/>
      <c r="K145" s="26"/>
      <c r="L145" s="26"/>
    </row>
    <row r="146" spans="1:12" s="1835" customFormat="1">
      <c r="A146" s="1897"/>
      <c r="D146" s="1898"/>
      <c r="K146" s="26"/>
      <c r="L146" s="26"/>
    </row>
    <row r="147" spans="1:12" s="1835" customFormat="1">
      <c r="A147" s="1897"/>
      <c r="D147" s="1898"/>
      <c r="K147" s="26"/>
      <c r="L147" s="26"/>
    </row>
    <row r="148" spans="1:12" s="1835" customFormat="1">
      <c r="A148" s="1897"/>
      <c r="D148" s="1898"/>
      <c r="K148" s="26"/>
      <c r="L148" s="26"/>
    </row>
    <row r="149" spans="1:12" s="1835" customFormat="1">
      <c r="A149" s="1897"/>
      <c r="D149" s="1898"/>
      <c r="K149" s="26"/>
      <c r="L149" s="26"/>
    </row>
    <row r="150" spans="1:12" s="1835" customFormat="1">
      <c r="A150" s="1897"/>
      <c r="D150" s="1898"/>
      <c r="K150" s="26"/>
      <c r="L150" s="26"/>
    </row>
    <row r="151" spans="1:12" s="1835" customFormat="1">
      <c r="A151" s="1897"/>
      <c r="D151" s="1898"/>
      <c r="K151" s="26"/>
      <c r="L151" s="26"/>
    </row>
    <row r="152" spans="1:12" s="1835" customFormat="1">
      <c r="A152" s="1897"/>
      <c r="D152" s="1898"/>
      <c r="K152" s="26"/>
      <c r="L152" s="26"/>
    </row>
    <row r="153" spans="1:12" s="1835" customFormat="1">
      <c r="A153" s="1897"/>
      <c r="D153" s="1898"/>
      <c r="K153" s="26"/>
      <c r="L153" s="26"/>
    </row>
    <row r="154" spans="1:12" s="1835" customFormat="1">
      <c r="A154" s="1897"/>
      <c r="D154" s="1898"/>
      <c r="K154" s="26"/>
      <c r="L154" s="26"/>
    </row>
    <row r="155" spans="1:12" s="1835" customFormat="1">
      <c r="A155" s="1897"/>
      <c r="D155" s="1898"/>
      <c r="K155" s="26"/>
      <c r="L155" s="26"/>
    </row>
    <row r="156" spans="1:12" s="1835" customFormat="1">
      <c r="A156" s="1897"/>
      <c r="D156" s="1898"/>
      <c r="K156" s="26"/>
      <c r="L156" s="26"/>
    </row>
    <row r="157" spans="1:12" s="1835" customFormat="1">
      <c r="A157" s="1897"/>
      <c r="D157" s="1898"/>
      <c r="K157" s="26"/>
      <c r="L157" s="26"/>
    </row>
    <row r="158" spans="1:12" s="1835" customFormat="1">
      <c r="A158" s="1897"/>
      <c r="D158" s="1898"/>
      <c r="K158" s="26"/>
      <c r="L158" s="26"/>
    </row>
    <row r="159" spans="1:12" s="1835" customFormat="1">
      <c r="A159" s="1897"/>
      <c r="D159" s="1898"/>
      <c r="K159" s="26"/>
      <c r="L159" s="26"/>
    </row>
    <row r="160" spans="1:12" s="1835" customFormat="1">
      <c r="A160" s="1897"/>
      <c r="D160" s="1898"/>
      <c r="K160" s="26"/>
      <c r="L160" s="26"/>
    </row>
    <row r="161" spans="1:12" s="1835" customFormat="1">
      <c r="A161" s="1897"/>
      <c r="D161" s="1898"/>
      <c r="K161" s="26"/>
      <c r="L161" s="26"/>
    </row>
    <row r="162" spans="1:12" s="1835" customFormat="1">
      <c r="A162" s="1897"/>
      <c r="D162" s="1898"/>
      <c r="K162" s="26"/>
      <c r="L162" s="26"/>
    </row>
    <row r="163" spans="1:12" s="1835" customFormat="1">
      <c r="A163" s="1897"/>
      <c r="D163" s="1898"/>
      <c r="K163" s="26"/>
      <c r="L163" s="26"/>
    </row>
    <row r="164" spans="1:12" s="1835" customFormat="1">
      <c r="A164" s="1897"/>
      <c r="D164" s="1898"/>
      <c r="K164" s="26"/>
      <c r="L164" s="26"/>
    </row>
    <row r="165" spans="1:12" s="1835" customFormat="1">
      <c r="A165" s="1897"/>
      <c r="D165" s="1898"/>
      <c r="K165" s="26"/>
      <c r="L165" s="26"/>
    </row>
    <row r="166" spans="1:12" s="1835" customFormat="1">
      <c r="A166" s="1897"/>
      <c r="D166" s="1898"/>
      <c r="K166" s="26"/>
      <c r="L166" s="26"/>
    </row>
    <row r="167" spans="1:12" s="1835" customFormat="1">
      <c r="A167" s="1897"/>
      <c r="D167" s="1898"/>
      <c r="K167" s="26"/>
      <c r="L167" s="26"/>
    </row>
    <row r="168" spans="1:12" s="1835" customFormat="1">
      <c r="A168" s="1897"/>
      <c r="D168" s="1898"/>
      <c r="K168" s="26"/>
      <c r="L168" s="26"/>
    </row>
    <row r="169" spans="1:12" s="1835" customFormat="1">
      <c r="A169" s="1897"/>
      <c r="D169" s="1898"/>
      <c r="K169" s="26"/>
      <c r="L169" s="26"/>
    </row>
    <row r="170" spans="1:12" s="1835" customFormat="1">
      <c r="A170" s="1897"/>
      <c r="D170" s="1898"/>
      <c r="K170" s="26"/>
      <c r="L170" s="26"/>
    </row>
    <row r="171" spans="1:12" s="1835" customFormat="1">
      <c r="A171" s="1897"/>
      <c r="D171" s="1898"/>
      <c r="K171" s="26"/>
      <c r="L171" s="26"/>
    </row>
    <row r="172" spans="1:12" s="1835" customFormat="1">
      <c r="A172" s="1897"/>
      <c r="D172" s="1898"/>
      <c r="K172" s="26"/>
      <c r="L172" s="26"/>
    </row>
    <row r="173" spans="1:12" s="1835" customFormat="1">
      <c r="A173" s="1897"/>
      <c r="D173" s="1898"/>
      <c r="K173" s="26"/>
      <c r="L173" s="26"/>
    </row>
    <row r="174" spans="1:12" s="1835" customFormat="1">
      <c r="A174" s="1897"/>
      <c r="D174" s="189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0" customWidth="1"/>
    <col min="2" max="2" width="24.44140625" style="1725" customWidth="1"/>
    <col min="3" max="3" width="24.44140625" style="2704" customWidth="1"/>
    <col min="4" max="4" width="2.6640625" style="2704" customWidth="1"/>
    <col min="5" max="5" width="5.88671875" style="2704" customWidth="1"/>
    <col min="6" max="6" width="27" style="1725" customWidth="1"/>
    <col min="7" max="7" width="27" style="2705" customWidth="1"/>
    <col min="8" max="8" width="11.88671875" style="2685" customWidth="1"/>
    <col min="9" max="9" width="16.77734375" style="2686" customWidth="1"/>
    <col min="10" max="10" width="2.6640625" style="2685" customWidth="1"/>
    <col min="11" max="11" width="11.88671875" style="2685" customWidth="1"/>
    <col min="12" max="12" width="16.77734375" style="2686" customWidth="1"/>
    <col min="13" max="13" width="2.6640625" style="2685" customWidth="1"/>
    <col min="14" max="14" width="11.88671875" style="2685" customWidth="1"/>
    <col min="15" max="15" width="16.77734375" style="2686" customWidth="1"/>
    <col min="16" max="16" width="2.6640625" style="2685" customWidth="1"/>
    <col min="17" max="17" width="11.88671875" style="2685" customWidth="1"/>
    <col min="18" max="18" width="16.77734375" style="2687" customWidth="1"/>
    <col min="19" max="29" width="9" style="906"/>
    <col min="30" max="16384" width="9" style="1840"/>
  </cols>
  <sheetData>
    <row r="1" spans="1:29" s="2651" customFormat="1" ht="18" thickBot="1">
      <c r="A1" s="3353" t="s">
        <v>2970</v>
      </c>
      <c r="B1" s="3354"/>
      <c r="C1" s="3354"/>
      <c r="D1" s="3354"/>
      <c r="E1" s="3354"/>
      <c r="F1" s="3354"/>
      <c r="G1" s="335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7.200000000000003">
      <c r="A4" s="2636"/>
      <c r="B4" s="328" t="s">
        <v>2938</v>
      </c>
      <c r="C4" s="2662" t="s">
        <v>2939</v>
      </c>
      <c r="D4" s="2659"/>
      <c r="E4" s="2663"/>
      <c r="F4" s="1525" t="s">
        <v>2940</v>
      </c>
      <c r="G4" s="2664" t="s">
        <v>2941</v>
      </c>
      <c r="H4" s="906"/>
      <c r="I4" s="906"/>
      <c r="J4" s="906"/>
      <c r="K4" s="906"/>
      <c r="L4" s="906"/>
      <c r="M4" s="906"/>
      <c r="N4" s="906"/>
      <c r="O4" s="906"/>
      <c r="P4" s="906"/>
      <c r="Q4" s="906"/>
      <c r="R4" s="906"/>
    </row>
    <row r="5" spans="1:29" ht="37.200000000000003">
      <c r="A5" s="2636"/>
      <c r="B5" s="328" t="s">
        <v>2942</v>
      </c>
      <c r="C5" s="2662" t="s">
        <v>2943</v>
      </c>
      <c r="D5" s="2659"/>
      <c r="E5" s="2663"/>
      <c r="F5" s="328" t="s">
        <v>2944</v>
      </c>
      <c r="G5" s="2664" t="s">
        <v>2945</v>
      </c>
      <c r="H5" s="906"/>
      <c r="I5" s="906"/>
      <c r="J5" s="906"/>
      <c r="K5" s="906"/>
      <c r="L5" s="906"/>
      <c r="M5" s="906"/>
      <c r="N5" s="906"/>
      <c r="O5" s="906"/>
      <c r="P5" s="906"/>
      <c r="Q5" s="906"/>
      <c r="R5" s="906"/>
    </row>
    <row r="6" spans="1:29" ht="48">
      <c r="A6" s="2636"/>
      <c r="B6" s="328" t="s">
        <v>2946</v>
      </c>
      <c r="C6" s="2664" t="s">
        <v>2941</v>
      </c>
      <c r="D6" s="2659"/>
      <c r="E6" s="2663"/>
      <c r="F6" s="328" t="s">
        <v>2947</v>
      </c>
      <c r="G6" s="2664" t="s">
        <v>2948</v>
      </c>
      <c r="H6" s="906"/>
      <c r="I6" s="906"/>
      <c r="J6" s="906"/>
      <c r="K6" s="906"/>
      <c r="L6" s="906"/>
      <c r="M6" s="906"/>
      <c r="N6" s="906"/>
      <c r="O6" s="906"/>
      <c r="P6" s="906"/>
      <c r="Q6" s="906"/>
      <c r="R6" s="906"/>
    </row>
    <row r="7" spans="1:29" ht="36.6" thickBot="1">
      <c r="A7" s="2636"/>
      <c r="B7" s="328" t="s">
        <v>2944</v>
      </c>
      <c r="C7" s="2664" t="s">
        <v>2945</v>
      </c>
      <c r="D7" s="2665"/>
      <c r="E7" s="2666"/>
      <c r="F7" s="2667" t="s">
        <v>2949</v>
      </c>
      <c r="G7" s="2668" t="s">
        <v>2950</v>
      </c>
      <c r="H7" s="906"/>
      <c r="I7" s="906"/>
      <c r="J7" s="906"/>
      <c r="K7" s="906"/>
      <c r="L7" s="906"/>
      <c r="M7" s="906"/>
      <c r="N7" s="906"/>
      <c r="O7" s="906"/>
      <c r="P7" s="906"/>
      <c r="Q7" s="906"/>
      <c r="R7" s="906"/>
    </row>
    <row r="8" spans="1:29" ht="24">
      <c r="A8" s="2636"/>
      <c r="B8" s="328" t="s">
        <v>2947</v>
      </c>
      <c r="C8" s="2664" t="s">
        <v>2948</v>
      </c>
      <c r="D8" s="2665"/>
      <c r="E8" s="2665"/>
      <c r="F8" s="2669"/>
      <c r="G8" s="2669"/>
      <c r="H8" s="906"/>
      <c r="I8" s="906"/>
      <c r="J8" s="906"/>
      <c r="K8" s="906"/>
      <c r="L8" s="906"/>
      <c r="M8" s="906"/>
      <c r="N8" s="906"/>
      <c r="O8" s="906"/>
      <c r="P8" s="906"/>
      <c r="Q8" s="906"/>
      <c r="R8" s="906"/>
    </row>
    <row r="9" spans="1:29" ht="24">
      <c r="A9" s="2636"/>
      <c r="B9" s="328" t="s">
        <v>2951</v>
      </c>
      <c r="C9" s="2662" t="s">
        <v>2952</v>
      </c>
      <c r="D9" s="2659"/>
      <c r="E9" s="2665"/>
      <c r="F9" s="2669"/>
      <c r="G9" s="2669"/>
      <c r="H9" s="906"/>
      <c r="I9" s="906"/>
      <c r="J9" s="906"/>
      <c r="K9" s="906"/>
      <c r="L9" s="906"/>
      <c r="M9" s="906"/>
      <c r="N9" s="906"/>
      <c r="O9" s="906"/>
      <c r="P9" s="906"/>
      <c r="Q9" s="906"/>
      <c r="R9" s="906"/>
    </row>
    <row r="10" spans="1:29" s="2675" customFormat="1" ht="14.4"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7.399999999999999">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 thickBot="1">
      <c r="A13" s="2684" t="s">
        <v>2971</v>
      </c>
      <c r="B13" s="2678"/>
      <c r="C13" s="2678"/>
      <c r="D13" s="2676"/>
      <c r="E13" s="2678"/>
      <c r="F13" s="2678"/>
      <c r="G13" s="2678"/>
    </row>
    <row r="14" spans="1:29" ht="14.4" thickBot="1">
      <c r="A14" s="2688"/>
      <c r="B14" s="2688"/>
      <c r="C14" s="2689" t="s">
        <v>2954</v>
      </c>
      <c r="D14" s="2659"/>
      <c r="E14" s="2690"/>
      <c r="F14" s="2690"/>
      <c r="G14" s="2654" t="s">
        <v>2955</v>
      </c>
    </row>
    <row r="15" spans="1:29" ht="52.8">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9.6">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9.6">
      <c r="A17" s="2640"/>
      <c r="B17" s="2694" t="s">
        <v>2942</v>
      </c>
      <c r="C17" s="2695" t="str">
        <f>C5</f>
        <v>估价对象位于XX商圈，周边办公楼项目较多，入驻率高，办公集聚程度较好</v>
      </c>
      <c r="D17" s="2665"/>
      <c r="E17" s="2641"/>
      <c r="F17" s="2696" t="s">
        <v>2959</v>
      </c>
      <c r="G17" s="2698"/>
    </row>
    <row r="18" spans="1:18" ht="52.8">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6.4">
      <c r="A19" s="2640"/>
      <c r="B19" s="2696" t="s">
        <v>2960</v>
      </c>
      <c r="C19" s="2698"/>
      <c r="D19" s="2659"/>
      <c r="E19" s="2641"/>
      <c r="F19" s="328" t="s">
        <v>2944</v>
      </c>
      <c r="G19" s="2697" t="str">
        <f>G5</f>
        <v>估价对象所在区域公共配套设施齐备情况</v>
      </c>
    </row>
    <row r="20" spans="1:18" ht="26.4">
      <c r="A20" s="2640"/>
      <c r="B20" s="2696" t="s">
        <v>2961</v>
      </c>
      <c r="C20" s="2695" t="str">
        <f>C9</f>
        <v>区域自然环境：；人文环境；综合评价环境状况一般</v>
      </c>
      <c r="D20" s="2665"/>
      <c r="E20" s="2641"/>
      <c r="F20" s="328" t="s">
        <v>2947</v>
      </c>
      <c r="G20" s="2697" t="str">
        <f>G6</f>
        <v>估价对象所在区域基础设施水平</v>
      </c>
    </row>
    <row r="21" spans="1:18" ht="26.4">
      <c r="A21" s="2640"/>
      <c r="B21" s="328" t="s">
        <v>2944</v>
      </c>
      <c r="C21" s="2697" t="str">
        <f>C7</f>
        <v>估价对象所在区域公共配套设施齐备情况</v>
      </c>
      <c r="D21" s="2659"/>
      <c r="E21" s="2641"/>
      <c r="F21" s="2696" t="s">
        <v>2962</v>
      </c>
      <c r="G21" s="2699"/>
    </row>
    <row r="22" spans="1:18" ht="13.5" customHeight="1">
      <c r="A22" s="2640"/>
      <c r="B22" s="328" t="s">
        <v>2947</v>
      </c>
      <c r="C22" s="2697" t="str">
        <f>C8</f>
        <v>估价对象所在区域基础设施水平</v>
      </c>
      <c r="D22" s="2659"/>
      <c r="E22" s="2641"/>
      <c r="F22" s="2696" t="s">
        <v>2953</v>
      </c>
      <c r="G22" s="2698"/>
    </row>
    <row r="23" spans="1:18" s="906" customFormat="1" ht="14.4" thickBot="1">
      <c r="A23" s="2640"/>
      <c r="B23" s="2696" t="s">
        <v>2962</v>
      </c>
      <c r="C23" s="2699"/>
      <c r="D23" s="1895"/>
      <c r="E23" s="2642"/>
      <c r="F23" s="2700" t="s">
        <v>2963</v>
      </c>
      <c r="G23" s="2701"/>
      <c r="H23" s="2685"/>
      <c r="I23" s="2686"/>
      <c r="J23" s="2685"/>
      <c r="K23" s="2685"/>
      <c r="L23" s="2686"/>
      <c r="M23" s="2685"/>
      <c r="N23" s="2685"/>
      <c r="O23" s="2686"/>
      <c r="P23" s="2685"/>
      <c r="Q23" s="2685"/>
      <c r="R23" s="2687"/>
    </row>
    <row r="24" spans="1:18" s="906" customFormat="1" ht="14.4" thickBot="1">
      <c r="A24" s="2643"/>
      <c r="B24" s="2700" t="s">
        <v>2964</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5" sqref="H35"/>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24880.78</v>
      </c>
      <c r="C1" s="2883"/>
      <c r="D1" s="2883"/>
      <c r="E1" s="2883"/>
      <c r="F1" s="2883"/>
      <c r="G1" s="2884"/>
      <c r="H1" s="2885"/>
      <c r="I1" s="2885"/>
      <c r="J1" s="2885"/>
      <c r="K1" s="2885"/>
    </row>
    <row r="2" spans="1:11" ht="16.2">
      <c r="A2" s="2706" t="s">
        <v>1259</v>
      </c>
      <c r="B2" s="2706">
        <f>SUM(C14:C23)</f>
        <v>31250</v>
      </c>
      <c r="C2" s="2883"/>
      <c r="D2" s="2883"/>
      <c r="E2" s="2883"/>
      <c r="F2" s="2883"/>
      <c r="G2" s="2884"/>
      <c r="H2" s="2885"/>
      <c r="I2" s="2885"/>
      <c r="J2" s="2885"/>
      <c r="K2" s="2885"/>
    </row>
    <row r="3" spans="1:11" ht="15.6">
      <c r="A3" s="2706" t="s">
        <v>1268</v>
      </c>
      <c r="B3" s="2708">
        <f>项目基本情况!D3</f>
        <v>44567</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9409</v>
      </c>
      <c r="C5" s="2706">
        <f ca="1">ROUND(B5*10000/$B$1,0)</f>
        <v>3782</v>
      </c>
      <c r="D5" s="2706">
        <f ca="1">ROUND(B5*10000/$B$2,0)</f>
        <v>3011</v>
      </c>
      <c r="E5" s="2883"/>
      <c r="F5" s="2884"/>
      <c r="G5" s="2884"/>
      <c r="H5" s="2885"/>
      <c r="I5" s="2885"/>
      <c r="J5" s="2885"/>
      <c r="K5" s="2885"/>
    </row>
    <row r="6" spans="1:11" ht="15.6">
      <c r="A6" s="2706" t="s">
        <v>1262</v>
      </c>
      <c r="B6" s="2706">
        <f ca="1">SUM(G14:G23)</f>
        <v>9409</v>
      </c>
      <c r="C6" s="2706">
        <f ca="1">ROUND(B6*10000/$B$1,0)</f>
        <v>3782</v>
      </c>
      <c r="D6" s="2706">
        <f ca="1">ROUND(B6*10000/$B$2,0)</f>
        <v>3011</v>
      </c>
      <c r="E6" s="2883"/>
      <c r="F6" s="2884"/>
      <c r="G6" s="2884"/>
      <c r="H6" s="2885"/>
      <c r="I6" s="2885"/>
      <c r="J6" s="2885"/>
      <c r="K6" s="2885"/>
    </row>
    <row r="7" spans="1:11" ht="15.6">
      <c r="A7" s="2706" t="s">
        <v>1270</v>
      </c>
      <c r="B7" s="2706">
        <f>SUM(H14:H23)</f>
        <v>0</v>
      </c>
      <c r="C7" s="2706">
        <f>ROUND(B7*10000/$B$1,0)</f>
        <v>0</v>
      </c>
      <c r="D7" s="2706">
        <f>ROUND(B7*10000/$B$2,0)</f>
        <v>0</v>
      </c>
      <c r="E7" s="2883"/>
      <c r="F7" s="2884"/>
      <c r="G7" s="2884"/>
      <c r="H7" s="2885"/>
      <c r="I7" s="2885"/>
      <c r="J7" s="2885"/>
      <c r="K7" s="2885"/>
    </row>
    <row r="8" spans="1:11" ht="15.6">
      <c r="A8" s="2706" t="s">
        <v>1193</v>
      </c>
      <c r="B8" s="2706">
        <f>SUM(I14:I23)</f>
        <v>0</v>
      </c>
      <c r="C8" s="2706">
        <f>ROUND(B8*10000/$B$1,0)</f>
        <v>0</v>
      </c>
      <c r="D8" s="2706">
        <f>ROUND(B8*10000/$B$2,0)</f>
        <v>0</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结果表!B118</f>
        <v>24880.78</v>
      </c>
      <c r="C14" s="2712">
        <f>结果表!C118</f>
        <v>31250</v>
      </c>
      <c r="D14" s="2712">
        <f ca="1">结果表!H118</f>
        <v>9409</v>
      </c>
      <c r="E14" s="2712">
        <f ca="1">ROUND(D14*10000/B14,0)</f>
        <v>3782</v>
      </c>
      <c r="F14" s="2712">
        <f ca="1">ROUND(D14*10000/C14,0)</f>
        <v>3011</v>
      </c>
      <c r="G14" s="2712">
        <f ca="1">结果表!D122</f>
        <v>9409</v>
      </c>
      <c r="H14" s="2712" t="str">
        <f>结果表!D124</f>
        <v>——</v>
      </c>
      <c r="I14" s="2712" t="str">
        <f>结果表!D126</f>
        <v>——</v>
      </c>
      <c r="J14" s="2884"/>
      <c r="K14" s="2885"/>
    </row>
    <row r="15" spans="1:11" ht="15.6">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5.6">
      <c r="A16" s="2711" t="s">
        <v>1254</v>
      </c>
      <c r="B16" s="2713"/>
      <c r="C16" s="2713"/>
      <c r="D16" s="2713"/>
      <c r="E16" s="2712" t="e">
        <f t="shared" si="0"/>
        <v>#DIV/0!</v>
      </c>
      <c r="F16" s="2712" t="e">
        <f t="shared" si="1"/>
        <v>#DIV/0!</v>
      </c>
      <c r="G16" s="1469"/>
      <c r="H16" s="1469"/>
      <c r="I16" s="2713"/>
      <c r="J16" s="2885"/>
      <c r="K16" s="2885"/>
    </row>
    <row r="17" spans="1:11" ht="15.6">
      <c r="A17" s="2711" t="s">
        <v>1253</v>
      </c>
      <c r="B17" s="2713"/>
      <c r="C17" s="2713"/>
      <c r="D17" s="2713"/>
      <c r="E17" s="2712" t="e">
        <f t="shared" si="0"/>
        <v>#DIV/0!</v>
      </c>
      <c r="F17" s="2712" t="e">
        <f t="shared" si="1"/>
        <v>#DIV/0!</v>
      </c>
      <c r="G17" s="1469"/>
      <c r="H17" s="1469"/>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L123" sqref="L123"/>
    </sheetView>
  </sheetViews>
  <sheetFormatPr defaultColWidth="12.6640625" defaultRowHeight="21.75" customHeight="1"/>
  <cols>
    <col min="1" max="2" width="12.6640625" style="1907"/>
    <col min="3" max="4" width="12.6640625" style="1907" customWidth="1"/>
    <col min="5" max="9" width="12.6640625" style="1907"/>
    <col min="10" max="11" width="12.6640625" style="733" customWidth="1"/>
    <col min="12" max="12" width="12.6640625" style="733"/>
    <col min="13" max="13" width="14.109375" style="733" bestFit="1" customWidth="1"/>
    <col min="14" max="26" width="12.6640625" style="733"/>
    <col min="27" max="35" width="12.6640625" style="1906"/>
    <col min="36" max="16384" width="12.6640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425" t="str">
        <f>项目基本情况!S2</f>
        <v>北京市房地产</v>
      </c>
      <c r="B2" s="3426"/>
      <c r="C2" s="3426"/>
      <c r="D2" s="3426"/>
      <c r="E2" s="3426"/>
      <c r="F2" s="3426"/>
      <c r="G2" s="3426"/>
      <c r="H2" s="3426"/>
      <c r="I2" s="3427"/>
    </row>
    <row r="3" spans="1:12" ht="13.2">
      <c r="A3" s="3429" t="s">
        <v>1890</v>
      </c>
      <c r="B3" s="3430"/>
      <c r="C3" s="3430"/>
      <c r="D3" s="3430"/>
      <c r="E3" s="3430"/>
      <c r="F3" s="3430"/>
      <c r="G3" s="3430"/>
      <c r="H3" s="3430"/>
      <c r="I3" s="3430"/>
    </row>
    <row r="4" spans="1:12" ht="14.4">
      <c r="A4" s="1908" t="s">
        <v>1891</v>
      </c>
      <c r="B4" s="1909" t="s">
        <v>1892</v>
      </c>
      <c r="C4" s="1910" t="s">
        <v>3174</v>
      </c>
      <c r="D4" s="1910" t="s">
        <v>3173</v>
      </c>
      <c r="E4" s="3434" t="s">
        <v>1893</v>
      </c>
      <c r="F4" s="3435"/>
      <c r="G4" s="3435"/>
      <c r="H4" s="3435"/>
      <c r="I4" s="343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370" t="s">
        <v>1894</v>
      </c>
      <c r="B5" s="3428">
        <v>25</v>
      </c>
      <c r="C5" s="3431">
        <v>23</v>
      </c>
      <c r="D5" s="3419">
        <v>23</v>
      </c>
      <c r="E5" s="135" t="s">
        <v>1895</v>
      </c>
      <c r="F5" s="1911"/>
      <c r="G5" s="1911"/>
      <c r="H5" s="1911"/>
      <c r="I5" s="1525"/>
    </row>
    <row r="6" spans="1:12" ht="13.2">
      <c r="A6" s="3370"/>
      <c r="B6" s="3428"/>
      <c r="C6" s="3433"/>
      <c r="D6" s="3419"/>
      <c r="E6" s="135" t="s">
        <v>1896</v>
      </c>
      <c r="F6" s="1911"/>
      <c r="G6" s="1911"/>
      <c r="H6" s="1911"/>
      <c r="I6" s="1525"/>
    </row>
    <row r="7" spans="1:12" ht="13.2">
      <c r="A7" s="3370"/>
      <c r="B7" s="3428"/>
      <c r="C7" s="3432"/>
      <c r="D7" s="3419"/>
      <c r="E7" s="135" t="s">
        <v>1897</v>
      </c>
      <c r="F7" s="1911"/>
      <c r="G7" s="1911"/>
      <c r="H7" s="1911"/>
      <c r="I7" s="1525"/>
    </row>
    <row r="8" spans="1:12" ht="13.2">
      <c r="A8" s="3370" t="s">
        <v>1898</v>
      </c>
      <c r="B8" s="3428">
        <v>15</v>
      </c>
      <c r="C8" s="3431">
        <v>14</v>
      </c>
      <c r="D8" s="3419">
        <v>14</v>
      </c>
      <c r="E8" s="135" t="s">
        <v>1899</v>
      </c>
      <c r="F8" s="1911"/>
      <c r="G8" s="1911"/>
      <c r="H8" s="1911"/>
      <c r="I8" s="1525"/>
    </row>
    <row r="9" spans="1:12" ht="13.2">
      <c r="A9" s="3370"/>
      <c r="B9" s="3428"/>
      <c r="C9" s="3432"/>
      <c r="D9" s="3419"/>
      <c r="E9" s="135" t="s">
        <v>1900</v>
      </c>
      <c r="F9" s="1911"/>
      <c r="G9" s="1911"/>
      <c r="H9" s="1911"/>
      <c r="I9" s="1525"/>
    </row>
    <row r="10" spans="1:12" ht="13.2">
      <c r="A10" s="3370" t="s">
        <v>1901</v>
      </c>
      <c r="B10" s="3428">
        <v>15</v>
      </c>
      <c r="C10" s="3431">
        <v>14</v>
      </c>
      <c r="D10" s="3419">
        <v>13</v>
      </c>
      <c r="E10" s="135" t="s">
        <v>1902</v>
      </c>
      <c r="F10" s="1911"/>
      <c r="G10" s="1911"/>
      <c r="H10" s="1911"/>
      <c r="I10" s="1525"/>
    </row>
    <row r="11" spans="1:12" ht="13.2">
      <c r="A11" s="3370"/>
      <c r="B11" s="3428"/>
      <c r="C11" s="3432"/>
      <c r="D11" s="3419"/>
      <c r="E11" s="135" t="s">
        <v>1903</v>
      </c>
      <c r="F11" s="1911"/>
      <c r="G11" s="1911"/>
      <c r="H11" s="1911"/>
      <c r="I11" s="1525"/>
    </row>
    <row r="12" spans="1:12" ht="13.2">
      <c r="A12" s="3370" t="s">
        <v>1904</v>
      </c>
      <c r="B12" s="3428">
        <v>15</v>
      </c>
      <c r="C12" s="3431">
        <v>13</v>
      </c>
      <c r="D12" s="3419">
        <v>14</v>
      </c>
      <c r="E12" s="135" t="s">
        <v>1905</v>
      </c>
      <c r="F12" s="1911"/>
      <c r="G12" s="1911"/>
      <c r="H12" s="1911"/>
      <c r="I12" s="1525"/>
    </row>
    <row r="13" spans="1:12" ht="13.2">
      <c r="A13" s="3370"/>
      <c r="B13" s="3428"/>
      <c r="C13" s="3432"/>
      <c r="D13" s="3419"/>
      <c r="E13" s="135" t="s">
        <v>1906</v>
      </c>
      <c r="F13" s="1911"/>
      <c r="G13" s="1911"/>
      <c r="H13" s="1911"/>
      <c r="I13" s="1525"/>
    </row>
    <row r="14" spans="1:12" ht="13.2">
      <c r="A14" s="3370" t="s">
        <v>1907</v>
      </c>
      <c r="B14" s="3428">
        <v>30</v>
      </c>
      <c r="C14" s="3431">
        <v>28</v>
      </c>
      <c r="D14" s="3419">
        <v>28</v>
      </c>
      <c r="E14" s="135" t="s">
        <v>1908</v>
      </c>
      <c r="F14" s="1911"/>
      <c r="G14" s="1911"/>
      <c r="H14" s="1911"/>
      <c r="I14" s="1525"/>
    </row>
    <row r="15" spans="1:12" ht="13.2">
      <c r="A15" s="3370"/>
      <c r="B15" s="3428"/>
      <c r="C15" s="3433"/>
      <c r="D15" s="3419"/>
      <c r="E15" s="135" t="s">
        <v>1909</v>
      </c>
      <c r="F15" s="1911"/>
      <c r="G15" s="1911"/>
      <c r="H15" s="1911"/>
      <c r="I15" s="1525"/>
    </row>
    <row r="16" spans="1:12" ht="13.2">
      <c r="A16" s="3370"/>
      <c r="B16" s="3428"/>
      <c r="C16" s="3432"/>
      <c r="D16" s="3419"/>
      <c r="E16" s="135" t="s">
        <v>1910</v>
      </c>
      <c r="F16" s="1911"/>
      <c r="G16" s="1911"/>
      <c r="H16" s="1911"/>
      <c r="I16" s="1525"/>
    </row>
    <row r="17" spans="1:36" ht="14.4">
      <c r="A17" s="1912" t="s">
        <v>1911</v>
      </c>
      <c r="B17" s="59"/>
      <c r="C17" s="136">
        <f>SUM(C5:C16)</f>
        <v>92</v>
      </c>
      <c r="D17" s="136">
        <f>SUM(D5:D16)</f>
        <v>92</v>
      </c>
      <c r="E17" s="133"/>
      <c r="F17" s="133"/>
      <c r="G17" s="133"/>
      <c r="H17" s="133"/>
      <c r="I17" s="133"/>
      <c r="K17" s="307"/>
      <c r="L17" s="307" t="s">
        <v>1912</v>
      </c>
      <c r="M17" s="307" t="s">
        <v>1913</v>
      </c>
    </row>
    <row r="18" spans="1:36" ht="31.95" customHeight="1" thickBot="1">
      <c r="A18" s="1913" t="s">
        <v>1914</v>
      </c>
      <c r="B18" s="1914"/>
      <c r="C18" s="137">
        <f>ROUND(C17/SUM(C17:D17),2)</f>
        <v>0.5</v>
      </c>
      <c r="D18" s="137">
        <f>1-C18</f>
        <v>0.5</v>
      </c>
      <c r="E18" s="3450" t="s">
        <v>2811</v>
      </c>
      <c r="F18" s="3451"/>
      <c r="G18" s="3451"/>
      <c r="H18" s="3451"/>
      <c r="I18" s="3451"/>
      <c r="K18" s="307" t="s">
        <v>1915</v>
      </c>
      <c r="L18" s="307">
        <f>IF(C1="",'数据-汇总表'!E3,SUMIF(项目类型,C1,'数据-汇总表'!E17:E26)+SUMIF(项目类型,C1,'数据-汇总表'!I17:I26))</f>
        <v>24880.78</v>
      </c>
      <c r="M18" s="307">
        <f>IF(C1="",'数据-汇总表'!E3,SUMIF(项目类型,C1,'数据-汇总表'!E17:E26))</f>
        <v>24880.78</v>
      </c>
    </row>
    <row r="19" spans="1:36" ht="14.4">
      <c r="A19" s="1915" t="s">
        <v>1916</v>
      </c>
      <c r="B19" s="1916" t="s">
        <v>1917</v>
      </c>
      <c r="C19" s="138">
        <f ca="1">SUMIF(INDIRECT("'"&amp;C4&amp;"'"&amp;"!A:A"),结果表!B19,INDIRECT("'"&amp;C4&amp;"'"&amp;"!B:B"))</f>
        <v>10018</v>
      </c>
      <c r="D19" s="139">
        <f ca="1">SUMIF(INDIRECT("'"&amp;D4&amp;"'"&amp;"!A:A"),结果表!B19,INDIRECT("'"&amp;D4&amp;"'"&amp;"!B:B"))</f>
        <v>8800</v>
      </c>
      <c r="E19" s="1915" t="s">
        <v>1918</v>
      </c>
      <c r="F19" s="1916" t="s">
        <v>1917</v>
      </c>
      <c r="G19" s="140">
        <f ca="1">ROUND(C19*$C$18+D19*$D$18,0)</f>
        <v>9409</v>
      </c>
      <c r="H19" s="1917" t="s">
        <v>1919</v>
      </c>
      <c r="I19" s="133"/>
      <c r="K19" s="307" t="s">
        <v>1920</v>
      </c>
      <c r="L19" s="307">
        <f>IF(C1="",'数据-汇总表'!D3,SUMIF(项目类型,C1,'数据-汇总表'!D17:D26)+SUMIF(项目类型,C1,'数据-汇总表'!H17:H27))</f>
        <v>31250</v>
      </c>
      <c r="M19" s="307">
        <f>IF(C1="",'数据-汇总表'!D3,SUMIF(项目类型,C1,'数据-汇总表'!D17:D26))</f>
        <v>31250</v>
      </c>
    </row>
    <row r="20" spans="1:36" ht="14.4">
      <c r="A20" s="1918"/>
      <c r="B20" s="1156" t="s">
        <v>1921</v>
      </c>
      <c r="C20" s="141">
        <f ca="1">SUMIF(INDIRECT("'"&amp;C4&amp;"'"&amp;"!A:A"),结果表!B20,INDIRECT("'"&amp;C4&amp;"'"&amp;"!B:B"))</f>
        <v>4026</v>
      </c>
      <c r="D20" s="142">
        <f ca="1">SUMIF(INDIRECT("'"&amp;D4&amp;"'"&amp;"!A:A"),结果表!B20,INDIRECT("'"&amp;D4&amp;"'"&amp;"!B:B"))</f>
        <v>3537</v>
      </c>
      <c r="E20" s="1918"/>
      <c r="F20" s="1156" t="s">
        <v>1921</v>
      </c>
      <c r="G20" s="143">
        <f ca="1">ROUND(C20*$C$18+D20*$D$18,0)</f>
        <v>3782</v>
      </c>
      <c r="H20" s="916" t="s">
        <v>1922</v>
      </c>
      <c r="I20" s="133"/>
    </row>
    <row r="21" spans="1:36" ht="15" customHeight="1" thickBot="1">
      <c r="A21" s="936"/>
      <c r="B21" s="1919" t="s">
        <v>1923</v>
      </c>
      <c r="C21" s="727">
        <f ca="1">ROUND(C19*10000/L19,0)</f>
        <v>3206</v>
      </c>
      <c r="D21" s="728">
        <f ca="1">ROUND(D19*10000/L19,0)</f>
        <v>2816</v>
      </c>
      <c r="E21" s="936"/>
      <c r="F21" s="1919" t="s">
        <v>1923</v>
      </c>
      <c r="G21" s="144">
        <f ca="1">ROUND(G19*10000/L19,0)</f>
        <v>3011</v>
      </c>
      <c r="H21" s="1920" t="s">
        <v>1922</v>
      </c>
      <c r="I21" s="133"/>
    </row>
    <row r="22" spans="1:36" ht="15" thickBot="1">
      <c r="A22" s="1842" t="s">
        <v>1924</v>
      </c>
      <c r="B22" s="1921"/>
      <c r="C22" s="1922"/>
      <c r="D22" s="729">
        <f ca="1">IF(C19&lt;D19,D19/C19-1,C19/D19-1)</f>
        <v>0.13840909090909093</v>
      </c>
      <c r="E22" s="133"/>
      <c r="F22" s="133"/>
      <c r="G22" s="133"/>
      <c r="H22" s="133"/>
      <c r="I22" s="133"/>
    </row>
    <row r="23" spans="1:36" ht="13.8" thickBot="1">
      <c r="A23" s="1901"/>
      <c r="B23" s="1901"/>
      <c r="C23" s="1901"/>
      <c r="D23" s="1901"/>
      <c r="E23" s="133"/>
      <c r="F23" s="133"/>
      <c r="G23" s="133"/>
      <c r="H23" s="133"/>
      <c r="I23" s="133"/>
    </row>
    <row r="24" spans="1:36" ht="14.4">
      <c r="A24" s="3443" t="s">
        <v>1925</v>
      </c>
      <c r="B24" s="1916" t="s">
        <v>1917</v>
      </c>
      <c r="C24" s="140">
        <f>IF(B30=0,0,D30)</f>
        <v>0</v>
      </c>
      <c r="D24" s="1923"/>
      <c r="E24" s="133"/>
      <c r="F24" s="133"/>
      <c r="G24" s="133"/>
      <c r="H24" s="133"/>
      <c r="I24" s="133"/>
    </row>
    <row r="25" spans="1:36" ht="14.4">
      <c r="A25" s="3444"/>
      <c r="B25" s="1156"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3.8">
      <c r="A27" s="1925"/>
      <c r="B27" s="146">
        <v>0</v>
      </c>
      <c r="C27" s="146">
        <v>0</v>
      </c>
      <c r="D27" s="147"/>
      <c r="E27" s="133"/>
      <c r="F27" s="133"/>
      <c r="G27" s="133"/>
      <c r="H27" s="133"/>
      <c r="I27" s="133"/>
    </row>
    <row r="28" spans="1:36" ht="13.8">
      <c r="A28" s="1925"/>
      <c r="B28" s="146"/>
      <c r="C28" s="146"/>
      <c r="D28" s="147"/>
      <c r="E28" s="133"/>
      <c r="F28" s="133"/>
      <c r="G28" s="133"/>
      <c r="H28" s="133"/>
      <c r="I28" s="133"/>
    </row>
    <row r="29" spans="1:36" ht="13.8">
      <c r="A29" s="1925"/>
      <c r="B29" s="146"/>
      <c r="C29" s="146"/>
      <c r="D29" s="147"/>
      <c r="E29" s="133"/>
      <c r="F29" s="133"/>
      <c r="G29" s="133"/>
      <c r="H29" s="133"/>
      <c r="I29" s="133"/>
    </row>
    <row r="30" spans="1:36" ht="15" thickBot="1">
      <c r="A30" s="146" t="s">
        <v>1930</v>
      </c>
      <c r="B30" s="146"/>
      <c r="C30" s="146"/>
      <c r="D30" s="146"/>
      <c r="E30" s="2489" t="s">
        <v>2812</v>
      </c>
      <c r="F30" s="133"/>
      <c r="G30" s="133"/>
      <c r="H30" s="133"/>
      <c r="I30" s="133"/>
    </row>
    <row r="31" spans="1:36" s="2495" customFormat="1" ht="26.4"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5.6" thickTop="1" thickBot="1">
      <c r="A32" s="1927" t="s">
        <v>1931</v>
      </c>
      <c r="B32" s="1928"/>
      <c r="C32" s="148">
        <f ca="1">IF(D32="总价",G19-C24,G20-C25)</f>
        <v>9409</v>
      </c>
      <c r="D32" s="1929" t="s">
        <v>3406</v>
      </c>
      <c r="E32" s="133"/>
      <c r="F32" s="133"/>
      <c r="G32" s="133"/>
      <c r="H32" s="133"/>
      <c r="I32" s="133"/>
    </row>
    <row r="33" spans="1:15" ht="14.4">
      <c r="A33" s="893" t="s">
        <v>1932</v>
      </c>
      <c r="B33" s="1930"/>
      <c r="C33" s="1931" t="s">
        <v>3407</v>
      </c>
      <c r="D33" s="1932" t="s">
        <v>3174</v>
      </c>
      <c r="E33" s="1933" t="s">
        <v>1933</v>
      </c>
      <c r="F33" s="1934" t="str">
        <f>IF(D32="楼面单价","取值（单价）","取值（总价）")</f>
        <v>取值（总价）</v>
      </c>
      <c r="G33" s="133"/>
      <c r="H33" s="133"/>
      <c r="I33" s="133"/>
    </row>
    <row r="34" spans="1:15" ht="14.4">
      <c r="A34" s="1935"/>
      <c r="B34" s="1936" t="s">
        <v>1934</v>
      </c>
      <c r="C34" s="152">
        <f ca="1">IF(C33="自定义",F34,C32-C35)</f>
        <v>5373</v>
      </c>
      <c r="D34" s="969">
        <f ca="1">IF(C33="自定义",ROUND(C34/C32,3),IF(C33="收益比率",SUMIF(INDIRECT("'"&amp;D33&amp;"'"&amp;"!b:b"),"土地收益比率",INDIRECT("'"&amp;D33&amp;"'"&amp;"!c:c")),SUMIF(INDIRECT("'"&amp;D33&amp;"'"&amp;"!b:b"),"土地成本比率",INDIRECT("'"&amp;D33&amp;"'"&amp;"!c:c"))))</f>
        <v>0.57099999999999995</v>
      </c>
      <c r="E34" s="1937" t="s">
        <v>1935</v>
      </c>
      <c r="F34" s="1468"/>
      <c r="G34" s="133"/>
      <c r="H34" s="133"/>
      <c r="I34" s="133"/>
    </row>
    <row r="35" spans="1:15" ht="15" thickBot="1">
      <c r="A35" s="1938"/>
      <c r="B35" s="1939" t="s">
        <v>1936</v>
      </c>
      <c r="C35" s="1303">
        <f ca="1">IF(C33="自定义",F35,ROUND(C32*D35,0))</f>
        <v>4036</v>
      </c>
      <c r="D35" s="1304">
        <f ca="1">IF(C33="自定义",ROUND(C35/C32,3),IF(C33="收益比率",SUMIF(INDIRECT("'"&amp;D33&amp;"'"&amp;"!b:b"),"建筑物收益比率",INDIRECT("'"&amp;D33&amp;"'"&amp;"!c:c")),SUMIF(INDIRECT("'"&amp;D33&amp;"'"&amp;"!b:b"),"建筑物成本比率",INDIRECT("'"&amp;D33&amp;"'"&amp;"!c:c"))))</f>
        <v>0.42899999999999999</v>
      </c>
      <c r="E35" s="1940" t="s">
        <v>1937</v>
      </c>
      <c r="F35" s="158"/>
      <c r="G35" s="133"/>
      <c r="H35" s="133"/>
      <c r="I35" s="133"/>
    </row>
    <row r="36" spans="1:15" ht="15" thickBot="1">
      <c r="A36" s="3420" t="s">
        <v>1938</v>
      </c>
      <c r="B36" s="1941" t="s">
        <v>1939</v>
      </c>
      <c r="C36" s="149"/>
      <c r="D36" s="1942"/>
      <c r="E36" s="1943"/>
      <c r="F36" s="1944"/>
      <c r="G36" s="133"/>
      <c r="H36" s="133"/>
      <c r="I36" s="133"/>
    </row>
    <row r="37" spans="1:15" ht="15" thickBot="1">
      <c r="A37" s="3421"/>
      <c r="B37" s="1828" t="s">
        <v>1940</v>
      </c>
      <c r="C37" s="151"/>
      <c r="D37" s="1272"/>
      <c r="E37" s="1272"/>
      <c r="F37" s="1944"/>
      <c r="G37" s="133"/>
      <c r="H37" s="133"/>
      <c r="I37" s="133"/>
    </row>
    <row r="38" spans="1:15" ht="15" thickBot="1">
      <c r="A38" s="3422"/>
      <c r="B38" s="1945" t="s">
        <v>1941</v>
      </c>
      <c r="C38" s="682"/>
      <c r="D38" s="1946" t="s">
        <v>1942</v>
      </c>
      <c r="E38" s="1272"/>
      <c r="F38" s="1944"/>
      <c r="G38" s="133"/>
      <c r="H38" s="133"/>
      <c r="I38" s="133"/>
    </row>
    <row r="39" spans="1:15" ht="14.4">
      <c r="A39" s="1918" t="s">
        <v>1943</v>
      </c>
      <c r="B39" s="1947" t="s">
        <v>1944</v>
      </c>
      <c r="C39" s="1948" t="s">
        <v>1945</v>
      </c>
      <c r="D39" s="1948" t="s">
        <v>1946</v>
      </c>
      <c r="E39" s="1949" t="s">
        <v>1947</v>
      </c>
      <c r="F39" s="1944"/>
      <c r="G39" s="133"/>
      <c r="H39" s="133"/>
      <c r="I39" s="133"/>
    </row>
    <row r="40" spans="1:15" ht="13.8">
      <c r="A40" s="1950" t="s">
        <v>1948</v>
      </c>
      <c r="B40" s="153"/>
      <c r="C40" s="154"/>
      <c r="D40" s="154"/>
      <c r="E40" s="155"/>
      <c r="F40" s="1944"/>
      <c r="G40" s="133"/>
      <c r="H40" s="133"/>
      <c r="I40" s="133"/>
    </row>
    <row r="41" spans="1:15" ht="13.8">
      <c r="A41" s="1950" t="s">
        <v>1949</v>
      </c>
      <c r="B41" s="153"/>
      <c r="C41" s="154"/>
      <c r="D41" s="154"/>
      <c r="E41" s="155"/>
      <c r="F41" s="1944"/>
      <c r="G41" s="133"/>
      <c r="H41" s="133"/>
      <c r="I41" s="133"/>
    </row>
    <row r="42" spans="1:15" ht="14.4" thickBot="1">
      <c r="A42" s="1951"/>
      <c r="B42" s="156"/>
      <c r="C42" s="157"/>
      <c r="D42" s="157"/>
      <c r="E42" s="158"/>
      <c r="F42" s="1944"/>
      <c r="G42" s="133"/>
      <c r="H42" s="133"/>
      <c r="I42" s="133"/>
    </row>
    <row r="43" spans="1:15" ht="13.2">
      <c r="A43" s="1730"/>
      <c r="B43" s="1730"/>
      <c r="C43" s="1730"/>
      <c r="D43" s="1730"/>
      <c r="E43" s="1730"/>
      <c r="F43" s="1952"/>
      <c r="G43" s="1952"/>
      <c r="H43" s="1952"/>
      <c r="I43" s="1953"/>
    </row>
    <row r="44" spans="1:15" ht="17.399999999999999">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40" t="s">
        <v>1952</v>
      </c>
      <c r="B45" s="3441"/>
      <c r="C45" s="3442"/>
      <c r="D45" s="159">
        <f ca="1">ROUND(H101*F45,0)</f>
        <v>9409</v>
      </c>
      <c r="E45" s="160" t="s">
        <v>1953</v>
      </c>
      <c r="F45" s="161">
        <v>1</v>
      </c>
      <c r="G45" s="162" t="s">
        <v>1954</v>
      </c>
      <c r="H45" s="133"/>
      <c r="I45" s="133"/>
      <c r="J45" s="3357" t="s">
        <v>1955</v>
      </c>
      <c r="K45" s="3357"/>
      <c r="L45" s="3357"/>
      <c r="M45" s="3357"/>
      <c r="N45" s="3357"/>
      <c r="O45" s="3357"/>
    </row>
    <row r="46" spans="1:15" ht="14.25" customHeight="1">
      <c r="A46" s="3437" t="s">
        <v>1956</v>
      </c>
      <c r="B46" s="3438"/>
      <c r="C46" s="3438"/>
      <c r="D46" s="3438"/>
      <c r="E46" s="3438"/>
      <c r="F46" s="3438"/>
      <c r="G46" s="3439"/>
      <c r="H46" s="1960"/>
      <c r="I46" s="163"/>
      <c r="J46" s="2717">
        <v>1</v>
      </c>
      <c r="K46" s="3358" t="s">
        <v>1957</v>
      </c>
      <c r="L46" s="3358"/>
      <c r="M46" s="3359"/>
      <c r="N46" s="3359"/>
      <c r="O46" s="3359"/>
    </row>
    <row r="47" spans="1:15" ht="12" customHeight="1">
      <c r="A47" s="164" t="s">
        <v>1958</v>
      </c>
      <c r="B47" s="165"/>
      <c r="C47" s="166"/>
      <c r="D47" s="1218" t="s">
        <v>1959</v>
      </c>
      <c r="E47" s="307" t="s">
        <v>1960</v>
      </c>
      <c r="F47" s="167" t="s">
        <v>1961</v>
      </c>
      <c r="G47" s="2740" t="s">
        <v>1962</v>
      </c>
      <c r="H47" s="2741"/>
      <c r="I47" s="163"/>
      <c r="J47" s="2717">
        <v>2</v>
      </c>
      <c r="K47" s="3358" t="s">
        <v>1963</v>
      </c>
      <c r="L47" s="3358"/>
      <c r="M47" s="3360">
        <f>'数据-取费表'!B2</f>
        <v>44567</v>
      </c>
      <c r="N47" s="3360"/>
      <c r="O47" s="3360"/>
    </row>
    <row r="48" spans="1:15" ht="26.4">
      <c r="A48" s="3423" t="s">
        <v>1964</v>
      </c>
      <c r="B48" s="3424"/>
      <c r="C48" s="3424"/>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358" t="s">
        <v>1966</v>
      </c>
      <c r="L48" s="3358"/>
      <c r="M48" s="3361">
        <f ca="1">H101</f>
        <v>9409</v>
      </c>
      <c r="N48" s="3361"/>
      <c r="O48" s="3361"/>
    </row>
    <row r="49" spans="1:35" ht="25.5" customHeight="1">
      <c r="A49" s="2524" t="s">
        <v>1967</v>
      </c>
      <c r="B49" s="3406" t="s">
        <v>1968</v>
      </c>
      <c r="C49" s="3406"/>
      <c r="D49" s="1743">
        <v>0</v>
      </c>
      <c r="E49" s="329" t="s">
        <v>1969</v>
      </c>
      <c r="F49" s="2618" t="s">
        <v>34</v>
      </c>
      <c r="G49" s="3389"/>
      <c r="H49" s="2496" t="s">
        <v>2814</v>
      </c>
      <c r="I49" s="2497"/>
      <c r="J49" s="2717">
        <v>4</v>
      </c>
      <c r="K49" s="3358" t="str">
        <f>IF(项目基本情况!E8="房地产抵押价值","房地产抵押价值","抵押担保权已注销时的房地产抵押价值")</f>
        <v>房地产抵押价值</v>
      </c>
      <c r="L49" s="3358"/>
      <c r="M49" s="3361">
        <f ca="1">IF(项目基本情况!E8="房地产抵押价值",H107,H109)</f>
        <v>9409</v>
      </c>
      <c r="N49" s="3361"/>
      <c r="O49" s="3361"/>
    </row>
    <row r="50" spans="1:35" ht="25.5" customHeight="1">
      <c r="A50" s="2745"/>
      <c r="B50" s="3406" t="s">
        <v>1970</v>
      </c>
      <c r="C50" s="3406"/>
      <c r="D50" s="2746"/>
      <c r="E50" s="337"/>
      <c r="F50" s="2618"/>
      <c r="G50" s="3390"/>
      <c r="H50" s="2498" t="s">
        <v>2815</v>
      </c>
      <c r="I50" s="2497"/>
      <c r="J50" s="3357" t="s">
        <v>1971</v>
      </c>
      <c r="K50" s="3357"/>
      <c r="L50" s="3357"/>
      <c r="M50" s="3357"/>
      <c r="N50" s="3357"/>
      <c r="O50" s="3357"/>
    </row>
    <row r="51" spans="1:35" ht="20.399999999999999" customHeight="1">
      <c r="A51" s="2747"/>
      <c r="B51" s="3406" t="s">
        <v>1972</v>
      </c>
      <c r="C51" s="3406"/>
      <c r="D51" s="1218"/>
      <c r="E51" s="332"/>
      <c r="F51" s="2618"/>
      <c r="G51" s="3391"/>
      <c r="H51" s="2498" t="s">
        <v>2816</v>
      </c>
      <c r="I51" s="2497"/>
      <c r="J51" s="2718" t="s">
        <v>1973</v>
      </c>
      <c r="K51" s="3358" t="s">
        <v>1974</v>
      </c>
      <c r="L51" s="3358"/>
      <c r="M51" s="2718" t="s">
        <v>1975</v>
      </c>
      <c r="N51" s="2718" t="s">
        <v>1976</v>
      </c>
      <c r="O51" s="2718" t="s">
        <v>1977</v>
      </c>
    </row>
    <row r="52" spans="1:35" ht="24" customHeight="1">
      <c r="A52" s="2526" t="s">
        <v>1978</v>
      </c>
      <c r="B52" s="3406" t="s">
        <v>1979</v>
      </c>
      <c r="C52" s="3406"/>
      <c r="D52" s="1218">
        <f ca="1">ROUND(D45*'数据-取费表'!B41/(1+'数据-取费表'!C42),0)</f>
        <v>493</v>
      </c>
      <c r="E52" s="2525" t="s">
        <v>1980</v>
      </c>
      <c r="F52" s="2748">
        <f>'数据-取费表'!B41</f>
        <v>5.5000000000000007E-2</v>
      </c>
      <c r="G52" s="2749"/>
      <c r="H52" s="2738"/>
      <c r="I52" s="1961"/>
      <c r="J52" s="2717">
        <v>1</v>
      </c>
      <c r="K52" s="3383" t="s">
        <v>1981</v>
      </c>
      <c r="L52" s="3383"/>
      <c r="M52" s="2719" t="b">
        <f>D48</f>
        <v>0</v>
      </c>
      <c r="N52" s="2717" t="str">
        <f>E48</f>
        <v>销售额×税（费）率</v>
      </c>
      <c r="O52" s="2720">
        <f>F48</f>
        <v>5.5000000000000007E-2</v>
      </c>
    </row>
    <row r="53" spans="1:35" ht="12" customHeight="1">
      <c r="A53" s="2526" t="s">
        <v>1982</v>
      </c>
      <c r="B53" s="3407" t="s">
        <v>2975</v>
      </c>
      <c r="C53" s="3408"/>
      <c r="D53" s="1218">
        <f ca="1">ROUND(D45*'数据-取费表'!B41/(1+'数据-取费表'!C42),0)</f>
        <v>493</v>
      </c>
      <c r="E53" s="2525" t="s">
        <v>1980</v>
      </c>
      <c r="F53" s="2748">
        <f>'数据-取费表'!B41</f>
        <v>5.5000000000000007E-2</v>
      </c>
      <c r="G53" s="2749"/>
      <c r="H53" s="2738"/>
      <c r="I53" s="1961"/>
      <c r="J53" s="2717">
        <v>2</v>
      </c>
      <c r="K53" s="3383" t="s">
        <v>1983</v>
      </c>
      <c r="L53" s="3383"/>
      <c r="M53" s="2719">
        <f t="shared" ref="M53:O54" ca="1" si="0">D55</f>
        <v>5</v>
      </c>
      <c r="N53" s="2717" t="str">
        <f t="shared" si="0"/>
        <v>销售额×税（费）率</v>
      </c>
      <c r="O53" s="2720" t="str">
        <f t="shared" si="0"/>
        <v>免征</v>
      </c>
    </row>
    <row r="54" spans="1:35" ht="12" customHeight="1">
      <c r="A54" s="2526" t="s">
        <v>1984</v>
      </c>
      <c r="B54" s="3407" t="s">
        <v>2976</v>
      </c>
      <c r="C54" s="3408"/>
      <c r="D54" s="1218">
        <f ca="1">C68</f>
        <v>493</v>
      </c>
      <c r="E54" s="332" t="s">
        <v>1985</v>
      </c>
      <c r="F54" s="2748">
        <f>'数据-取费表'!B41</f>
        <v>5.5000000000000007E-2</v>
      </c>
      <c r="G54" s="2749"/>
      <c r="H54" s="2750"/>
      <c r="I54" s="1961"/>
      <c r="J54" s="2717">
        <v>3</v>
      </c>
      <c r="K54" s="3383" t="s">
        <v>1986</v>
      </c>
      <c r="L54" s="3383"/>
      <c r="M54" s="2719">
        <f t="shared" ca="1" si="0"/>
        <v>5334</v>
      </c>
      <c r="N54" s="2717" t="str">
        <f t="shared" si="0"/>
        <v>增值额×税（费）率</v>
      </c>
      <c r="O54" s="2721" t="str">
        <f t="shared" si="0"/>
        <v>免征</v>
      </c>
    </row>
    <row r="55" spans="1:35" ht="24" customHeight="1">
      <c r="A55" s="3446" t="s">
        <v>1987</v>
      </c>
      <c r="B55" s="3424"/>
      <c r="C55" s="3424"/>
      <c r="D55" s="2515">
        <f ca="1">IF(H55="个人住宅",0,ROUND(D45*I55,0))</f>
        <v>5</v>
      </c>
      <c r="E55" s="2525" t="s">
        <v>1988</v>
      </c>
      <c r="F55" s="2748" t="str">
        <f>IF(H55="正常",I55,"免征")</f>
        <v>免征</v>
      </c>
      <c r="G55" s="2749"/>
      <c r="H55" s="2744"/>
      <c r="I55" s="169">
        <f>'数据-取费表'!B49</f>
        <v>5.0000000000000001E-4</v>
      </c>
      <c r="J55" s="2717">
        <f>IF(H59="非个人房产","",4)</f>
        <v>4</v>
      </c>
      <c r="K55" s="3383" t="str">
        <f>IF(H59="非个人房产","——","个人所得税")</f>
        <v>个人所得税</v>
      </c>
      <c r="L55" s="3383"/>
      <c r="M55" s="2722">
        <f ca="1">D59</f>
        <v>90</v>
      </c>
      <c r="N55" s="2196" t="str">
        <f>E59</f>
        <v>差额计税</v>
      </c>
      <c r="O55" s="2723">
        <f>F59</f>
        <v>0.01</v>
      </c>
    </row>
    <row r="56" spans="1:35" ht="25.2">
      <c r="A56" s="3446" t="s">
        <v>1989</v>
      </c>
      <c r="B56" s="3424"/>
      <c r="C56" s="3424"/>
      <c r="D56" s="2515">
        <f ca="1">IF(H56="个人住宅",D57,D58)</f>
        <v>5334</v>
      </c>
      <c r="E56" s="2525" t="s">
        <v>1990</v>
      </c>
      <c r="F56" s="2748" t="str">
        <f>IF(H56="正常",F58,"免征")</f>
        <v>免征</v>
      </c>
      <c r="G56" s="2751" t="s">
        <v>1991</v>
      </c>
      <c r="H56" s="2752"/>
      <c r="I56" s="1962"/>
      <c r="J56" s="2717" t="str">
        <f>IF(项目基本情况!K6="上海银行",IF(J55="",4,J55+1),"")</f>
        <v/>
      </c>
      <c r="K56" s="3364" t="str">
        <f>IF(项目基本情况!K6="上海银行","其他处置费用","")</f>
        <v/>
      </c>
      <c r="L56" s="3365"/>
      <c r="M56" s="2719" t="str">
        <f>IF(项目基本情况!K6="上海银行",M69,"")</f>
        <v/>
      </c>
      <c r="N56" s="3364" t="str">
        <f>IF(项目基本情况!K6="上海银行","包含处置中涉及的律师、诉讼、拍卖、评估等费用","")</f>
        <v/>
      </c>
      <c r="O56" s="3367"/>
    </row>
    <row r="57" spans="1:35" ht="13.2">
      <c r="A57" s="2526" t="s">
        <v>1967</v>
      </c>
      <c r="B57" s="3407" t="s">
        <v>1992</v>
      </c>
      <c r="C57" s="3408"/>
      <c r="D57" s="1743">
        <v>0</v>
      </c>
      <c r="E57" s="329" t="s">
        <v>1969</v>
      </c>
      <c r="F57" s="307"/>
      <c r="G57" s="2749"/>
      <c r="H57" s="2753"/>
      <c r="I57" s="1962"/>
      <c r="J57" s="3383">
        <f>IF(AND(J55="",J56=""),4,IF(项目基本情况!K6="上海银行",结果表!J56+1,结果表!J55+1))</f>
        <v>5</v>
      </c>
      <c r="K57" s="3383" t="s">
        <v>1993</v>
      </c>
      <c r="L57" s="2724" t="s">
        <v>1994</v>
      </c>
      <c r="M57" s="2725"/>
      <c r="N57" s="2726">
        <f ca="1">SUMIF(M52:M56,"&lt;9e307")</f>
        <v>5429</v>
      </c>
      <c r="O57" s="2727"/>
      <c r="P57" s="2887">
        <f ca="1">N57/M49</f>
        <v>0.57700074396854073</v>
      </c>
    </row>
    <row r="58" spans="1:35" ht="25.2">
      <c r="A58" s="2526" t="s">
        <v>1978</v>
      </c>
      <c r="B58" s="3407" t="s">
        <v>1995</v>
      </c>
      <c r="C58" s="3406"/>
      <c r="D58" s="2515">
        <f ca="1">IF(H58="转让取得",C81,C97)</f>
        <v>5334</v>
      </c>
      <c r="E58" s="2525" t="s">
        <v>1990</v>
      </c>
      <c r="F58" s="307" t="s">
        <v>34</v>
      </c>
      <c r="G58" s="2749"/>
      <c r="H58" s="2752"/>
      <c r="I58" s="1962"/>
      <c r="J58" s="3383"/>
      <c r="K58" s="3383"/>
      <c r="L58" s="2724" t="s">
        <v>1996</v>
      </c>
      <c r="M58" s="2728"/>
      <c r="N58" s="2729" t="str">
        <f ca="1">NUMBERSTRING(INT(N57*10000),2)&amp;"元整"</f>
        <v>伍仟肆佰贰拾玖万元整</v>
      </c>
      <c r="O58" s="2730"/>
    </row>
    <row r="59" spans="1:35" ht="24.6" thickBot="1">
      <c r="A59" s="3387" t="s">
        <v>1997</v>
      </c>
      <c r="B59" s="3388"/>
      <c r="C59" s="3388"/>
      <c r="D59" s="2754">
        <f ca="1">IF(H59="非个人房产","——",IF(H59="个人住宅（满五唯一有凭证）",0,IF(H59="个人其他（无凭证）",ROUND(D45*F59,0),ROUND(C67*F59,0))))</f>
        <v>90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385">
        <f>J57+1</f>
        <v>6</v>
      </c>
      <c r="K59" s="3383" t="s">
        <v>1998</v>
      </c>
      <c r="L59" s="2717" t="s">
        <v>1994</v>
      </c>
      <c r="M59" s="2731"/>
      <c r="N59" s="2732">
        <f ca="1">M49-N57</f>
        <v>3980</v>
      </c>
      <c r="O59" s="2733"/>
    </row>
    <row r="60" spans="1:35" ht="12" customHeight="1">
      <c r="A60" s="1963"/>
      <c r="B60" s="1901"/>
      <c r="C60" s="1901"/>
      <c r="D60" s="1901"/>
      <c r="E60" s="1731"/>
      <c r="F60" s="1962"/>
      <c r="G60" s="1962"/>
      <c r="H60" s="1964"/>
      <c r="I60" s="133"/>
      <c r="J60" s="3386"/>
      <c r="K60" s="3383"/>
      <c r="L60" s="2724" t="s">
        <v>1996</v>
      </c>
      <c r="M60" s="2728"/>
      <c r="N60" s="2729" t="str">
        <f ca="1">NUMBERSTRING(INT(N59*10000),2)&amp;"元整"</f>
        <v>叁仟玖佰捌拾万元整</v>
      </c>
      <c r="O60" s="2730"/>
    </row>
    <row r="61" spans="1:35" ht="13.8" thickBot="1">
      <c r="A61" s="3445" t="s">
        <v>1999</v>
      </c>
      <c r="B61" s="3445"/>
      <c r="C61" s="3445"/>
      <c r="D61" s="3445"/>
      <c r="E61" s="3445"/>
      <c r="F61" s="1962"/>
      <c r="G61" s="1962"/>
      <c r="H61" s="1964"/>
      <c r="I61" s="133"/>
      <c r="J61" s="2717">
        <f>J59+1</f>
        <v>7</v>
      </c>
      <c r="K61" s="3383" t="s">
        <v>2000</v>
      </c>
      <c r="L61" s="3383"/>
      <c r="M61" s="2734"/>
      <c r="N61" s="2735">
        <f ca="1">ROUND(N59*10000/'数据-汇总表'!E3,0)</f>
        <v>1600</v>
      </c>
      <c r="O61" s="2736"/>
    </row>
    <row r="62" spans="1:35" ht="13.2">
      <c r="A62" s="3402" t="s">
        <v>2001</v>
      </c>
      <c r="B62" s="3403"/>
      <c r="C62" s="2177"/>
      <c r="D62" s="2177" t="s">
        <v>2002</v>
      </c>
      <c r="E62" s="170" t="s">
        <v>2003</v>
      </c>
      <c r="F62" s="1962"/>
      <c r="G62" s="1962"/>
      <c r="H62" s="1964"/>
      <c r="I62" s="133"/>
    </row>
    <row r="63" spans="1:35" ht="13.2">
      <c r="A63" s="177" t="s">
        <v>775</v>
      </c>
      <c r="B63" s="171" t="s">
        <v>2004</v>
      </c>
      <c r="C63" s="2758">
        <f ca="1">ROUND((C64+C65)/(1+'数据-取费表'!C42),0)</f>
        <v>8961</v>
      </c>
      <c r="D63" s="171"/>
      <c r="E63" s="172"/>
      <c r="F63" s="1962"/>
      <c r="G63" s="1962"/>
      <c r="H63" s="1964"/>
      <c r="I63" s="133"/>
      <c r="J63" s="3366" t="s">
        <v>2005</v>
      </c>
      <c r="K63" s="1470" t="s">
        <v>2006</v>
      </c>
      <c r="L63" s="1470">
        <f ca="1">IF(M49&gt;10000,M49*0.5%,IF(AND(M49&gt;1000,M49&lt;=10000),M49*1%,IF(AND(M49&gt;100,M49&lt;=1000),M49*3%,IF(AND(M49&gt;10,M49&lt;=100),M49*5%,M49*8%))))</f>
        <v>94.09</v>
      </c>
      <c r="M63" s="307">
        <f ca="1">ROUND(L63,1)</f>
        <v>94.1</v>
      </c>
      <c r="N63" s="2737"/>
      <c r="Z63" s="1906"/>
      <c r="AI63" s="1907"/>
    </row>
    <row r="64" spans="1:35" ht="14.25" customHeight="1">
      <c r="A64" s="173" t="s">
        <v>770</v>
      </c>
      <c r="B64" s="174" t="s">
        <v>2007</v>
      </c>
      <c r="C64" s="2759">
        <f ca="1">D45</f>
        <v>9409</v>
      </c>
      <c r="D64" s="174" t="s">
        <v>32</v>
      </c>
      <c r="E64" s="176"/>
      <c r="F64" s="1962"/>
      <c r="G64" s="1962"/>
      <c r="H64" s="1964"/>
      <c r="I64" s="133"/>
      <c r="J64" s="3366"/>
      <c r="K64" s="1470" t="s">
        <v>2008</v>
      </c>
      <c r="L64" s="1470">
        <f ca="1">IF(M49&gt;2000,M49*0.5%,IF(AND(M49&gt;1000,M49&lt;=2000),M49*0.6%,IF(AND(M49&gt;500,M49&lt;=1000),M49*0.7%,IF(AND(M49&gt;200,M49&lt;=500),M49*0.8%,IF(AND(M49&gt;100,M49&lt;=200),M49*0.9%,IF(AND(M49&gt;50,M49&lt;=100),M49*1%,IF(AND(M49&gt;20,M49&lt;=50),M49*1.5%,IF(AND(M49&gt;10,M49&lt;=20),M49*2%,IF(AND(M49&gt;1,M49&lt;=10),M49*2.5%)))))))))</f>
        <v>47.045000000000002</v>
      </c>
      <c r="M64" s="307">
        <f t="shared" ref="M64:M65" ca="1" si="1">ROUND(L64,1)</f>
        <v>47</v>
      </c>
      <c r="N64" s="2738" t="s">
        <v>2009</v>
      </c>
      <c r="Z64" s="1906"/>
      <c r="AI64" s="1907"/>
    </row>
    <row r="65" spans="1:35" ht="14.25" customHeight="1">
      <c r="A65" s="173" t="s">
        <v>771</v>
      </c>
      <c r="B65" s="174" t="s">
        <v>2010</v>
      </c>
      <c r="C65" s="2760"/>
      <c r="D65" s="174"/>
      <c r="E65" s="176"/>
      <c r="F65" s="1962"/>
      <c r="G65" s="1962"/>
      <c r="H65" s="1964"/>
      <c r="I65" s="133"/>
      <c r="J65" s="3366"/>
      <c r="K65" s="1470" t="s">
        <v>2011</v>
      </c>
      <c r="L65" s="1470">
        <f ca="1">IF(M49&gt;1000,M49*0.1%,IF(AND(M49&gt;500,M49&lt;=1000),M49*0.5%,IF(AND(M49&gt;50,M49&lt;=500),M49*1%,IF(AND(M49&gt;1,M49&lt;=50),M49*1.5%))))</f>
        <v>9.4090000000000007</v>
      </c>
      <c r="M65" s="307">
        <f t="shared" ca="1" si="1"/>
        <v>9.4</v>
      </c>
      <c r="N65" s="2738" t="s">
        <v>2009</v>
      </c>
      <c r="Z65" s="1906"/>
      <c r="AI65" s="1907"/>
    </row>
    <row r="66" spans="1:35" ht="14.25" customHeight="1">
      <c r="A66" s="177" t="s">
        <v>772</v>
      </c>
      <c r="B66" s="178" t="s">
        <v>2012</v>
      </c>
      <c r="C66" s="2761"/>
      <c r="D66" s="178" t="s">
        <v>32</v>
      </c>
      <c r="E66" s="1477" t="s">
        <v>1277</v>
      </c>
      <c r="F66" s="1962"/>
      <c r="G66" s="1962"/>
      <c r="H66" s="1964"/>
      <c r="I66" s="133"/>
      <c r="J66" s="3366"/>
      <c r="K66" s="1470" t="s">
        <v>2013</v>
      </c>
      <c r="L66" s="1470">
        <f ca="1">M49*0.5%</f>
        <v>47.045000000000002</v>
      </c>
      <c r="M66" s="307">
        <f ca="1">IF(L66&gt;0.5,0.5,ROUND(L66,0))</f>
        <v>0.5</v>
      </c>
      <c r="N66" s="2738" t="s">
        <v>2014</v>
      </c>
      <c r="Z66" s="1906"/>
      <c r="AI66" s="1907"/>
    </row>
    <row r="67" spans="1:35" ht="14.25" customHeight="1">
      <c r="A67" s="177" t="s">
        <v>773</v>
      </c>
      <c r="B67" s="178" t="s">
        <v>2015</v>
      </c>
      <c r="C67" s="2762">
        <f ca="1">C63-C66</f>
        <v>8961</v>
      </c>
      <c r="D67" s="174" t="s">
        <v>32</v>
      </c>
      <c r="E67" s="176"/>
      <c r="F67" s="1962"/>
      <c r="G67" s="1962"/>
      <c r="H67" s="1964"/>
      <c r="I67" s="133"/>
      <c r="J67" s="3366"/>
      <c r="K67" s="1470" t="s">
        <v>2016</v>
      </c>
      <c r="L67" s="1470">
        <f ca="1">IF(M49&gt;=10000,(8.25+(M49-10000)*0.01%),IF(AND(M49&gt;=8000,M49&lt;10000),(7.85+(M49-8000)*0.02%),IF(AND(M49&gt;=5000,M49&lt;8000),(6.65+(M49-5000)*0.04%),IF(AND(M49&gt;=2000,M49&lt;5000),(4.25+(PM49-2000)*0.08%),IF(AND(M49&gt;=1000,M49&lt;2000),(2.75+(M49-1000)*0.15%),IF(AND(M49&gt;=100,M49&lt;1000),(0.5+(M49-100)*0.25%),IF(AND(M49&gt;0,M49&lt;100),M49*0.5%)))))))</f>
        <v>8.1318000000000001</v>
      </c>
      <c r="M67" s="307">
        <f ca="1">ROUND(L67*0.9,1)</f>
        <v>7.3</v>
      </c>
      <c r="N67" s="2737"/>
      <c r="Z67" s="1906"/>
      <c r="AI67" s="1907"/>
    </row>
    <row r="68" spans="1:35" ht="14.25" customHeight="1" thickBot="1">
      <c r="A68" s="180" t="s">
        <v>774</v>
      </c>
      <c r="B68" s="181" t="s">
        <v>2017</v>
      </c>
      <c r="C68" s="2763">
        <f ca="1">IF(C67&lt;=0,0,ROUND(C67*D68,0))</f>
        <v>493</v>
      </c>
      <c r="D68" s="2764">
        <f>'数据-取费表'!B41</f>
        <v>5.5000000000000007E-2</v>
      </c>
      <c r="E68" s="183"/>
      <c r="F68" s="1962"/>
      <c r="G68" s="1962"/>
      <c r="H68" s="1964"/>
      <c r="I68" s="133"/>
      <c r="J68" s="3366"/>
      <c r="K68" s="1470" t="s">
        <v>2018</v>
      </c>
      <c r="L68" s="1470">
        <f ca="1">IF(M49&gt;10000,M49*0.5%,IF(AND(M49&gt;5000,M49&lt;=10000),M49*1%,IF(AND(M49&gt;1000,M49&lt;=5000),M49*2%,IF(AND(M49&gt;200,M49&lt;=1000),M49*3%,M49*5%))))</f>
        <v>94.09</v>
      </c>
      <c r="M68" s="307">
        <f ca="1">ROUND(L68,1)</f>
        <v>94.1</v>
      </c>
      <c r="N68" s="2737"/>
      <c r="Z68" s="1906"/>
      <c r="AI68" s="1907"/>
    </row>
    <row r="69" spans="1:35" s="1926" customFormat="1" ht="16.5" customHeight="1">
      <c r="A69" s="1965"/>
      <c r="B69" s="1966"/>
      <c r="C69" s="1967"/>
      <c r="D69" s="1968"/>
      <c r="E69" s="1969"/>
      <c r="F69" s="1731"/>
      <c r="G69" s="1731"/>
      <c r="H69" s="1730"/>
      <c r="I69" s="1901"/>
      <c r="J69" s="3366"/>
      <c r="K69" s="1470" t="s">
        <v>2019</v>
      </c>
      <c r="L69" s="1470"/>
      <c r="M69" s="307">
        <f ca="1">ROUND(SUM(M63:M68),0)</f>
        <v>252</v>
      </c>
      <c r="N69" s="2739">
        <f ca="1">M69/M49</f>
        <v>2.6782867467318526E-2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4.4" thickBot="1">
      <c r="A70" s="3410" t="s">
        <v>2020</v>
      </c>
      <c r="B70" s="3411"/>
      <c r="C70" s="3411"/>
      <c r="D70" s="3411"/>
      <c r="E70" s="3411"/>
      <c r="F70" s="3411"/>
      <c r="G70" s="3411"/>
      <c r="H70" s="3411"/>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3.8">
      <c r="A71" s="3402" t="s">
        <v>2001</v>
      </c>
      <c r="B71" s="3403"/>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3.8">
      <c r="A72" s="177" t="s">
        <v>775</v>
      </c>
      <c r="B72" s="178" t="s">
        <v>2021</v>
      </c>
      <c r="C72" s="2762">
        <f ca="1">ROUND(D45/(1+'数据-取费表'!C42),0)</f>
        <v>8961</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3.8">
      <c r="A73" s="177" t="s">
        <v>772</v>
      </c>
      <c r="B73" s="167" t="s">
        <v>2022</v>
      </c>
      <c r="C73" s="2762">
        <f ca="1">C74+C78</f>
        <v>45</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28.8">
      <c r="A75" s="173" t="s">
        <v>776</v>
      </c>
      <c r="B75" s="174" t="s">
        <v>2024</v>
      </c>
      <c r="C75" s="2765"/>
      <c r="D75" s="174" t="s">
        <v>32</v>
      </c>
      <c r="E75" s="189" t="s">
        <v>2025</v>
      </c>
      <c r="F75" s="2766"/>
      <c r="G75" s="189"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407" t="s">
        <v>2028</v>
      </c>
      <c r="F76" s="3406"/>
      <c r="G76" s="3406"/>
      <c r="H76" s="340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45</v>
      </c>
      <c r="D78" s="2771">
        <f>'数据-取费表'!B43</f>
        <v>5.000000000000001E-3</v>
      </c>
      <c r="E78" s="3399" t="s">
        <v>2032</v>
      </c>
      <c r="F78" s="3400"/>
      <c r="G78" s="3400"/>
      <c r="H78" s="340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3.8">
      <c r="A79" s="177" t="s">
        <v>779</v>
      </c>
      <c r="B79" s="178" t="s">
        <v>2033</v>
      </c>
      <c r="C79" s="2762">
        <f ca="1">C72-C73</f>
        <v>8916</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198.13333333333333</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6" thickBot="1">
      <c r="A81" s="180" t="s">
        <v>781</v>
      </c>
      <c r="B81" s="181" t="s">
        <v>2035</v>
      </c>
      <c r="C81" s="2773">
        <f ca="1">ROUND(IF(C79&lt;=0,0,IF(C80&gt;=200%,C79*60%-C73*35%,IF(C80&gt;=100%,C79*50%-C73*15%,IF(C80&gt;=50%,C79*40%-C73*5%,IF(C80&lt;50%,C79*30%,0))))),0)</f>
        <v>5334</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4.4" thickBot="1">
      <c r="A83" s="3410" t="s">
        <v>2036</v>
      </c>
      <c r="B83" s="3411"/>
      <c r="C83" s="3411"/>
      <c r="D83" s="3411"/>
      <c r="E83" s="3411"/>
      <c r="F83" s="3411"/>
      <c r="G83" s="3411"/>
      <c r="H83" s="341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3.8">
      <c r="A84" s="3402" t="s">
        <v>2001</v>
      </c>
      <c r="B84" s="3403"/>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3.8">
      <c r="A85" s="177" t="s">
        <v>775</v>
      </c>
      <c r="B85" s="178" t="s">
        <v>2021</v>
      </c>
      <c r="C85" s="2762">
        <f ca="1">ROUND(D45/(1+'数据-取费表'!C42),0)</f>
        <v>8961</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3.8">
      <c r="A86" s="177" t="s">
        <v>772</v>
      </c>
      <c r="B86" s="167" t="s">
        <v>2022</v>
      </c>
      <c r="C86" s="2762">
        <f ca="1">IF(H88="仅含出让金",C87+C90+C91+C92+C93+C94,C87+C91+C92+C93+C94)</f>
        <v>45</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3.8">
      <c r="A87" s="173" t="s">
        <v>770</v>
      </c>
      <c r="B87" s="174"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4">
      <c r="A88" s="173" t="s">
        <v>776</v>
      </c>
      <c r="B88" s="174" t="s">
        <v>2038</v>
      </c>
      <c r="C88" s="2776"/>
      <c r="D88" s="2771"/>
      <c r="E88" s="198" t="s">
        <v>2039</v>
      </c>
      <c r="F88" s="2518"/>
      <c r="G88" s="199" t="s">
        <v>2040</v>
      </c>
      <c r="H88" s="1978"/>
      <c r="I88" s="1975"/>
      <c r="J88" s="2715"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3.8">
      <c r="A89" s="173" t="s">
        <v>777</v>
      </c>
      <c r="B89" s="174" t="s">
        <v>2029</v>
      </c>
      <c r="C89" s="2770">
        <f>ROUND(C88*D89,0)</f>
        <v>0</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4">
      <c r="A90" s="173" t="s">
        <v>771</v>
      </c>
      <c r="B90" s="174" t="s">
        <v>2042</v>
      </c>
      <c r="C90" s="2776"/>
      <c r="D90" s="2771"/>
      <c r="E90" s="198" t="str">
        <f>IF(H88="-","土地取得成本中已包含该笔费用"," ")</f>
        <v xml:space="preserve"> </v>
      </c>
      <c r="F90" s="2518"/>
      <c r="G90" s="3368" t="s">
        <v>2809</v>
      </c>
      <c r="H90" s="3369"/>
      <c r="I90" s="1975"/>
      <c r="J90" s="2715"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99" t="s">
        <v>2045</v>
      </c>
      <c r="F91" s="3400"/>
      <c r="G91" s="3400"/>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99" t="s">
        <v>2048</v>
      </c>
      <c r="F92" s="3400"/>
      <c r="G92" s="3400"/>
      <c r="H92" s="3401"/>
      <c r="I92" s="1975"/>
      <c r="J92" s="2716"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45</v>
      </c>
      <c r="D93" s="2771">
        <f>'数据-取费表'!B43</f>
        <v>5.000000000000001E-3</v>
      </c>
      <c r="E93" s="3399" t="s">
        <v>2032</v>
      </c>
      <c r="F93" s="3400"/>
      <c r="G93" s="3400"/>
      <c r="H93" s="340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447" t="s">
        <v>2052</v>
      </c>
      <c r="F94" s="3448"/>
      <c r="G94" s="3448"/>
      <c r="H94" s="3449"/>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3.8">
      <c r="A95" s="177" t="s">
        <v>779</v>
      </c>
      <c r="B95" s="178" t="s">
        <v>2033</v>
      </c>
      <c r="C95" s="2762">
        <f ca="1">ROUND(C85-C86,0)</f>
        <v>8916</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198.13333333333333</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6" thickBot="1">
      <c r="A97" s="180" t="s">
        <v>781</v>
      </c>
      <c r="B97" s="181" t="s">
        <v>2035</v>
      </c>
      <c r="C97" s="2773">
        <f ca="1">ROUND(IF(C95&lt;=0,0,IF(C96&gt;=200%,C95*60%-C86*35%,IF(C96&gt;=100%,C95*50%-C86*15%,IF(C96&gt;=50%,C95*40%-C86*5%,IF(C96&lt;50%,C95*30%,0))))),0)</f>
        <v>5334</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8" t="s">
        <v>2054</v>
      </c>
      <c r="B100" s="3349"/>
      <c r="C100" s="3349"/>
      <c r="D100" s="3384"/>
      <c r="E100" s="3349" t="s">
        <v>2055</v>
      </c>
      <c r="F100" s="3349"/>
      <c r="G100" s="3349"/>
      <c r="H100" s="3384"/>
      <c r="I100" s="133"/>
    </row>
    <row r="101" spans="1:35" ht="18.75" customHeight="1">
      <c r="A101" s="3392" t="s">
        <v>2056</v>
      </c>
      <c r="B101" s="3393"/>
      <c r="C101" s="2779" t="str">
        <f>C4</f>
        <v>成本法</v>
      </c>
      <c r="D101" s="2780" t="str">
        <f>D4</f>
        <v>收益法（汇总）</v>
      </c>
      <c r="E101" s="3362" t="s">
        <v>2057</v>
      </c>
      <c r="F101" s="3363"/>
      <c r="G101" s="1981" t="s">
        <v>2058</v>
      </c>
      <c r="H101" s="2789">
        <f ca="1">H118</f>
        <v>9409</v>
      </c>
      <c r="I101" s="133"/>
    </row>
    <row r="102" spans="1:35" ht="18.75" customHeight="1">
      <c r="A102" s="3394" t="s">
        <v>2059</v>
      </c>
      <c r="B102" s="2778" t="s">
        <v>2058</v>
      </c>
      <c r="C102" s="2779">
        <f ca="1">C19</f>
        <v>10018</v>
      </c>
      <c r="D102" s="2780">
        <f ca="1">D19</f>
        <v>8800</v>
      </c>
      <c r="E102" s="3362"/>
      <c r="F102" s="3363"/>
      <c r="G102" s="1981" t="s">
        <v>2060</v>
      </c>
      <c r="H102" s="2749">
        <f ca="1">I118</f>
        <v>3782</v>
      </c>
      <c r="I102" s="133"/>
    </row>
    <row r="103" spans="1:35" ht="42.75" customHeight="1">
      <c r="A103" s="3394"/>
      <c r="B103" s="2778" t="s">
        <v>2060</v>
      </c>
      <c r="C103" s="2781">
        <f ca="1">C20</f>
        <v>4026</v>
      </c>
      <c r="D103" s="2782">
        <f ca="1">D20</f>
        <v>3537</v>
      </c>
      <c r="E103" s="3355" t="s">
        <v>2061</v>
      </c>
      <c r="F103" s="3356"/>
      <c r="G103" s="1982" t="s">
        <v>2062</v>
      </c>
      <c r="H103" s="2789">
        <f>IF(D36="正常操作",H104+H105+H106,H105+H106)</f>
        <v>0</v>
      </c>
      <c r="I103" s="133"/>
    </row>
    <row r="104" spans="1:35" ht="18.75" customHeight="1">
      <c r="A104" s="3394" t="s">
        <v>2063</v>
      </c>
      <c r="B104" s="2783" t="s">
        <v>2058</v>
      </c>
      <c r="C104" s="2784">
        <f ca="1">H118</f>
        <v>9409</v>
      </c>
      <c r="D104" s="2785"/>
      <c r="E104" s="1828" t="s">
        <v>2064</v>
      </c>
      <c r="F104" s="1819"/>
      <c r="G104" s="1982" t="s">
        <v>2062</v>
      </c>
      <c r="H104" s="2790">
        <f>IF(D36="同一抵押权人同一抵押物续贷",C36&amp;"（续贷，未扣减，详见特别提示）",C36)</f>
        <v>0</v>
      </c>
      <c r="I104" s="133"/>
    </row>
    <row r="105" spans="1:35" ht="18.75" customHeight="1" thickBot="1">
      <c r="A105" s="3404"/>
      <c r="B105" s="2786" t="s">
        <v>2060</v>
      </c>
      <c r="C105" s="2787">
        <f ca="1">I118</f>
        <v>3782</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5" t="str">
        <f>IF(项目基本情况!E8="已注销","——","3.房地产抵押价值")</f>
        <v>3.房地产抵押价值</v>
      </c>
      <c r="F107" s="3363"/>
      <c r="G107" s="1981" t="s">
        <v>2058</v>
      </c>
      <c r="H107" s="2789">
        <f ca="1">IF(E107="——","——",H101-H103)</f>
        <v>9409</v>
      </c>
      <c r="I107" s="133"/>
    </row>
    <row r="108" spans="1:35" ht="18.75" customHeight="1">
      <c r="A108" s="133"/>
      <c r="B108" s="133"/>
      <c r="C108" s="133"/>
      <c r="D108" s="133"/>
      <c r="E108" s="3395"/>
      <c r="F108" s="3363"/>
      <c r="G108" s="1981" t="s">
        <v>2060</v>
      </c>
      <c r="H108" s="2749">
        <f ca="1">ROUND(H107*10000/'数据-汇总表'!E3,0)</f>
        <v>3782</v>
      </c>
      <c r="I108" s="133"/>
    </row>
    <row r="109" spans="1:35" ht="18.75" customHeight="1">
      <c r="A109" s="133"/>
      <c r="B109" s="133"/>
      <c r="C109" s="133"/>
      <c r="D109" s="133"/>
      <c r="E109" s="3395" t="str">
        <f>IF(项目基本情况!E8="已注销及未注销","4.抵押担保权已注销时的房地产抵押价值",IF(项目基本情况!E8="已注销","3.抵押担保权已注销时的房地产抵押价值","——"))</f>
        <v>——</v>
      </c>
      <c r="F109" s="3363"/>
      <c r="G109" s="1981" t="s">
        <v>2058</v>
      </c>
      <c r="H109" s="2792" t="str">
        <f>IF(E109="——","——",H101-H105-H106)</f>
        <v>——</v>
      </c>
      <c r="I109" s="133"/>
    </row>
    <row r="110" spans="1:35" ht="18.75" customHeight="1">
      <c r="A110" s="133"/>
      <c r="B110" s="133"/>
      <c r="C110" s="133"/>
      <c r="D110" s="133"/>
      <c r="E110" s="3395"/>
      <c r="F110" s="3363"/>
      <c r="G110" s="1981" t="s">
        <v>2060</v>
      </c>
      <c r="H110" s="2749" t="str">
        <f>IF(H109="——","——",ROUND(H109*10000/'数据-汇总表'!E3,0))</f>
        <v>——</v>
      </c>
      <c r="I110" s="133"/>
    </row>
    <row r="111" spans="1:35" ht="18.75" customHeight="1">
      <c r="A111" s="133"/>
      <c r="B111" s="133"/>
      <c r="C111" s="133"/>
      <c r="D111" s="133"/>
      <c r="E111" s="3396" t="str">
        <f>IF(项目基本情况!E9="抵押净值",IF(OR(项目基本情况!E8="已注销",项目基本情况!E8="房地产抵押价值"),"4.抵押净值","5.抵押净值"),"——")</f>
        <v>——</v>
      </c>
      <c r="F111" s="3382"/>
      <c r="G111" s="1981" t="s">
        <v>2058</v>
      </c>
      <c r="H111" s="2789" t="str">
        <f>IF(E111="——","——",N59)</f>
        <v>——</v>
      </c>
      <c r="I111" s="133"/>
    </row>
    <row r="112" spans="1:35" ht="18.75" customHeight="1" thickBot="1">
      <c r="A112" s="133"/>
      <c r="B112" s="133"/>
      <c r="C112" s="133"/>
      <c r="D112" s="133"/>
      <c r="E112" s="3397"/>
      <c r="F112" s="3398"/>
      <c r="G112" s="1984" t="s">
        <v>2060</v>
      </c>
      <c r="H112" s="2793" t="str">
        <f>IF(E111="——","——",N61)</f>
        <v>——</v>
      </c>
      <c r="I112" s="133"/>
    </row>
    <row r="113" spans="1:27" ht="18.75" customHeight="1">
      <c r="A113" s="133"/>
      <c r="B113" s="133"/>
      <c r="C113" s="133"/>
      <c r="D113" s="133"/>
      <c r="E113" s="3405" t="s">
        <v>2066</v>
      </c>
      <c r="F113" s="3405"/>
      <c r="G113" s="3405"/>
      <c r="H113" s="3405"/>
      <c r="I113" s="133"/>
    </row>
    <row r="114" spans="1:27" ht="3.75" customHeight="1">
      <c r="A114" s="1901"/>
      <c r="B114" s="1901"/>
      <c r="C114" s="1901"/>
      <c r="D114" s="1901"/>
      <c r="E114" s="1963"/>
      <c r="F114" s="1963"/>
      <c r="G114" s="1963"/>
      <c r="H114" s="1963"/>
      <c r="I114" s="1901"/>
    </row>
    <row r="115" spans="1:27" ht="18.75" customHeight="1">
      <c r="A115" s="3416" t="s">
        <v>2068</v>
      </c>
      <c r="B115" s="3417"/>
      <c r="C115" s="3417"/>
      <c r="D115" s="3417"/>
      <c r="E115" s="3417"/>
      <c r="F115" s="3417"/>
      <c r="G115" s="3417"/>
      <c r="H115" s="3417"/>
      <c r="I115" s="3418"/>
    </row>
    <row r="116" spans="1:27" ht="27" customHeight="1">
      <c r="A116" s="3370" t="s">
        <v>2069</v>
      </c>
      <c r="B116" s="3374" t="s">
        <v>2070</v>
      </c>
      <c r="C116" s="3374" t="s">
        <v>2071</v>
      </c>
      <c r="D116" s="3380" t="s">
        <v>2072</v>
      </c>
      <c r="E116" s="3381"/>
      <c r="F116" s="3412" t="s">
        <v>2073</v>
      </c>
      <c r="G116" s="3412"/>
      <c r="H116" s="3370" t="s">
        <v>2074</v>
      </c>
      <c r="I116" s="3370"/>
    </row>
    <row r="117" spans="1:27" ht="18.75" customHeight="1">
      <c r="A117" s="3370"/>
      <c r="B117" s="3375"/>
      <c r="C117" s="3375"/>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24880.78</v>
      </c>
      <c r="C118" s="2520">
        <f>M19</f>
        <v>31250</v>
      </c>
      <c r="D118" s="2520">
        <f ca="1">ROUND(IF(D32="总价",C34,E118*B118/10000),0)</f>
        <v>5373</v>
      </c>
      <c r="E118" s="2520">
        <f ca="1">ROUND(IF(C33="自定义",IF(D32="楼面单价",C34,D118*10000/B118),I118-G118),0)</f>
        <v>2160</v>
      </c>
      <c r="F118" s="2520">
        <f ca="1">ROUND(IF(D32="总价",C35,G118*B118/10000),0)</f>
        <v>4036</v>
      </c>
      <c r="G118" s="2520">
        <f ca="1">ROUND(IF(D32="楼面单价",C35,F118*10000/B118),0)</f>
        <v>1622</v>
      </c>
      <c r="H118" s="2520">
        <f ca="1">ROUND(IF(D32="总价",C32,I118*B118/10000),0)</f>
        <v>9409</v>
      </c>
      <c r="I118" s="2520">
        <f ca="1">ROUND(IF(D32="楼面单价",C32,H118*10000/B118),0)</f>
        <v>3782</v>
      </c>
    </row>
    <row r="119" spans="1:27" ht="18.75" customHeight="1">
      <c r="A119" s="3370" t="s">
        <v>2078</v>
      </c>
      <c r="B119" s="3370"/>
      <c r="C119" s="3370"/>
      <c r="D119" s="3376" t="str">
        <f ca="1">NUMBERSTRING(INT(D118*10000),2)&amp;"元整"</f>
        <v>伍仟叁佰柒拾叁万元整</v>
      </c>
      <c r="E119" s="3377"/>
      <c r="F119" s="3376" t="str">
        <f ca="1">NUMBERSTRING(INT(F118*10000),2)&amp;"元整"</f>
        <v>肆仟零叁拾陆万元整</v>
      </c>
      <c r="G119" s="3377"/>
      <c r="H119" s="3376" t="str">
        <f ca="1">NUMBERSTRING(INT(H118*10000),2)&amp;"元整"</f>
        <v>玖仟肆佰零玖万元整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13" t="s">
        <v>2078</v>
      </c>
      <c r="B121" s="3414"/>
      <c r="C121" s="3415"/>
      <c r="D121" s="3376" t="str">
        <f>IF(D120=0,"零元整",NUMBERSTRING(INT(D120*10000),2)&amp;"元整")</f>
        <v>零元整</v>
      </c>
      <c r="E121" s="3378"/>
      <c r="F121" s="3378"/>
      <c r="G121" s="3378"/>
      <c r="H121" s="3378"/>
      <c r="I121" s="3377"/>
      <c r="AA121" s="733"/>
    </row>
    <row r="122" spans="1:27" ht="18.75" customHeight="1">
      <c r="A122" s="3382" t="str">
        <f>IF(项目基本情况!B9="房地产市场价值","",MID(E107,3,LEN(E107)-2))</f>
        <v>房地产抵押价值</v>
      </c>
      <c r="B122" s="3382"/>
      <c r="C122" s="3382"/>
      <c r="D122" s="3371">
        <f ca="1">H107</f>
        <v>9409</v>
      </c>
      <c r="E122" s="3372"/>
      <c r="F122" s="3372"/>
      <c r="G122" s="3372"/>
      <c r="H122" s="3372"/>
      <c r="I122" s="3373"/>
      <c r="AA122" s="733"/>
    </row>
    <row r="123" spans="1:27" ht="18.75" customHeight="1">
      <c r="A123" s="3370" t="s">
        <v>2078</v>
      </c>
      <c r="B123" s="3370"/>
      <c r="C123" s="3370"/>
      <c r="D123" s="3376" t="str">
        <f ca="1">NUMBERSTRING(INT(D122*10000),2)&amp;"元整"</f>
        <v>玖仟肆佰零玖万元整</v>
      </c>
      <c r="E123" s="3378"/>
      <c r="F123" s="3378"/>
      <c r="G123" s="3378"/>
      <c r="H123" s="3378"/>
      <c r="I123" s="3377"/>
      <c r="AA123" s="733"/>
    </row>
    <row r="124" spans="1:27" ht="18.75" customHeight="1">
      <c r="A124" s="3382" t="str">
        <f>IF(项目基本情况!B9="房地产市场价值","",MID(E109,3,LEN(E109)-2))</f>
        <v/>
      </c>
      <c r="B124" s="3382"/>
      <c r="C124" s="3382"/>
      <c r="D124" s="3371" t="str">
        <f>H109</f>
        <v>——</v>
      </c>
      <c r="E124" s="3372"/>
      <c r="F124" s="3372"/>
      <c r="G124" s="3372"/>
      <c r="H124" s="3372"/>
      <c r="I124" s="3373"/>
      <c r="AA124" s="733"/>
    </row>
    <row r="125" spans="1:27" ht="18.75" customHeight="1">
      <c r="A125" s="3370" t="s">
        <v>2078</v>
      </c>
      <c r="B125" s="3370"/>
      <c r="C125" s="3370"/>
      <c r="D125" s="3376" t="e">
        <f>NUMBERSTRING(INT(D124*10000),2)&amp;"元整"</f>
        <v>#VALUE!</v>
      </c>
      <c r="E125" s="3378"/>
      <c r="F125" s="3378"/>
      <c r="G125" s="3378"/>
      <c r="H125" s="3378"/>
      <c r="I125" s="3377"/>
      <c r="AA125" s="733"/>
    </row>
    <row r="126" spans="1:27" ht="18.75" customHeight="1">
      <c r="A126" s="3382" t="str">
        <f>IF(项目基本情况!B9="房地产市场价值","",MID(E111,3,LEN(E111)-2))</f>
        <v/>
      </c>
      <c r="B126" s="3382"/>
      <c r="C126" s="3382"/>
      <c r="D126" s="3371" t="str">
        <f>H111</f>
        <v>——</v>
      </c>
      <c r="E126" s="3372"/>
      <c r="F126" s="3372"/>
      <c r="G126" s="3372"/>
      <c r="H126" s="3372"/>
      <c r="I126" s="3373"/>
      <c r="AA126" s="733"/>
    </row>
    <row r="127" spans="1:27" ht="18.75" customHeight="1">
      <c r="A127" s="3370" t="s">
        <v>2078</v>
      </c>
      <c r="B127" s="3370"/>
      <c r="C127" s="3370"/>
      <c r="D127" s="3376" t="e">
        <f>NUMBERSTRING(INT(D126*10000),2)&amp;"元整"</f>
        <v>#VALUE!</v>
      </c>
      <c r="E127" s="3378"/>
      <c r="F127" s="3378"/>
      <c r="G127" s="3378"/>
      <c r="H127" s="3378"/>
      <c r="I127" s="3377"/>
      <c r="AA127" s="733"/>
    </row>
    <row r="128" spans="1:27" ht="21.75" customHeight="1">
      <c r="A128" s="3379" t="s">
        <v>2079</v>
      </c>
      <c r="B128" s="3379"/>
      <c r="C128" s="3379"/>
      <c r="D128" s="3379"/>
      <c r="E128" s="3379"/>
      <c r="F128" s="3379"/>
      <c r="G128" s="3379"/>
      <c r="H128" s="3379"/>
      <c r="I128" s="3379"/>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262" t="str">
        <f>项目基本情况!B1</f>
        <v>北京市房地产抵押价值预评估</v>
      </c>
      <c r="C37" s="3262"/>
      <c r="D37" s="3262"/>
      <c r="E37" s="3262"/>
      <c r="F37" s="3262"/>
      <c r="G37" s="3262"/>
      <c r="H37" s="3262"/>
      <c r="I37" s="3262"/>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c r="B46" s="1627" t="str">
        <f ca="1">项目基本情况!K4</f>
        <v>郑燚（注册号：1120070131)、崔锴（注册号：1120100036)</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0" zoomScaleNormal="70" zoomScaleSheetLayoutView="80" workbookViewId="0">
      <selection activeCell="C57" sqref="C57"/>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2087</v>
      </c>
      <c r="B1" s="1622"/>
      <c r="C1" s="203"/>
      <c r="D1" s="203"/>
      <c r="E1" s="203"/>
      <c r="F1" s="203"/>
      <c r="G1" s="1259">
        <f>MATCH(B1,'数据-取费表'!A6:A16,0)+5</f>
        <v>7</v>
      </c>
    </row>
    <row r="2" spans="1:9" s="205" customFormat="1" ht="18" customHeight="1">
      <c r="A2" s="206" t="s">
        <v>2088</v>
      </c>
      <c r="B2" s="207">
        <f ca="1">IF(D2="——",C52,C52-E2)</f>
        <v>10018</v>
      </c>
      <c r="C2" s="204" t="s">
        <v>2089</v>
      </c>
      <c r="D2" s="2007" t="s">
        <v>70</v>
      </c>
      <c r="E2" s="1302"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4026</v>
      </c>
      <c r="C3" s="204" t="s">
        <v>2091</v>
      </c>
      <c r="D3" s="204"/>
      <c r="E3" s="204"/>
      <c r="F3" s="204"/>
      <c r="G3" s="204"/>
    </row>
    <row r="4" spans="1:9" s="213" customFormat="1" ht="16.2">
      <c r="A4" s="210" t="s">
        <v>2092</v>
      </c>
      <c r="B4" s="211"/>
      <c r="C4" s="211"/>
      <c r="D4" s="211"/>
      <c r="E4" s="211"/>
      <c r="F4" s="211"/>
      <c r="G4" s="212"/>
    </row>
    <row r="5" spans="1:9" s="219" customFormat="1" ht="13.5" customHeight="1">
      <c r="A5" s="260" t="s">
        <v>2093</v>
      </c>
      <c r="B5" s="215" t="s">
        <v>2094</v>
      </c>
      <c r="C5" s="216">
        <f>C6+C7+C8</f>
        <v>4547</v>
      </c>
      <c r="D5" s="216" t="s">
        <v>2095</v>
      </c>
      <c r="E5" s="217" t="s">
        <v>2096</v>
      </c>
      <c r="F5" s="217" t="s">
        <v>2097</v>
      </c>
      <c r="G5" s="218"/>
    </row>
    <row r="6" spans="1:9" s="219" customFormat="1" ht="13.5" customHeight="1">
      <c r="A6" s="885" t="s">
        <v>2098</v>
      </c>
      <c r="B6" s="220" t="s">
        <v>2099</v>
      </c>
      <c r="C6" s="221">
        <f>'土地比较法-工业'!B2</f>
        <v>3953</v>
      </c>
      <c r="D6" s="222"/>
      <c r="E6" s="223"/>
      <c r="F6" s="223"/>
      <c r="G6" s="224"/>
    </row>
    <row r="7" spans="1:9" s="219" customFormat="1" ht="13.5" customHeight="1">
      <c r="A7" s="885" t="s">
        <v>2100</v>
      </c>
      <c r="B7" s="220" t="s">
        <v>2101</v>
      </c>
      <c r="C7" s="225">
        <f>ROUND(C6*F7,0)</f>
        <v>121</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473</v>
      </c>
      <c r="D8" s="227"/>
      <c r="E8" s="225"/>
      <c r="F8" s="226"/>
      <c r="G8" s="2010" t="s">
        <v>3175</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t="s">
        <v>3176</v>
      </c>
      <c r="H9" s="1270"/>
      <c r="I9" s="2012" t="s">
        <v>2105</v>
      </c>
    </row>
    <row r="10" spans="1:9" s="219" customFormat="1" ht="13.5" customHeight="1">
      <c r="A10" s="886" t="s">
        <v>801</v>
      </c>
      <c r="B10" s="229" t="s">
        <v>2106</v>
      </c>
      <c r="C10" s="230">
        <f ca="1">ROUND(D10*E10/10000,0)</f>
        <v>473</v>
      </c>
      <c r="D10" s="953">
        <f ca="1">IF(B1="",'数据-汇总表'!E6,IF(INDIRECT("'数据-取费表'!c"&amp;$G$1)="住宅",INDIRECT("'数据-取费表'!s"&amp;$G$1),INDIRECT("'数据-取费表'!k"&amp;$G$1)+INDIRECT("'数据-取费表'!s"&amp;$G$1)))</f>
        <v>24880.78</v>
      </c>
      <c r="E10" s="230">
        <f>'数据-取费表'!B28</f>
        <v>190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9" s="219" customFormat="1" ht="13.5" hidden="1" customHeight="1">
      <c r="A17" s="232" t="s">
        <v>13</v>
      </c>
      <c r="B17" s="220" t="s">
        <v>2114</v>
      </c>
      <c r="C17" s="234"/>
      <c r="D17" s="956"/>
      <c r="E17" s="234"/>
      <c r="F17" s="234"/>
      <c r="G17" s="224" t="s">
        <v>2113</v>
      </c>
    </row>
    <row r="18" spans="1:9" s="219" customFormat="1" ht="13.5" hidden="1" customHeight="1">
      <c r="A18" s="232" t="s">
        <v>14</v>
      </c>
      <c r="B18" s="220" t="s">
        <v>2115</v>
      </c>
      <c r="C18" s="225">
        <v>0</v>
      </c>
      <c r="D18" s="955"/>
      <c r="E18" s="223"/>
      <c r="F18" s="226">
        <v>3.0499999999999999E-2</v>
      </c>
      <c r="G18" s="224" t="s">
        <v>2116</v>
      </c>
    </row>
    <row r="19" spans="1:9" s="228" customFormat="1" ht="13.5" customHeight="1">
      <c r="A19" s="260" t="s">
        <v>2117</v>
      </c>
      <c r="B19" s="215" t="s">
        <v>2118</v>
      </c>
      <c r="C19" s="216" t="str">
        <f>IF(G19="已包含在土地取得成本中","0",ROUND(D19*E19/10000,0))</f>
        <v>0</v>
      </c>
      <c r="D19" s="957">
        <f ca="1">D9+D10</f>
        <v>24880.78</v>
      </c>
      <c r="E19" s="216">
        <f>'数据-取费表'!B31</f>
        <v>200</v>
      </c>
      <c r="F19" s="236"/>
      <c r="G19" s="2010" t="s">
        <v>3177</v>
      </c>
    </row>
    <row r="20" spans="1:9" s="219" customFormat="1" ht="13.5" customHeight="1">
      <c r="A20" s="260" t="s">
        <v>2119</v>
      </c>
      <c r="B20" s="215" t="s">
        <v>2120</v>
      </c>
      <c r="C20" s="237">
        <f>ROUND((C5+C19)*F20,0)</f>
        <v>45</v>
      </c>
      <c r="D20" s="237"/>
      <c r="E20" s="237"/>
      <c r="F20" s="238">
        <f>'数据-取费表'!B37</f>
        <v>0.01</v>
      </c>
      <c r="G20" s="239" t="s">
        <v>2121</v>
      </c>
    </row>
    <row r="21" spans="1:9" s="219" customFormat="1" ht="13.5" customHeight="1">
      <c r="A21" s="260" t="s">
        <v>2122</v>
      </c>
      <c r="B21" s="215" t="s">
        <v>2123</v>
      </c>
      <c r="C21" s="240">
        <f>F21</f>
        <v>0.01</v>
      </c>
      <c r="D21" s="241" t="s">
        <v>2124</v>
      </c>
      <c r="E21" s="237"/>
      <c r="F21" s="238">
        <f>'数据-取费表'!B38</f>
        <v>0.01</v>
      </c>
      <c r="G21" s="239" t="s">
        <v>2125</v>
      </c>
    </row>
    <row r="22" spans="1:9" s="219" customFormat="1" ht="13.5" customHeight="1">
      <c r="A22" s="260" t="s">
        <v>2126</v>
      </c>
      <c r="B22" s="215" t="s">
        <v>2127</v>
      </c>
      <c r="C22" s="1235">
        <f ca="1">ROUND(SUM(C23:C25),0)</f>
        <v>301</v>
      </c>
      <c r="D22" s="240">
        <f ca="1">C26</f>
        <v>2.9999999999999997E-4</v>
      </c>
      <c r="E22" s="241" t="s">
        <v>2124</v>
      </c>
      <c r="F22" s="242">
        <f ca="1">'数据-取费表'!B40</f>
        <v>4.3499999999999997E-2</v>
      </c>
      <c r="G22" s="239" t="str">
        <f>IF('数据-取费表'!B22&lt;=1,"单利计息","复利计息")</f>
        <v>复利计息</v>
      </c>
    </row>
    <row r="23" spans="1:9" s="219" customFormat="1" ht="13.5" customHeight="1">
      <c r="A23" s="887" t="s">
        <v>2128</v>
      </c>
      <c r="B23" s="220" t="s">
        <v>2129</v>
      </c>
      <c r="C23" s="1236">
        <f ca="1">ROUND(IF('数据-取费表'!B22&lt;=1,C5*F22*'数据-取费表'!B23,C5*(POWER((1+F22),'数据-取费表'!B23)-1)),0)</f>
        <v>300</v>
      </c>
      <c r="D23" s="243"/>
      <c r="E23" s="243"/>
      <c r="F23" s="244"/>
      <c r="G23" s="245" t="s">
        <v>2130</v>
      </c>
    </row>
    <row r="24" spans="1:9"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9" s="219" customFormat="1" ht="24">
      <c r="A25" s="887" t="s">
        <v>2134</v>
      </c>
      <c r="B25" s="220" t="s">
        <v>2135</v>
      </c>
      <c r="C25" s="1236">
        <f ca="1">ROUND(IF('数据-取费表'!B22&lt;=1,C20*F22*'数据-取费表'!B23/2,C20*(POWER((1+F22),'数据-取费表'!B23/2)-1)),0)</f>
        <v>1</v>
      </c>
      <c r="D25" s="243"/>
      <c r="E25" s="246"/>
      <c r="F25" s="244"/>
      <c r="G25" s="247" t="s">
        <v>2136</v>
      </c>
    </row>
    <row r="26" spans="1:9" s="219" customFormat="1">
      <c r="A26" s="887" t="s">
        <v>795</v>
      </c>
      <c r="B26" s="220" t="s">
        <v>2137</v>
      </c>
      <c r="C26" s="243">
        <f ca="1">ROUND(IF('数据-取费表'!B22&lt;=1,F21*F22*'数据-取费表'!B23/2,F21*(POWER((1+F22),'数据-取费表'!B23/2)-1)),4)</f>
        <v>2.9999999999999997E-4</v>
      </c>
      <c r="D26" s="243"/>
      <c r="E26" s="246"/>
      <c r="F26" s="244"/>
      <c r="G26" s="248"/>
    </row>
    <row r="27" spans="1:9" s="219" customFormat="1" ht="26.4">
      <c r="A27" s="260" t="s">
        <v>2138</v>
      </c>
      <c r="B27" s="249" t="s">
        <v>2139</v>
      </c>
      <c r="C27" s="250">
        <f ca="1">C28</f>
        <v>459</v>
      </c>
      <c r="D27" s="240">
        <f ca="1">C29</f>
        <v>1E-3</v>
      </c>
      <c r="E27" s="241" t="s">
        <v>2140</v>
      </c>
      <c r="F27" s="251">
        <f ca="1">IF(B1="",'数据-取费表'!Q16,INDIRECT("'数据-取费表'!q"&amp;$G$1))</f>
        <v>0.1</v>
      </c>
      <c r="G27" s="252" t="s">
        <v>2141</v>
      </c>
    </row>
    <row r="28" spans="1:9" s="219" customFormat="1" ht="13.5" customHeight="1">
      <c r="A28" s="887" t="s">
        <v>791</v>
      </c>
      <c r="B28" s="253" t="s">
        <v>2142</v>
      </c>
      <c r="C28" s="254">
        <f ca="1">ROUND((C5+C19+C20)*F27*'数据-取费表'!B21/'数据-取费表'!B20,0)</f>
        <v>459</v>
      </c>
      <c r="D28" s="240"/>
      <c r="E28" s="241"/>
      <c r="F28" s="251"/>
      <c r="G28" s="252"/>
    </row>
    <row r="29" spans="1:9" s="219" customFormat="1" ht="13.5" customHeight="1">
      <c r="A29" s="887" t="s">
        <v>792</v>
      </c>
      <c r="B29" s="253" t="s">
        <v>2143</v>
      </c>
      <c r="C29" s="243">
        <f ca="1">ROUND(C21*F27*'数据-取费表'!B21/'数据-取费表'!B20,4)</f>
        <v>1E-3</v>
      </c>
      <c r="D29" s="240"/>
      <c r="E29" s="241"/>
      <c r="F29" s="251"/>
      <c r="G29" s="252"/>
    </row>
    <row r="30" spans="1:9"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9" ht="16.5" customHeight="1">
      <c r="A31" s="214">
        <v>1</v>
      </c>
      <c r="B31" s="215" t="s">
        <v>2147</v>
      </c>
      <c r="C31" s="216">
        <f ca="1">ROUND((C5+C19+C20+C22+C27)/(1-C21-D22-D27-C30),0)</f>
        <v>5716</v>
      </c>
      <c r="D31" s="235"/>
      <c r="E31" s="216"/>
      <c r="F31" s="255"/>
      <c r="G31" s="239" t="s">
        <v>2148</v>
      </c>
      <c r="I31" s="256">
        <f ca="1">C31/'数据-基础表'!A3*666.67</f>
        <v>121.94194303999998</v>
      </c>
    </row>
    <row r="32" spans="1:9" s="213" customFormat="1" ht="16.2">
      <c r="A32" s="257" t="s">
        <v>2149</v>
      </c>
      <c r="B32" s="258"/>
      <c r="C32" s="258"/>
      <c r="D32" s="258"/>
      <c r="E32" s="258"/>
      <c r="F32" s="258"/>
      <c r="G32" s="259"/>
    </row>
    <row r="33" spans="1:7" s="219" customFormat="1" ht="13.5" customHeight="1">
      <c r="A33" s="260" t="s">
        <v>782</v>
      </c>
      <c r="B33" s="215" t="s">
        <v>2150</v>
      </c>
      <c r="C33" s="261">
        <f ca="1">SUM(C34:C38)</f>
        <v>5178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4479</v>
      </c>
      <c r="D34" s="222"/>
      <c r="E34" s="225"/>
      <c r="F34" s="262">
        <f ca="1">IF('数据-取费表'!B24=0,1,IF(B1="",'数据-取费表'!N16,INDIRECT("'数据-取费表'!n"&amp;$G$1)))</f>
        <v>1</v>
      </c>
      <c r="G34" s="224" t="s">
        <v>2152</v>
      </c>
    </row>
    <row r="35" spans="1:7" ht="13.5" customHeight="1">
      <c r="A35" s="887" t="s">
        <v>796</v>
      </c>
      <c r="B35" s="220" t="s">
        <v>2153</v>
      </c>
      <c r="C35" s="225">
        <f ca="1">ROUND(C34*F35,0)</f>
        <v>134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498</v>
      </c>
      <c r="D37" s="222">
        <f ca="1">D19</f>
        <v>24880.78</v>
      </c>
      <c r="E37" s="254">
        <f>'数据-取费表'!B35</f>
        <v>200</v>
      </c>
      <c r="F37" s="264"/>
      <c r="G37" s="266" t="s">
        <v>2158</v>
      </c>
    </row>
    <row r="38" spans="1:7" ht="13.5" customHeight="1">
      <c r="A38" s="887" t="s">
        <v>799</v>
      </c>
      <c r="B38" s="220" t="s">
        <v>2159</v>
      </c>
      <c r="C38" s="225">
        <f ca="1">ROUND(C34*F38,0)</f>
        <v>67</v>
      </c>
      <c r="D38" s="225"/>
      <c r="E38" s="225"/>
      <c r="F38" s="264">
        <f>'数据-取费表'!B36</f>
        <v>1.4999999999999999E-2</v>
      </c>
      <c r="G38" s="224" t="s">
        <v>2154</v>
      </c>
    </row>
    <row r="39" spans="1:7" s="219" customFormat="1" ht="13.5" customHeight="1">
      <c r="A39" s="260" t="s">
        <v>2160</v>
      </c>
      <c r="B39" s="215" t="s">
        <v>2161</v>
      </c>
      <c r="C39" s="237">
        <f ca="1">ROUND(C33*F20,0)</f>
        <v>52</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170</v>
      </c>
      <c r="D41" s="240">
        <f ca="1">C44</f>
        <v>2.9999999999999997E-4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168</v>
      </c>
      <c r="D42" s="243"/>
      <c r="E42" s="243"/>
      <c r="F42" s="244"/>
      <c r="G42" s="3452" t="s">
        <v>2170</v>
      </c>
    </row>
    <row r="43" spans="1:7" ht="13.5" customHeight="1">
      <c r="A43" s="887" t="s">
        <v>792</v>
      </c>
      <c r="B43" s="220" t="s">
        <v>2171</v>
      </c>
      <c r="C43" s="243">
        <f ca="1">ROUND(IF('数据-取费表'!B22&lt;=1,C39*F22*'数据-取费表'!B21/2,C39*(POWER((1+F22),'数据-取费表'!B21/2)-1)),0)</f>
        <v>2</v>
      </c>
      <c r="D43" s="243"/>
      <c r="E43" s="243"/>
      <c r="F43" s="244"/>
      <c r="G43" s="3453"/>
    </row>
    <row r="44" spans="1:7" ht="13.5" customHeight="1">
      <c r="A44" s="887" t="s">
        <v>793</v>
      </c>
      <c r="B44" s="220" t="s">
        <v>2172</v>
      </c>
      <c r="C44" s="243">
        <f ca="1">ROUND(IF('数据-取费表'!B22&lt;=1,C40*F22*'数据-取费表'!B21/2,C40*(POWER((1+F22),'数据-取费表'!B21/2)-1)),4)</f>
        <v>2.9999999999999997E-4</v>
      </c>
      <c r="D44" s="243"/>
      <c r="E44" s="243"/>
      <c r="F44" s="244"/>
      <c r="G44" s="3454"/>
    </row>
    <row r="45" spans="1:7" s="219" customFormat="1" ht="13.5" customHeight="1">
      <c r="A45" s="260" t="s">
        <v>2173</v>
      </c>
      <c r="B45" s="249" t="s">
        <v>2139</v>
      </c>
      <c r="C45" s="250">
        <f ca="1">C46</f>
        <v>523</v>
      </c>
      <c r="D45" s="240">
        <f ca="1">C47</f>
        <v>1E-3</v>
      </c>
      <c r="E45" s="241" t="s">
        <v>2165</v>
      </c>
      <c r="F45" s="2505">
        <f ca="1">F27</f>
        <v>0.1</v>
      </c>
      <c r="G45" s="252" t="s">
        <v>2174</v>
      </c>
    </row>
    <row r="46" spans="1:7" s="219" customFormat="1" ht="13.5" customHeight="1">
      <c r="A46" s="887" t="s">
        <v>791</v>
      </c>
      <c r="B46" s="253" t="s">
        <v>2175</v>
      </c>
      <c r="C46" s="254">
        <f ca="1">ROUND((C33+C39)*F27,0)</f>
        <v>523</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5">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6326</v>
      </c>
      <c r="D49" s="237"/>
      <c r="E49" s="237"/>
      <c r="F49" s="269"/>
      <c r="G49" s="239" t="s">
        <v>2180</v>
      </c>
    </row>
    <row r="50" spans="1:7" s="263" customFormat="1" ht="24">
      <c r="A50" s="260" t="s">
        <v>2181</v>
      </c>
      <c r="B50" s="215" t="s">
        <v>2182</v>
      </c>
      <c r="C50" s="237"/>
      <c r="D50" s="237"/>
      <c r="E50" s="237"/>
      <c r="F50" s="269">
        <f>IF('数据-取费表'!B24=0,'数据-取费表'!N16,1)</f>
        <v>0.68</v>
      </c>
      <c r="G50" s="252" t="s">
        <v>2183</v>
      </c>
    </row>
    <row r="51" spans="1:7" ht="16.5" customHeight="1">
      <c r="A51" s="260" t="s">
        <v>2184</v>
      </c>
      <c r="B51" s="215" t="s">
        <v>2185</v>
      </c>
      <c r="C51" s="237">
        <f ca="1">ROUND(C49*F50,0)</f>
        <v>4302</v>
      </c>
      <c r="D51" s="237"/>
      <c r="E51" s="237"/>
      <c r="F51" s="269"/>
      <c r="G51" s="239" t="s">
        <v>2186</v>
      </c>
    </row>
    <row r="52" spans="1:7" s="213" customFormat="1" ht="16.8" thickBot="1">
      <c r="A52" s="270" t="s">
        <v>2187</v>
      </c>
      <c r="B52" s="271"/>
      <c r="C52" s="272">
        <f ca="1">C31+C51</f>
        <v>10018</v>
      </c>
      <c r="D52" s="271"/>
      <c r="E52" s="271"/>
      <c r="F52" s="271"/>
      <c r="G52" s="273"/>
    </row>
    <row r="55" spans="1:7" ht="15">
      <c r="B55" s="275" t="s">
        <v>2188</v>
      </c>
      <c r="C55" s="276"/>
    </row>
    <row r="56" spans="1:7">
      <c r="B56" s="278" t="s">
        <v>1418</v>
      </c>
      <c r="C56" s="280">
        <f ca="1">1-C57</f>
        <v>0.57099999999999995</v>
      </c>
    </row>
    <row r="57" spans="1:7">
      <c r="B57" s="278" t="s">
        <v>1419</v>
      </c>
      <c r="C57" s="279">
        <f ca="1">ROUND(C51/C52,3)</f>
        <v>0.42899999999999999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E3" sqref="E3"/>
    </sheetView>
  </sheetViews>
  <sheetFormatPr defaultColWidth="12" defaultRowHeight="13.2"/>
  <cols>
    <col min="1" max="1" width="9.77734375" style="2218" customWidth="1"/>
    <col min="2" max="2" width="19.21875" style="2321" customWidth="1"/>
    <col min="3" max="4" width="12" style="2152"/>
    <col min="5" max="5" width="14.6640625" style="2152" customWidth="1"/>
    <col min="6" max="8" width="12" style="2152"/>
    <col min="9" max="9" width="12.21875" style="2152" bestFit="1" customWidth="1"/>
    <col min="10" max="10" width="12" style="2152"/>
    <col min="11" max="11" width="8.109375" style="2213" customWidth="1"/>
    <col min="12" max="12" width="12" style="2152"/>
    <col min="13" max="13" width="8.44140625" style="2152" customWidth="1"/>
    <col min="14" max="14" width="9.77734375" style="2152" customWidth="1"/>
    <col min="15" max="25" width="12" style="2152"/>
    <col min="26" max="26" width="9.33203125" style="2218" customWidth="1"/>
    <col min="27" max="32" width="9.33203125" style="1253" customWidth="1"/>
    <col min="33" max="36" width="9.33203125" style="2218" customWidth="1"/>
    <col min="37" max="38" width="9.33203125" style="2152" customWidth="1"/>
    <col min="39" max="16384" width="12" style="2152"/>
  </cols>
  <sheetData>
    <row r="1" spans="1:36" ht="31.2">
      <c r="A1" s="201" t="s">
        <v>2564</v>
      </c>
      <c r="B1" s="202"/>
      <c r="C1" s="206" t="s">
        <v>2565</v>
      </c>
      <c r="D1" s="347">
        <f>SUM(D29:D30,D33:D39)</f>
        <v>24880.78</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6">
      <c r="A2" s="206" t="s">
        <v>2572</v>
      </c>
      <c r="B2" s="209">
        <f>C26</f>
        <v>2745</v>
      </c>
      <c r="C2" s="2153" t="s">
        <v>2573</v>
      </c>
      <c r="D2" s="2154" t="s">
        <v>2574</v>
      </c>
      <c r="E2" s="2155" t="s">
        <v>6</v>
      </c>
      <c r="F2" s="2154" t="s">
        <v>2575</v>
      </c>
      <c r="G2" s="2156" t="str">
        <f>IF(E2="商业",项目基本情况!B37,IF(E2="办公",项目基本情况!C37,IF(E2="住宅",项目基本情况!D37,项目基本情况!E37)))</f>
        <v>十级</v>
      </c>
      <c r="H2" s="2154" t="s">
        <v>2576</v>
      </c>
      <c r="I2" s="2156" t="str">
        <f>IF(E2="商业",项目基本情况!B38,IF(E2="办公",项目基本情况!C38,IF(E2="住宅",项目基本情况!D38,项目基本情况!E38)))</f>
        <v>Ⅹ-兴1</v>
      </c>
      <c r="J2" s="2157"/>
      <c r="K2" s="1251"/>
      <c r="L2" s="2158" t="s">
        <v>2577</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2.6242999999999999</v>
      </c>
      <c r="T2" s="1344">
        <f>ROUND($C$5*$C$18*$C$19*$C$20*S2*$C$24,0)</f>
        <v>2275</v>
      </c>
      <c r="U2" s="1345"/>
      <c r="V2" s="1344">
        <f>ROUND(T2*U2/10000,0)</f>
        <v>0</v>
      </c>
      <c r="W2" s="1348"/>
      <c r="X2" s="1348"/>
      <c r="Y2" s="1348"/>
      <c r="Z2" s="1348"/>
      <c r="AA2" s="1348"/>
      <c r="AB2" s="1348"/>
      <c r="AC2" s="1349"/>
      <c r="AD2" s="1350"/>
      <c r="AE2" s="1350"/>
      <c r="AF2" s="1350"/>
      <c r="AG2" s="1350"/>
      <c r="AH2" s="1350"/>
      <c r="AI2" s="1350"/>
      <c r="AJ2" s="1351"/>
    </row>
    <row r="3" spans="1:36" ht="15.6">
      <c r="A3" s="208" t="s">
        <v>2578</v>
      </c>
      <c r="B3" s="209">
        <f>ROUND(B2*10000/D1,0)</f>
        <v>1103</v>
      </c>
      <c r="C3" s="2153" t="s">
        <v>2579</v>
      </c>
      <c r="D3" s="2154" t="s">
        <v>2580</v>
      </c>
      <c r="E3" s="2159" t="s">
        <v>3439</v>
      </c>
      <c r="F3" s="2160" t="s">
        <v>3461</v>
      </c>
      <c r="G3" s="854">
        <f>IF(F3="宗地容积率",'数据-汇总表'!I4,IF(F3="估价对象容积率",'数据-汇总表'!I6,'数据-汇总表'!I7))</f>
        <v>0.74</v>
      </c>
      <c r="H3" s="174" t="s">
        <v>2581</v>
      </c>
      <c r="I3" s="880"/>
      <c r="J3" s="2157" t="s">
        <v>2582</v>
      </c>
      <c r="K3" s="1251"/>
      <c r="L3" s="2158"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1.7296</v>
      </c>
      <c r="T3" s="1344">
        <f t="shared" ref="T3:T16" si="0">ROUND($C$5*$C$18*$C$19*$C$20*S3*$C$24,0)</f>
        <v>1499</v>
      </c>
      <c r="U3" s="1345"/>
      <c r="V3" s="1344">
        <f t="shared" ref="V3:V16" si="1">ROUND(T3*U3/10000,0)</f>
        <v>0</v>
      </c>
      <c r="W3" s="1348"/>
      <c r="X3" s="1348"/>
      <c r="Y3" s="1348"/>
      <c r="Z3" s="1348"/>
      <c r="AA3" s="1348"/>
      <c r="AB3" s="1348"/>
      <c r="AC3" s="1349"/>
      <c r="AD3" s="1350"/>
      <c r="AE3" s="1350"/>
      <c r="AF3" s="1350"/>
      <c r="AG3" s="1350"/>
      <c r="AH3" s="1350"/>
      <c r="AI3" s="1350"/>
      <c r="AJ3" s="1351"/>
    </row>
    <row r="4" spans="1:36" ht="15.6">
      <c r="A4" s="3474"/>
      <c r="B4" s="3475"/>
      <c r="C4" s="3475"/>
      <c r="D4" s="3476"/>
      <c r="E4" s="3476"/>
      <c r="F4" s="3476"/>
      <c r="G4" s="3476"/>
      <c r="H4" s="3476"/>
      <c r="I4" s="3476"/>
      <c r="J4" s="3477"/>
      <c r="K4" s="1251"/>
      <c r="L4" s="2158"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1.3611</v>
      </c>
      <c r="T4" s="1344">
        <f t="shared" si="0"/>
        <v>1180</v>
      </c>
      <c r="U4" s="1345"/>
      <c r="V4" s="1344">
        <f t="shared" si="1"/>
        <v>0</v>
      </c>
      <c r="W4" s="1348"/>
      <c r="X4" s="1348"/>
      <c r="Y4" s="1348"/>
      <c r="Z4" s="1348"/>
      <c r="AA4" s="1348"/>
      <c r="AB4" s="1348"/>
      <c r="AC4" s="1349"/>
      <c r="AD4" s="1350"/>
      <c r="AE4" s="1350"/>
      <c r="AF4" s="1350"/>
      <c r="AG4" s="1350"/>
      <c r="AH4" s="1350"/>
      <c r="AI4" s="1350"/>
      <c r="AJ4" s="1351"/>
    </row>
    <row r="5" spans="1:36" s="2170" customFormat="1" ht="15.6" thickBot="1">
      <c r="A5" s="2161" t="s">
        <v>807</v>
      </c>
      <c r="B5" s="2162" t="s">
        <v>2585</v>
      </c>
      <c r="C5" s="855">
        <f>ROUND(IF(E2="商业",C6*C7+C16,(IF(E2="住宅",C6*C12+C16,C6+C16))),0)</f>
        <v>700</v>
      </c>
      <c r="D5" s="1491">
        <f>ROUND(C6+C16,0)</f>
        <v>700</v>
      </c>
      <c r="E5" s="1491"/>
      <c r="F5" s="2163"/>
      <c r="G5" s="2164"/>
      <c r="H5" s="2164"/>
      <c r="I5" s="2164"/>
      <c r="J5" s="2165"/>
      <c r="K5" s="2166"/>
      <c r="L5" s="2158"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1.0168999999999999</v>
      </c>
      <c r="T5" s="1344">
        <f t="shared" si="0"/>
        <v>881</v>
      </c>
      <c r="U5" s="1345"/>
      <c r="V5" s="1344">
        <f t="shared" si="1"/>
        <v>0</v>
      </c>
      <c r="W5" s="1348"/>
      <c r="X5" s="1348"/>
      <c r="Y5" s="1348"/>
      <c r="Z5" s="1348"/>
      <c r="AA5" s="1348"/>
      <c r="AB5" s="1348"/>
      <c r="AC5" s="2167"/>
      <c r="AD5" s="2168"/>
      <c r="AE5" s="2168"/>
      <c r="AF5" s="2168"/>
      <c r="AG5" s="2168"/>
      <c r="AH5" s="2168"/>
      <c r="AI5" s="2168"/>
      <c r="AJ5" s="2169"/>
    </row>
    <row r="6" spans="1:36" ht="15.6" thickBot="1">
      <c r="A6" s="2171" t="s">
        <v>2587</v>
      </c>
      <c r="B6" s="2172" t="s">
        <v>2588</v>
      </c>
      <c r="C6" s="856">
        <f>SUMIF(L1:L12,G2,M1:M12)</f>
        <v>630</v>
      </c>
      <c r="D6" s="2173" t="s">
        <v>2589</v>
      </c>
      <c r="E6" s="2174"/>
      <c r="F6" s="2174"/>
      <c r="G6" s="2175"/>
      <c r="H6" s="2175"/>
      <c r="I6" s="2175"/>
      <c r="J6" s="2176"/>
      <c r="K6" s="1536"/>
      <c r="L6" s="2158"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0.76470000000000005</v>
      </c>
      <c r="T6" s="1344">
        <f t="shared" si="0"/>
        <v>663</v>
      </c>
      <c r="U6" s="1345"/>
      <c r="V6" s="1344">
        <f t="shared" si="1"/>
        <v>0</v>
      </c>
      <c r="W6" s="1348"/>
      <c r="X6" s="1348"/>
      <c r="Y6" s="1348"/>
      <c r="Z6" s="1348"/>
      <c r="AA6" s="1348"/>
      <c r="AB6" s="1348"/>
      <c r="AC6" s="2167"/>
      <c r="AD6" s="2168"/>
      <c r="AE6" s="2168"/>
      <c r="AF6" s="2168"/>
      <c r="AG6" s="2168"/>
      <c r="AH6" s="2168"/>
      <c r="AI6" s="2168"/>
      <c r="AJ6" s="2169"/>
    </row>
    <row r="7" spans="1:36" ht="24">
      <c r="A7" s="3455" t="str">
        <f>IF(E2="商业",IF(C8="不临58条商业街","",2),"")</f>
        <v/>
      </c>
      <c r="B7" s="2177" t="s">
        <v>2591</v>
      </c>
      <c r="C7" s="857">
        <f>IF(C8="不临58条商业街",1,ROUND(1+(1.6*E8+1.2*E9+0.8*E10+0.4*E11)*C9,4))</f>
        <v>1</v>
      </c>
      <c r="D7" s="2178" t="s">
        <v>2592</v>
      </c>
      <c r="E7" s="881"/>
      <c r="F7" s="2179"/>
      <c r="G7" s="2180"/>
      <c r="H7" s="2180"/>
      <c r="I7" s="2180"/>
      <c r="J7" s="2181"/>
      <c r="K7" s="1536"/>
      <c r="L7" s="2158"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0.61150000000000004</v>
      </c>
      <c r="T7" s="1344">
        <f t="shared" si="0"/>
        <v>530</v>
      </c>
      <c r="U7" s="1345"/>
      <c r="V7" s="1344">
        <f t="shared" si="1"/>
        <v>0</v>
      </c>
      <c r="W7" s="1510" t="s">
        <v>2594</v>
      </c>
      <c r="X7" s="1346" t="str">
        <f>G2</f>
        <v>十级</v>
      </c>
      <c r="Y7" s="1346" t="s">
        <v>2595</v>
      </c>
      <c r="Z7" s="1347">
        <f>G3</f>
        <v>0.74</v>
      </c>
      <c r="AA7" s="1348"/>
      <c r="AB7" s="1348"/>
      <c r="AC7" s="1349"/>
      <c r="AD7" s="1350"/>
      <c r="AE7" s="1350"/>
      <c r="AF7" s="1350"/>
      <c r="AG7" s="1350"/>
      <c r="AH7" s="1350"/>
      <c r="AI7" s="1350"/>
      <c r="AJ7" s="1351"/>
    </row>
    <row r="8" spans="1:36" ht="26.4">
      <c r="A8" s="3478"/>
      <c r="B8" s="174" t="s">
        <v>2596</v>
      </c>
      <c r="C8" s="2182" t="s">
        <v>3440</v>
      </c>
      <c r="D8" s="858" t="s">
        <v>139</v>
      </c>
      <c r="E8" s="859" t="e">
        <f>ROUND(C11/E7,4)</f>
        <v>#DIV/0!</v>
      </c>
      <c r="F8" s="2183" t="s">
        <v>2597</v>
      </c>
      <c r="G8" s="2184"/>
      <c r="H8" s="2184"/>
      <c r="I8" s="2184"/>
      <c r="J8" s="2185"/>
      <c r="K8" s="1251"/>
      <c r="L8" s="2158"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f t="shared" si="0"/>
        <v>0</v>
      </c>
      <c r="U8" s="1345"/>
      <c r="V8" s="1344">
        <f t="shared" si="1"/>
        <v>0</v>
      </c>
      <c r="W8" s="3471" t="s">
        <v>2599</v>
      </c>
      <c r="X8" s="3472"/>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78"/>
      <c r="B9" s="174" t="s">
        <v>2612</v>
      </c>
      <c r="C9" s="860">
        <f>SUMIF(修正!C59:C119,C8,修正!E59:E119)</f>
        <v>0</v>
      </c>
      <c r="D9" s="175" t="s">
        <v>140</v>
      </c>
      <c r="E9" s="175" t="e">
        <f>ROUND(C11/E7,4)</f>
        <v>#DIV/0!</v>
      </c>
      <c r="F9" s="2183" t="s">
        <v>2613</v>
      </c>
      <c r="G9" s="2184"/>
      <c r="H9" s="2184"/>
      <c r="I9" s="2184"/>
      <c r="J9" s="2185"/>
      <c r="K9" s="1251"/>
      <c r="L9" s="2158"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f t="shared" si="0"/>
        <v>0</v>
      </c>
      <c r="U9" s="1345"/>
      <c r="V9" s="1344">
        <f t="shared" si="1"/>
        <v>0</v>
      </c>
      <c r="W9" s="3473"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78"/>
      <c r="B10" s="174" t="s">
        <v>2617</v>
      </c>
      <c r="C10" s="175">
        <f>SUMIF(修正!C59:C119,C8,修正!F59:F119)</f>
        <v>0</v>
      </c>
      <c r="D10" s="175" t="s">
        <v>141</v>
      </c>
      <c r="E10" s="175" t="e">
        <f>ROUND(C11/E7,4)</f>
        <v>#DIV/0!</v>
      </c>
      <c r="F10" s="2183" t="s">
        <v>2618</v>
      </c>
      <c r="G10" s="2184"/>
      <c r="H10" s="2184"/>
      <c r="I10" s="2184"/>
      <c r="J10" s="2185"/>
      <c r="K10" s="1251"/>
      <c r="L10" s="2158" t="s">
        <v>2619</v>
      </c>
      <c r="M10" s="994">
        <f>SUMPRODUCT((区片价!B290:B316=I2)*(区片价!C3:F3=E2)*(区片价!C290:F316))</f>
        <v>630</v>
      </c>
      <c r="N10" s="996">
        <f>SUMPRODUCT((因素修正幅度!B290:B316=I2)*(因素修正幅度!C3:F3=E2)*(因素修正幅度!C290:F316))</f>
        <v>0.15</v>
      </c>
      <c r="O10" s="1251"/>
      <c r="P10" s="1251"/>
      <c r="Q10" s="1251"/>
      <c r="R10" s="1344">
        <v>9</v>
      </c>
      <c r="S10" s="1345"/>
      <c r="T10" s="1344">
        <f t="shared" si="0"/>
        <v>0</v>
      </c>
      <c r="U10" s="1345"/>
      <c r="V10" s="1344">
        <f t="shared" si="1"/>
        <v>0</v>
      </c>
      <c r="W10" s="3473"/>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6" thickBot="1">
      <c r="A11" s="3478"/>
      <c r="B11" s="2186" t="s">
        <v>2620</v>
      </c>
      <c r="C11" s="861">
        <f>C10/4</f>
        <v>0</v>
      </c>
      <c r="D11" s="861" t="s">
        <v>142</v>
      </c>
      <c r="E11" s="861" t="e">
        <f>ROUND(C11/E7,4)</f>
        <v>#DIV/0!</v>
      </c>
      <c r="F11" s="2187" t="s">
        <v>2621</v>
      </c>
      <c r="G11" s="2188"/>
      <c r="H11" s="2188"/>
      <c r="I11" s="2188"/>
      <c r="J11" s="2189"/>
      <c r="K11" s="1251"/>
      <c r="L11" s="2158"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f t="shared" si="0"/>
        <v>0</v>
      </c>
      <c r="U11" s="1345"/>
      <c r="V11" s="1344">
        <f t="shared" si="1"/>
        <v>0</v>
      </c>
      <c r="W11" s="3473" t="s">
        <v>2623</v>
      </c>
      <c r="X11" s="1356" t="s">
        <v>2624</v>
      </c>
      <c r="Y11" s="1357">
        <f>$G$3</f>
        <v>0.74</v>
      </c>
      <c r="Z11" s="1357">
        <f t="shared" ref="Z11:AJ11" si="3">$G$3</f>
        <v>0.74</v>
      </c>
      <c r="AA11" s="1357">
        <f t="shared" si="3"/>
        <v>0.74</v>
      </c>
      <c r="AB11" s="1357">
        <f t="shared" si="3"/>
        <v>0.74</v>
      </c>
      <c r="AC11" s="1357">
        <f t="shared" si="3"/>
        <v>0.74</v>
      </c>
      <c r="AD11" s="1357">
        <f t="shared" si="3"/>
        <v>0.74</v>
      </c>
      <c r="AE11" s="1357">
        <f t="shared" si="3"/>
        <v>0.74</v>
      </c>
      <c r="AF11" s="1357">
        <f t="shared" si="3"/>
        <v>0.74</v>
      </c>
      <c r="AG11" s="1357">
        <f t="shared" si="3"/>
        <v>0.74</v>
      </c>
      <c r="AH11" s="1357">
        <f t="shared" si="3"/>
        <v>0.74</v>
      </c>
      <c r="AI11" s="1357">
        <f t="shared" si="3"/>
        <v>0.74</v>
      </c>
      <c r="AJ11" s="1357">
        <f t="shared" si="3"/>
        <v>0.74</v>
      </c>
    </row>
    <row r="12" spans="1:36" ht="25.8" thickBot="1">
      <c r="A12" s="3455" t="s">
        <v>2625</v>
      </c>
      <c r="B12" s="2190" t="s">
        <v>2626</v>
      </c>
      <c r="C12" s="857">
        <f>ROUND(C15*D15*E15*F15*G15*H15*I15*J15,4)</f>
        <v>1</v>
      </c>
      <c r="D12" s="2191" t="s">
        <v>2627</v>
      </c>
      <c r="E12" s="2192"/>
      <c r="F12" s="2192"/>
      <c r="G12" s="2193"/>
      <c r="H12" s="2193"/>
      <c r="I12" s="2193"/>
      <c r="J12" s="2194"/>
      <c r="K12" s="1251"/>
      <c r="L12" s="2195"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f t="shared" si="0"/>
        <v>0</v>
      </c>
      <c r="U12" s="1345"/>
      <c r="V12" s="1344">
        <f t="shared" si="1"/>
        <v>0</v>
      </c>
      <c r="W12" s="3473"/>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79"/>
      <c r="B13" s="2196" t="s">
        <v>2630</v>
      </c>
      <c r="C13" s="2197" t="s">
        <v>2631</v>
      </c>
      <c r="D13" s="1502" t="s">
        <v>2632</v>
      </c>
      <c r="E13" s="1502" t="s">
        <v>2633</v>
      </c>
      <c r="F13" s="29" t="s">
        <v>2634</v>
      </c>
      <c r="G13" s="2198" t="s">
        <v>2635</v>
      </c>
      <c r="H13" s="2198" t="s">
        <v>2635</v>
      </c>
      <c r="I13" s="2198" t="s">
        <v>2635</v>
      </c>
      <c r="J13" s="2199" t="s">
        <v>2635</v>
      </c>
      <c r="K13" s="1251"/>
      <c r="L13" s="1251"/>
      <c r="M13" s="1251"/>
      <c r="N13" s="1251"/>
      <c r="O13" s="1251"/>
      <c r="P13" s="1251"/>
      <c r="Q13" s="1251"/>
      <c r="R13" s="1344">
        <v>12</v>
      </c>
      <c r="S13" s="1345"/>
      <c r="T13" s="1344">
        <f t="shared" si="0"/>
        <v>0</v>
      </c>
      <c r="U13" s="1345"/>
      <c r="V13" s="1344">
        <f t="shared" si="1"/>
        <v>0</v>
      </c>
      <c r="W13" s="3473"/>
      <c r="X13" s="1358"/>
      <c r="Y13" s="1355">
        <f>(-0.163*(Y12^2)-0.59*Y12+7617)*(10^(-4))/Y11</f>
        <v>1.0293243243243244</v>
      </c>
      <c r="Z13" s="1355">
        <f t="shared" ref="Z13:AJ13" si="5">(-0.163*(Z12^2)-0.59*Z12+7617)*(10^(-4))/Z11</f>
        <v>1.0293243243243244</v>
      </c>
      <c r="AA13" s="1355">
        <f t="shared" si="5"/>
        <v>1.0293243243243244</v>
      </c>
      <c r="AB13" s="1355">
        <f t="shared" si="5"/>
        <v>1.0293243243243244</v>
      </c>
      <c r="AC13" s="1355">
        <f t="shared" si="5"/>
        <v>1.0293243243243244</v>
      </c>
      <c r="AD13" s="1355">
        <f t="shared" si="5"/>
        <v>1.0293243243243244</v>
      </c>
      <c r="AE13" s="1355">
        <f t="shared" si="5"/>
        <v>1.0293243243243244</v>
      </c>
      <c r="AF13" s="1355">
        <f t="shared" si="5"/>
        <v>1.0293243243243244</v>
      </c>
      <c r="AG13" s="1355">
        <f t="shared" si="5"/>
        <v>1.0293243243243244</v>
      </c>
      <c r="AH13" s="1355">
        <f t="shared" si="5"/>
        <v>1.0293243243243244</v>
      </c>
      <c r="AI13" s="1355">
        <f t="shared" si="5"/>
        <v>1.0293243243243244</v>
      </c>
      <c r="AJ13" s="1355">
        <f t="shared" si="5"/>
        <v>1.0293243243243244</v>
      </c>
    </row>
    <row r="14" spans="1:36" ht="15">
      <c r="A14" s="3479"/>
      <c r="B14" s="2200"/>
      <c r="C14" s="2201"/>
      <c r="D14" s="2202"/>
      <c r="E14" s="2202"/>
      <c r="F14" s="2203"/>
      <c r="G14" s="2204" t="s">
        <v>2636</v>
      </c>
      <c r="H14" s="2205"/>
      <c r="I14" s="2206"/>
      <c r="J14" s="2207"/>
      <c r="K14" s="1251"/>
      <c r="L14" s="1251"/>
      <c r="M14" s="1251"/>
      <c r="N14" s="1251"/>
      <c r="O14" s="1251"/>
      <c r="P14" s="1251"/>
      <c r="Q14" s="1251"/>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6" thickBot="1">
      <c r="A15" s="3480"/>
      <c r="B15" s="2208" t="s">
        <v>2637</v>
      </c>
      <c r="C15" s="192">
        <f>IF(C14="有",1.1,1)</f>
        <v>1</v>
      </c>
      <c r="D15" s="192">
        <f>IF(D14="有",1.1,1)</f>
        <v>1</v>
      </c>
      <c r="E15" s="192">
        <f>IF(E14="有",1.1,1)</f>
        <v>1</v>
      </c>
      <c r="F15" s="192">
        <f>IF(F14="500米范围内",1.2,IF(F14="500-1000米",1.1,1))</f>
        <v>1</v>
      </c>
      <c r="G15" s="882">
        <v>1</v>
      </c>
      <c r="H15" s="882">
        <v>1</v>
      </c>
      <c r="I15" s="882">
        <v>1</v>
      </c>
      <c r="J15" s="883">
        <v>1</v>
      </c>
      <c r="K15" s="1251"/>
      <c r="L15" s="2151"/>
      <c r="M15" s="2151"/>
      <c r="N15" s="2151"/>
      <c r="O15" s="2151"/>
      <c r="P15" s="2151"/>
      <c r="Q15" s="1251"/>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55" t="s">
        <v>2642</v>
      </c>
      <c r="B16" s="2177" t="s">
        <v>2643</v>
      </c>
      <c r="C16" s="2339">
        <f>ROUND(IF(F17="与级别开发程度一致",0,(G17-E17)/C17),0)</f>
        <v>70</v>
      </c>
      <c r="D16" s="3468" t="s">
        <v>2647</v>
      </c>
      <c r="E16" s="3469"/>
      <c r="F16" s="3468" t="s">
        <v>2644</v>
      </c>
      <c r="G16" s="3469"/>
      <c r="H16" s="2209" t="s">
        <v>3442</v>
      </c>
      <c r="I16" s="2209" t="s">
        <v>3443</v>
      </c>
      <c r="J16" s="2343" t="s">
        <v>3444</v>
      </c>
      <c r="K16" s="2209" t="s">
        <v>3445</v>
      </c>
      <c r="L16" s="2209" t="s">
        <v>3446</v>
      </c>
      <c r="M16" s="2209" t="s">
        <v>3447</v>
      </c>
      <c r="N16" s="2209" t="s">
        <v>3448</v>
      </c>
      <c r="O16" s="2210" t="s">
        <v>3449</v>
      </c>
      <c r="P16" s="2151"/>
      <c r="Q16" s="1251"/>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7" thickBot="1">
      <c r="A17" s="3456"/>
      <c r="B17" s="2350" t="s">
        <v>2646</v>
      </c>
      <c r="C17" s="2351">
        <f>SUMPRODUCT((修正!A2:A5=E2)*(修正!B1:M1=G2)*(修正!B2:M5))</f>
        <v>1</v>
      </c>
      <c r="D17" s="192" t="str">
        <f>IF(OR(G2="八级",G2="九级",G2="十级",G2="十一级",G2="十二级"),"五通一平","七通一平")</f>
        <v>五通一平</v>
      </c>
      <c r="E17" s="2340">
        <f>SUMPRODUCT((修正!B1:M1=G2)*(修正!B15:M15))</f>
        <v>155</v>
      </c>
      <c r="F17" s="2341" t="s">
        <v>3441</v>
      </c>
      <c r="G17" s="2342">
        <f>SUM(H17:O17)</f>
        <v>225</v>
      </c>
      <c r="H17" s="2351">
        <f>SUMPRODUCT((七通一平=H16)*(修正!B1:M1=G2)*(修正!B6:M14))</f>
        <v>50</v>
      </c>
      <c r="I17" s="2351">
        <f>SUMPRODUCT((七通一平=I16)*(修正!B1:M1=G2)*(修正!B6:M14))</f>
        <v>40</v>
      </c>
      <c r="J17" s="2352">
        <f>SUMPRODUCT((七通一平=J16)*(修正!B1:M1=G2)*(修正!B6:M14))</f>
        <v>10</v>
      </c>
      <c r="K17" s="2351">
        <f>SUMPRODUCT((七通一平=K16)*(修正!B1:M1=G2)*(修正!B6:M14))</f>
        <v>20</v>
      </c>
      <c r="L17" s="2351">
        <f>SUMPRODUCT((七通一平=L16)*(修正!B1:M1=G2)*(修正!B6:M14))</f>
        <v>25</v>
      </c>
      <c r="M17" s="2351">
        <f>SUMPRODUCT((七通一平=M16)*(修正!B1:M1=G2)*(修正!B6:M14))</f>
        <v>40</v>
      </c>
      <c r="N17" s="2351">
        <f>SUMPRODUCT((七通一平=N16)*(修正!B1:M1=G2)*(修正!B6:M14))</f>
        <v>30</v>
      </c>
      <c r="O17" s="2353">
        <f>SUMPRODUCT((七通一平=O16)*(修正!B1:M1=G2)*(修正!B6:M14))</f>
        <v>10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 thickBot="1">
      <c r="A18" s="2344" t="s">
        <v>808</v>
      </c>
      <c r="B18" s="2345" t="s">
        <v>2649</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4" thickBot="1">
      <c r="A19" s="2214" t="s">
        <v>809</v>
      </c>
      <c r="B19" s="2215" t="s">
        <v>2650</v>
      </c>
      <c r="C19" s="862">
        <f>ROUND(IF(H19="按公示增长率计算",SUMPRODUCT((地价!A3:A37=YEAR(G19)&amp;"-"&amp;ROUNDUP(MONTH(G19)/3,0))*(地价!X2:AB2=E2)*(地价!X3:AB37)),IF(H19="地价指数",M20/M19,(1+I19)^O19)),4)</f>
        <v>1.4529000000000001</v>
      </c>
      <c r="D19" s="2219" t="s">
        <v>2651</v>
      </c>
      <c r="E19" s="863">
        <v>41640</v>
      </c>
      <c r="F19" s="2219" t="s">
        <v>2652</v>
      </c>
      <c r="G19" s="864">
        <f>'数据-取费表'!B2</f>
        <v>44567</v>
      </c>
      <c r="H19" s="2220" t="s">
        <v>3450</v>
      </c>
      <c r="I19" s="865" t="str">
        <f>IF(H19="季度增幅（自定义）",SUMIF(N21:N24,E2,O21:O24),"")</f>
        <v/>
      </c>
      <c r="J19" s="2217"/>
      <c r="K19" s="1258"/>
      <c r="L19" s="2221" t="s">
        <v>2653</v>
      </c>
      <c r="M19" s="1466">
        <f>ROUND(SUMIF(地价!B2:F2,E2,地价!B37:F37),0)</f>
        <v>230</v>
      </c>
      <c r="N19" s="2222"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9.4" thickBot="1">
      <c r="A20" s="2224" t="s">
        <v>810</v>
      </c>
      <c r="B20" s="2225" t="s">
        <v>2655</v>
      </c>
      <c r="C20" s="867">
        <f>ROUND(POWER(1+G20,J20-I20)*(POWER(1+G20,I20)-1)/(POWER(1+G20,J20)-1),4)</f>
        <v>0.81220000000000003</v>
      </c>
      <c r="D20" s="2226" t="s">
        <v>2656</v>
      </c>
      <c r="E20" s="1473">
        <f>存贷款利率!E18/100</f>
        <v>4.3499999999999997E-2</v>
      </c>
      <c r="F20" s="2226" t="s">
        <v>2648</v>
      </c>
      <c r="G20" s="872">
        <f>SUMIF(M26:P26,E2,M28:P28)</f>
        <v>4.8000000000000001E-2</v>
      </c>
      <c r="H20" s="2226" t="s">
        <v>2657</v>
      </c>
      <c r="I20" s="873">
        <f>SUMIF('数据-取费表'!C6:C15,E2,'数据-取费表'!F6:F15)/COUNTIF('数据-取费表'!C6:C15,E2)</f>
        <v>28.27</v>
      </c>
      <c r="J20" s="874">
        <f>IF(E2="住宅",70,IF(E2="商业",40,50))</f>
        <v>50</v>
      </c>
      <c r="K20" s="1258"/>
      <c r="L20" s="2227" t="s">
        <v>2658</v>
      </c>
      <c r="M20" s="1467">
        <f>ROUND(SUMPRODUCT((地价!A4:A37=YEAR(G19)&amp;"-"&amp;ROUNDUP(MONTH(G19)/3,0))*(地价!B2:F2=E2)*(地价!B4:F37)),0)</f>
        <v>334</v>
      </c>
      <c r="N20" s="2228" t="s">
        <v>2659</v>
      </c>
      <c r="O20" s="2229" t="s">
        <v>2660</v>
      </c>
      <c r="P20" s="2230"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4.4">
      <c r="A21" s="2231" t="s">
        <v>811</v>
      </c>
      <c r="B21" s="2232" t="s">
        <v>3451</v>
      </c>
      <c r="C21" s="875">
        <f>IF(B21="容积率修正",IF(G3&lt;=10,D22,J22),C23)</f>
        <v>1.3572</v>
      </c>
      <c r="D21" s="2233"/>
      <c r="E21" s="2233"/>
      <c r="F21" s="2233"/>
      <c r="G21" s="2233"/>
      <c r="H21" s="2233"/>
      <c r="I21" s="2233"/>
      <c r="J21" s="2234"/>
      <c r="K21" s="1258"/>
      <c r="L21" s="2987"/>
      <c r="M21" s="2987"/>
      <c r="N21" s="2235" t="s">
        <v>2662</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4">
      <c r="A22" s="2109" t="s">
        <v>2663</v>
      </c>
      <c r="B22" s="2236" t="s">
        <v>2664</v>
      </c>
      <c r="C22" s="1504" t="s">
        <v>2665</v>
      </c>
      <c r="D22" s="1504">
        <f>IF(E22=G22,F22,IF(G3&lt;=10,ROUND(F22+(H22-F22)*(G3-E22)/(G22-E22),4),"——"))</f>
        <v>1.3572</v>
      </c>
      <c r="E22" s="854">
        <f>ROUNDDOWN(G3,1)</f>
        <v>0.7</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854">
        <f>ROUNDUP(G3,1)</f>
        <v>0.79999999999999993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04" t="s">
        <v>155</v>
      </c>
      <c r="J22" s="876" t="str">
        <f>IF(G3&gt;10,D113,"——")</f>
        <v>——</v>
      </c>
      <c r="K22" s="1258"/>
      <c r="L22" s="2987"/>
      <c r="M22" s="2987"/>
      <c r="N22" s="2235" t="s">
        <v>2666</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9.4" thickBot="1">
      <c r="A23" s="2109" t="s">
        <v>2667</v>
      </c>
      <c r="B23" s="2237" t="s">
        <v>2668</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2669</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 thickBot="1">
      <c r="A24" s="2224" t="s">
        <v>812</v>
      </c>
      <c r="B24" s="2215" t="s">
        <v>2670</v>
      </c>
      <c r="C24" s="862">
        <f>SUMIF(A45:A88,E2,B45:B88)</f>
        <v>1.0492999999999999</v>
      </c>
      <c r="D24" s="2216"/>
      <c r="E24" s="2243"/>
      <c r="F24" s="2243"/>
      <c r="G24" s="2243"/>
      <c r="H24" s="2243"/>
      <c r="I24" s="2243"/>
      <c r="J24" s="2244"/>
      <c r="K24" s="1258"/>
      <c r="L24" s="2987"/>
      <c r="M24" s="2987"/>
      <c r="N24" s="2245" t="s">
        <v>2671</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 thickBot="1">
      <c r="A25" s="2224" t="s">
        <v>813</v>
      </c>
      <c r="B25" s="2246" t="s">
        <v>2672</v>
      </c>
      <c r="C25" s="868"/>
      <c r="D25" s="2180"/>
      <c r="E25" s="2180"/>
      <c r="F25" s="2247"/>
      <c r="G25" s="2180"/>
      <c r="H25" s="2180"/>
      <c r="I25" s="2180"/>
      <c r="J25" s="2181"/>
      <c r="K25" s="1251"/>
      <c r="L25" s="2151"/>
      <c r="M25" s="2151"/>
      <c r="N25" s="2982" t="s">
        <v>2673</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4.4">
      <c r="A26" s="2248"/>
      <c r="B26" s="2236" t="s">
        <v>2674</v>
      </c>
      <c r="C26" s="2510">
        <f>IF(B21="容积率修正",E29+SUM(E33:E39),SUM(V2:V16)+SUM(E33:E39))</f>
        <v>2745</v>
      </c>
      <c r="D26" s="2249"/>
      <c r="E26" s="2205"/>
      <c r="F26" s="2250"/>
      <c r="G26" s="2205"/>
      <c r="H26" s="2205"/>
      <c r="I26" s="2205"/>
      <c r="J26" s="2251"/>
      <c r="K26" s="1251"/>
      <c r="L26" s="2985" t="s">
        <v>2574</v>
      </c>
      <c r="M26" s="2178" t="s">
        <v>2638</v>
      </c>
      <c r="N26" s="2178" t="s">
        <v>2639</v>
      </c>
      <c r="O26" s="2178" t="s">
        <v>2640</v>
      </c>
      <c r="P26" s="2986" t="s">
        <v>2641</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 thickBot="1">
      <c r="A27" s="2248"/>
      <c r="B27" s="2252" t="s">
        <v>2675</v>
      </c>
      <c r="C27" s="869">
        <f>E30+SUM(I33:I39)</f>
        <v>5</v>
      </c>
      <c r="D27" s="2253"/>
      <c r="E27" s="2254"/>
      <c r="F27" s="2255"/>
      <c r="G27" s="2254"/>
      <c r="H27" s="2254"/>
      <c r="I27" s="2254"/>
      <c r="J27" s="2256"/>
      <c r="K27" s="1251"/>
      <c r="L27" s="2211"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 thickBot="1">
      <c r="A28" s="2257"/>
      <c r="B28" s="2258" t="s">
        <v>2676</v>
      </c>
      <c r="C28" s="2259" t="s">
        <v>2677</v>
      </c>
      <c r="D28" s="2259" t="s">
        <v>2678</v>
      </c>
      <c r="E28" s="2260" t="s">
        <v>2679</v>
      </c>
      <c r="F28" s="2261"/>
      <c r="G28" s="2193"/>
      <c r="H28" s="2193"/>
      <c r="I28" s="2193"/>
      <c r="J28" s="2194"/>
      <c r="K28" s="1251"/>
      <c r="L28" s="2212"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2680</v>
      </c>
      <c r="C29" s="179">
        <f>ROUND(C5*C18*C19*C20*C21*C24,0)</f>
        <v>1176</v>
      </c>
      <c r="D29" s="2264">
        <f>'数据-汇总表'!F27</f>
        <v>23078</v>
      </c>
      <c r="E29" s="878">
        <f>ROUND(C29*D29/10000,0)</f>
        <v>2714</v>
      </c>
      <c r="F29" s="2265" t="s">
        <v>2681</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8" thickBot="1">
      <c r="A30" s="2268"/>
      <c r="B30" s="2269" t="s">
        <v>2682</v>
      </c>
      <c r="C30" s="192">
        <f>ROUND(IF(E2="工业",C29*M39,C29*M38),0)</f>
        <v>176</v>
      </c>
      <c r="D30" s="2270"/>
      <c r="E30" s="878">
        <f>ROUND(C30*D30/10000,0)</f>
        <v>0</v>
      </c>
      <c r="F30" s="2271" t="s">
        <v>2683</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3.8">
      <c r="A31" s="2274"/>
      <c r="B31" s="2275" t="s">
        <v>2684</v>
      </c>
      <c r="C31" s="2276" t="s">
        <v>2685</v>
      </c>
      <c r="D31" s="2193"/>
      <c r="E31" s="2276"/>
      <c r="F31" s="2276"/>
      <c r="G31" s="2191" t="s">
        <v>2686</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36">
      <c r="A32" s="2262"/>
      <c r="B32" s="2278"/>
      <c r="C32" s="457" t="s">
        <v>2677</v>
      </c>
      <c r="D32" s="454" t="s">
        <v>2678</v>
      </c>
      <c r="E32" s="454" t="s">
        <v>2679</v>
      </c>
      <c r="F32" s="347" t="s">
        <v>2687</v>
      </c>
      <c r="G32" s="2279" t="s">
        <v>2677</v>
      </c>
      <c r="H32" s="2279" t="s">
        <v>2678</v>
      </c>
      <c r="I32" s="2279"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65"/>
      <c r="B33" s="2280" t="s">
        <v>2688</v>
      </c>
      <c r="C33" s="179">
        <f>ROUND(D5*C19*C20*C24*F33,0)</f>
        <v>520</v>
      </c>
      <c r="D33" s="2264"/>
      <c r="E33" s="175">
        <f>ROUND(C33*D33/10000,0)</f>
        <v>0</v>
      </c>
      <c r="F33" s="175">
        <f>SUMIF(修正!A45:A56,G2,修正!B45:B56)</f>
        <v>0.6</v>
      </c>
      <c r="G33" s="175">
        <f t="shared" ref="G33" si="6">ROUND(IF(E2="工业",C33*$M$39,C33*$M$38),0)</f>
        <v>78</v>
      </c>
      <c r="H33" s="175">
        <f>D33</f>
        <v>0</v>
      </c>
      <c r="I33" s="175">
        <f>ROUND(G33*H33/10000,0)</f>
        <v>0</v>
      </c>
      <c r="J33" s="347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3.8">
      <c r="A34" s="3466"/>
      <c r="B34" s="2197" t="s">
        <v>2689</v>
      </c>
      <c r="C34" s="179">
        <f>ROUND(D5*C19*C20*C24*F34,0)</f>
        <v>260</v>
      </c>
      <c r="D34" s="2264"/>
      <c r="E34" s="175">
        <f t="shared" ref="E34:E39" si="7">ROUND(C34*D34/10000,0)</f>
        <v>0</v>
      </c>
      <c r="F34" s="175">
        <f>SUMIF(修正!A45:A56,G2,修正!C45:C56)</f>
        <v>0.3</v>
      </c>
      <c r="G34" s="175">
        <f>ROUND(IF(E2="工业",C34*$M$39,C34*$M$38),0)</f>
        <v>39</v>
      </c>
      <c r="H34" s="175">
        <f t="shared" ref="H34:H39" si="8">D34</f>
        <v>0</v>
      </c>
      <c r="I34" s="175">
        <f t="shared" ref="I34:I39" si="9">ROUND(G34*H34/10000,0)</f>
        <v>0</v>
      </c>
      <c r="J34" s="346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66"/>
      <c r="B35" s="2197" t="s">
        <v>2690</v>
      </c>
      <c r="C35" s="179">
        <f>ROUND(D5*C19*C20*C24*F35,0)</f>
        <v>173</v>
      </c>
      <c r="D35" s="2264"/>
      <c r="E35" s="175">
        <f t="shared" si="7"/>
        <v>0</v>
      </c>
      <c r="F35" s="175">
        <f>SUMIF(修正!A45:A56,G2,修正!D45:D56)</f>
        <v>0.2</v>
      </c>
      <c r="G35" s="175">
        <f>ROUND(IF(E2="工业",C35*$M$39,C35*$M$38),0)</f>
        <v>26</v>
      </c>
      <c r="H35" s="175">
        <f t="shared" si="8"/>
        <v>0</v>
      </c>
      <c r="I35" s="175">
        <f t="shared" si="9"/>
        <v>0</v>
      </c>
      <c r="J35" s="346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8" thickBot="1">
      <c r="A36" s="3467"/>
      <c r="B36" s="2197" t="s">
        <v>2691</v>
      </c>
      <c r="C36" s="179">
        <f>ROUND(D5*C19*C20*C24*F36,0)</f>
        <v>173</v>
      </c>
      <c r="D36" s="2264"/>
      <c r="E36" s="175">
        <f t="shared" si="7"/>
        <v>0</v>
      </c>
      <c r="F36" s="175">
        <f>SUMIF(修正!A45:A56,G2,修正!E45:E56)</f>
        <v>0.2</v>
      </c>
      <c r="G36" s="175">
        <f>ROUND(IF(E2="工业",C36*$M$39,C36*$M$38),0)</f>
        <v>26</v>
      </c>
      <c r="H36" s="175">
        <f t="shared" si="8"/>
        <v>0</v>
      </c>
      <c r="I36" s="175">
        <f t="shared" si="9"/>
        <v>0</v>
      </c>
      <c r="J36" s="3467"/>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2692</v>
      </c>
      <c r="C37" s="175">
        <f>ROUND(D5*C19*C20*C24*F37,0)</f>
        <v>173</v>
      </c>
      <c r="D37" s="2264"/>
      <c r="E37" s="175">
        <f t="shared" si="7"/>
        <v>0</v>
      </c>
      <c r="F37" s="179">
        <f>SUMIF(修正!A45:A56,G2,修正!F45:F56)</f>
        <v>0.2</v>
      </c>
      <c r="G37" s="175">
        <f>ROUND(IF(E2="工业",C37*$M$39,C37*$M$38),0)</f>
        <v>26</v>
      </c>
      <c r="H37" s="175">
        <f t="shared" si="8"/>
        <v>0</v>
      </c>
      <c r="I37" s="175">
        <f t="shared" si="9"/>
        <v>0</v>
      </c>
      <c r="J37" s="2281"/>
      <c r="K37" s="1251"/>
      <c r="L37" s="2283" t="s">
        <v>2693</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2694</v>
      </c>
      <c r="C38" s="175">
        <f>ROUND(D5*C19*C41*C24*F38,0)</f>
        <v>173</v>
      </c>
      <c r="D38" s="2264">
        <f>'数据-汇总表'!G27</f>
        <v>1802.78</v>
      </c>
      <c r="E38" s="175">
        <f t="shared" si="7"/>
        <v>31</v>
      </c>
      <c r="F38" s="179">
        <f>SUMIF(修正!A45:A56,G2,修正!G45:G56)</f>
        <v>0.2</v>
      </c>
      <c r="G38" s="175">
        <f>ROUND(IF(E2="工业",C38*$M$39,C38*$M$38),0)</f>
        <v>26</v>
      </c>
      <c r="H38" s="175">
        <f t="shared" si="8"/>
        <v>1802.78</v>
      </c>
      <c r="I38" s="175">
        <f t="shared" si="9"/>
        <v>5</v>
      </c>
      <c r="J38" s="2281"/>
      <c r="K38" s="1251"/>
      <c r="L38" s="1573" t="s">
        <v>2695</v>
      </c>
      <c r="M38" s="2285">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8"/>
      <c r="B39" s="2286" t="s">
        <v>2696</v>
      </c>
      <c r="C39" s="192">
        <f>ROUND(D5*C19*C41*C24*F39,0)</f>
        <v>130</v>
      </c>
      <c r="D39" s="2270"/>
      <c r="E39" s="192">
        <f t="shared" si="7"/>
        <v>0</v>
      </c>
      <c r="F39" s="870">
        <f>SUMIF(修正!A45:A56,G2,修正!H45:H56)</f>
        <v>0.15</v>
      </c>
      <c r="G39" s="192">
        <f>ROUND(IF(E2="工业",C39*$M$39,C39*$M$38),0)</f>
        <v>20</v>
      </c>
      <c r="H39" s="192">
        <f t="shared" si="8"/>
        <v>0</v>
      </c>
      <c r="I39" s="192">
        <f t="shared" si="9"/>
        <v>0</v>
      </c>
      <c r="J39" s="2287"/>
      <c r="K39" s="1251"/>
      <c r="L39" s="2288" t="s">
        <v>2641</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8" t="s">
        <v>2801</v>
      </c>
      <c r="C41" s="347">
        <f>ROUND(POWER(1+E41,H41-G41)*(POWER(1+E41,G41)-1)/(POWER(1+E41,H41)-1),4)</f>
        <v>0.81220000000000003</v>
      </c>
      <c r="D41" s="175" t="s">
        <v>2648</v>
      </c>
      <c r="E41" s="2337">
        <f>G20</f>
        <v>4.8000000000000001E-2</v>
      </c>
      <c r="F41" s="175" t="s">
        <v>2657</v>
      </c>
      <c r="G41" s="188">
        <f>项目基本情况!I15</f>
        <v>28.27</v>
      </c>
      <c r="H41" s="175">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 thickBot="1">
      <c r="A45" s="2291" t="s">
        <v>2697</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4.4">
      <c r="A46" s="2293" t="s">
        <v>2698</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5.2">
      <c r="A47" s="2297" t="s">
        <v>2699</v>
      </c>
      <c r="B47" s="1503" t="s">
        <v>2700</v>
      </c>
      <c r="C47" s="1503" t="s">
        <v>2701</v>
      </c>
      <c r="D47" s="1503" t="s">
        <v>2702</v>
      </c>
      <c r="E47" s="757" t="s">
        <v>2703</v>
      </c>
      <c r="F47" s="2298" t="s">
        <v>2704</v>
      </c>
      <c r="G47" s="1503" t="s">
        <v>754</v>
      </c>
      <c r="H47" s="2299" t="s">
        <v>2705</v>
      </c>
      <c r="I47" s="1503"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52.8">
      <c r="A48" s="2297" t="s">
        <v>2707</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66">
      <c r="A49" s="2297" t="s">
        <v>2708</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2709</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50.4">
      <c r="A51" s="2297" t="s">
        <v>2710</v>
      </c>
      <c r="B51" s="2302" t="s">
        <v>2711</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2712</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36">
      <c r="A53" s="2297" t="s">
        <v>2713</v>
      </c>
      <c r="B53" s="2303" t="s">
        <v>2714</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6.4">
      <c r="A54" s="2304" t="s">
        <v>2715</v>
      </c>
      <c r="B54" s="1464"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6.4">
      <c r="A55" s="2304" t="s">
        <v>2716</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40.200000000000003" thickBot="1">
      <c r="A56" s="2305" t="s">
        <v>2717</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4.4">
      <c r="A57" s="2293" t="s">
        <v>2718</v>
      </c>
      <c r="B57" s="2294">
        <f>1+E59</f>
        <v>1</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c r="A58" s="2297" t="s">
        <v>2699</v>
      </c>
      <c r="B58" s="1503"/>
      <c r="C58" s="1503" t="s">
        <v>2701</v>
      </c>
      <c r="D58" s="1503" t="s">
        <v>2702</v>
      </c>
      <c r="E58" s="757" t="s">
        <v>2703</v>
      </c>
      <c r="F58" s="2298" t="s">
        <v>2719</v>
      </c>
      <c r="G58" s="1503" t="s">
        <v>754</v>
      </c>
      <c r="H58" s="2299" t="s">
        <v>2705</v>
      </c>
      <c r="I58" s="1503"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52.8">
      <c r="A59" s="2297" t="s">
        <v>2720</v>
      </c>
      <c r="B59" s="2300" t="str">
        <f>估价对象房地状况!C17</f>
        <v>估价对象位于XX商圈，周边办公楼项目较多，入驻率高，办公集聚程度较好</v>
      </c>
      <c r="C59" s="2202"/>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66">
      <c r="A60" s="2297" t="s">
        <v>2708</v>
      </c>
      <c r="B60" s="2301" t="str">
        <f>估价对象房地状况!C18</f>
        <v>估价对象周边道路状况、公共交通通达情况、停车便捷程度，综合评价交通便捷度较好</v>
      </c>
      <c r="C60" s="2202"/>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2709</v>
      </c>
      <c r="B61" s="2301">
        <f>估价对象房地状况!C19</f>
        <v>0</v>
      </c>
      <c r="C61" s="2202"/>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50.4">
      <c r="A62" s="2297" t="s">
        <v>2710</v>
      </c>
      <c r="B62" s="2302" t="s">
        <v>2711</v>
      </c>
      <c r="C62" s="2202"/>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2712</v>
      </c>
      <c r="B63" s="2301">
        <f>估价对象房地状况!C24</f>
        <v>0</v>
      </c>
      <c r="C63" s="2202"/>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36">
      <c r="A64" s="2297" t="s">
        <v>2713</v>
      </c>
      <c r="B64" s="2303" t="s">
        <v>2714</v>
      </c>
      <c r="C64" s="2202"/>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6.4">
      <c r="A65" s="2297" t="s">
        <v>2715</v>
      </c>
      <c r="B65" s="1464" t="str">
        <f>估价对象房地状况!C21</f>
        <v>估价对象所在区域公共配套设施齐备情况</v>
      </c>
      <c r="C65" s="2202"/>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6.4">
      <c r="A66" s="2297" t="s">
        <v>2716</v>
      </c>
      <c r="B66" s="1464" t="str">
        <f>估价对象房地状况!C22</f>
        <v>估价对象所在区域基础设施水平</v>
      </c>
      <c r="C66" s="2202"/>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40.200000000000003" thickBot="1">
      <c r="A67" s="2305" t="s">
        <v>2717</v>
      </c>
      <c r="B67" s="2307" t="str">
        <f>估价对象房地状况!C20</f>
        <v>区域自然环境：；人文环境；综合评价环境状况一般</v>
      </c>
      <c r="C67" s="2202"/>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4.4">
      <c r="A68" s="2293" t="s">
        <v>2721</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c r="A69" s="2297" t="s">
        <v>2699</v>
      </c>
      <c r="B69" s="1503"/>
      <c r="C69" s="1503" t="s">
        <v>2701</v>
      </c>
      <c r="D69" s="1503" t="s">
        <v>2702</v>
      </c>
      <c r="E69" s="757" t="s">
        <v>2703</v>
      </c>
      <c r="F69" s="2298" t="s">
        <v>2719</v>
      </c>
      <c r="G69" s="1503" t="s">
        <v>754</v>
      </c>
      <c r="H69" s="2299" t="s">
        <v>2705</v>
      </c>
      <c r="I69" s="1503"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66">
      <c r="A70" s="2297" t="s">
        <v>2722</v>
      </c>
      <c r="B70" s="2300" t="str">
        <f>估价对象房地状况!C15</f>
        <v>估价对象周边居住用地比例、居住小区规模和社区发展完善程度，综合评价居住社区成熟度一般</v>
      </c>
      <c r="C70" s="2202"/>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66">
      <c r="A71" s="2297" t="s">
        <v>2708</v>
      </c>
      <c r="B71" s="2301" t="str">
        <f>估价对象房地状况!C18</f>
        <v>估价对象周边道路状况、公共交通通达情况、停车便捷程度，综合评价交通便捷度较好</v>
      </c>
      <c r="C71" s="2202"/>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2709</v>
      </c>
      <c r="B72" s="2301">
        <f>估价对象房地状况!C19</f>
        <v>0</v>
      </c>
      <c r="C72" s="2202"/>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3.8">
      <c r="A73" s="2297" t="s">
        <v>2723</v>
      </c>
      <c r="B73" s="2301">
        <f>估价对象房地状况!C24</f>
        <v>0</v>
      </c>
      <c r="C73" s="2202"/>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6.4">
      <c r="A74" s="2297" t="s">
        <v>2715</v>
      </c>
      <c r="B74" s="1464" t="str">
        <f>估价对象房地状况!C21</f>
        <v>估价对象所在区域公共配套设施齐备情况</v>
      </c>
      <c r="C74" s="2202"/>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6.4">
      <c r="A75" s="2297" t="s">
        <v>2716</v>
      </c>
      <c r="B75" s="1464" t="str">
        <f>估价对象房地状况!C22</f>
        <v>估价对象所在区域基础设施水平</v>
      </c>
      <c r="C75" s="2202"/>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36">
      <c r="A76" s="2297" t="s">
        <v>2713</v>
      </c>
      <c r="B76" s="2303" t="s">
        <v>2714</v>
      </c>
      <c r="C76" s="2202"/>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9.6">
      <c r="A77" s="2297" t="s">
        <v>2717</v>
      </c>
      <c r="B77" s="2300" t="str">
        <f>估价对象房地状况!C20</f>
        <v>区域自然环境：；人文环境；综合评价环境状况一般</v>
      </c>
      <c r="C77" s="2202"/>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2"/>
      <c r="AA77" s="2218"/>
      <c r="AG77" s="1253"/>
      <c r="AK77" s="2218"/>
    </row>
    <row r="78" spans="1:37" ht="36.6" thickBot="1">
      <c r="A78" s="2305" t="s">
        <v>2724</v>
      </c>
      <c r="B78" s="2309"/>
      <c r="C78" s="2202"/>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2"/>
      <c r="AA78" s="2218"/>
      <c r="AG78" s="1253"/>
      <c r="AK78" s="2218"/>
    </row>
    <row r="79" spans="1:37" ht="14.4">
      <c r="A79" s="2293" t="s">
        <v>2725</v>
      </c>
      <c r="B79" s="2294">
        <f>1+E81</f>
        <v>1.0492999999999999</v>
      </c>
      <c r="C79" s="752"/>
      <c r="D79" s="752"/>
      <c r="E79" s="753"/>
      <c r="F79" s="2296"/>
      <c r="G79" s="6"/>
      <c r="H79" s="6"/>
      <c r="I79" s="6"/>
      <c r="J79" s="7"/>
      <c r="K79" s="7"/>
      <c r="L79" s="7"/>
      <c r="M79" s="7"/>
      <c r="N79" s="7"/>
      <c r="Z79" s="2152"/>
      <c r="AA79" s="2218"/>
      <c r="AG79" s="1253"/>
      <c r="AK79" s="2218"/>
    </row>
    <row r="80" spans="1:37" ht="25.2">
      <c r="A80" s="2297" t="s">
        <v>2699</v>
      </c>
      <c r="B80" s="1503"/>
      <c r="C80" s="1503" t="s">
        <v>2701</v>
      </c>
      <c r="D80" s="1503" t="s">
        <v>2702</v>
      </c>
      <c r="E80" s="757" t="s">
        <v>2703</v>
      </c>
      <c r="F80" s="2298" t="s">
        <v>2719</v>
      </c>
      <c r="G80" s="1503" t="s">
        <v>754</v>
      </c>
      <c r="H80" s="2299" t="s">
        <v>2705</v>
      </c>
      <c r="I80" s="1503" t="s">
        <v>2706</v>
      </c>
      <c r="J80" s="559" t="s">
        <v>2358</v>
      </c>
      <c r="K80" s="559" t="s">
        <v>2359</v>
      </c>
      <c r="L80" s="559" t="s">
        <v>2360</v>
      </c>
      <c r="M80" s="559" t="s">
        <v>2361</v>
      </c>
      <c r="N80" s="559" t="s">
        <v>2362</v>
      </c>
      <c r="Z80" s="2152"/>
      <c r="AA80" s="2218"/>
      <c r="AG80" s="1253"/>
      <c r="AK80" s="2218"/>
    </row>
    <row r="81" spans="1:37" ht="39.6">
      <c r="A81" s="2297" t="s">
        <v>2726</v>
      </c>
      <c r="B81" s="2301" t="str">
        <f>估价对象房地状况!G15</f>
        <v>估价对象位于XX开发区，园区建设成熟度XX，产业集聚程度XX</v>
      </c>
      <c r="C81" s="2202" t="s">
        <v>3427</v>
      </c>
      <c r="D81" s="1195">
        <f t="shared" ref="D81:D88" si="25">SUMIF($J$80:$N$80,C81,J81:N81)</f>
        <v>1.95E-2</v>
      </c>
      <c r="E81" s="759">
        <f>ROUND(SUM(D81:D88),4)</f>
        <v>4.9299999999999997E-2</v>
      </c>
      <c r="F81" s="1968">
        <f>IF(E2="工业",SUMIF(L1:L12,G2,N1:N12),"——")</f>
        <v>0.15</v>
      </c>
      <c r="G81" s="1193">
        <f>H81</f>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52"/>
      <c r="AA81" s="2218"/>
      <c r="AG81" s="1253"/>
      <c r="AK81" s="2218"/>
    </row>
    <row r="82" spans="1:37" ht="66">
      <c r="A82" s="2297" t="s">
        <v>2708</v>
      </c>
      <c r="B82" s="2301" t="str">
        <f>估价对象房地状况!G16</f>
        <v>估价对象周边道路状况、公共交通通达情况、停车便捷程度，综合评价交通便捷度较好</v>
      </c>
      <c r="C82" s="2202" t="s">
        <v>3426</v>
      </c>
      <c r="D82" s="1195">
        <f t="shared" si="25"/>
        <v>0</v>
      </c>
      <c r="E82" s="764"/>
      <c r="F82" s="1968"/>
      <c r="G82" s="1193">
        <f t="shared" ref="G82:G88" si="30">H82</f>
        <v>2.47E-2</v>
      </c>
      <c r="H82" s="1197">
        <f t="shared" si="26"/>
        <v>2.47E-2</v>
      </c>
      <c r="I82" s="758">
        <v>0.33</v>
      </c>
      <c r="J82" s="1194">
        <f t="shared" si="27"/>
        <v>4.9399999999999999E-2</v>
      </c>
      <c r="K82" s="1194">
        <f t="shared" si="28"/>
        <v>2.47E-2</v>
      </c>
      <c r="L82" s="1194">
        <v>0</v>
      </c>
      <c r="M82" s="1194">
        <f t="shared" si="29"/>
        <v>-2.47E-2</v>
      </c>
      <c r="N82" s="1194">
        <f t="shared" si="29"/>
        <v>-4.9399999999999999E-2</v>
      </c>
      <c r="Z82" s="2152"/>
      <c r="AA82" s="2218"/>
      <c r="AG82" s="1253"/>
      <c r="AK82" s="2218"/>
    </row>
    <row r="83" spans="1:37" ht="24">
      <c r="A83" s="2297" t="s">
        <v>2709</v>
      </c>
      <c r="B83" s="2301">
        <f>估价对象房地状况!G17</f>
        <v>0</v>
      </c>
      <c r="C83" s="2202" t="s">
        <v>3427</v>
      </c>
      <c r="D83" s="1195">
        <f t="shared" si="25"/>
        <v>3.7000000000000002E-3</v>
      </c>
      <c r="E83" s="764"/>
      <c r="F83" s="1968"/>
      <c r="G83" s="1193">
        <f t="shared" si="30"/>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52"/>
      <c r="AA83" s="2218"/>
      <c r="AG83" s="1253"/>
      <c r="AK83" s="2218"/>
    </row>
    <row r="84" spans="1:37" ht="13.8">
      <c r="A84" s="2297" t="s">
        <v>2723</v>
      </c>
      <c r="B84" s="2301">
        <f>估价对象房地状况!G22</f>
        <v>0</v>
      </c>
      <c r="C84" s="2202" t="s">
        <v>3426</v>
      </c>
      <c r="D84" s="1195">
        <f t="shared" si="25"/>
        <v>0</v>
      </c>
      <c r="E84" s="764"/>
      <c r="F84" s="1968"/>
      <c r="G84" s="1193">
        <f t="shared" si="30"/>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52"/>
      <c r="AA84" s="2218"/>
      <c r="AG84" s="1253"/>
      <c r="AK84" s="2218"/>
    </row>
    <row r="85" spans="1:37" ht="26.4">
      <c r="A85" s="2297" t="s">
        <v>2715</v>
      </c>
      <c r="B85" s="1464" t="str">
        <f>估价对象房地状况!G19</f>
        <v>估价对象所在区域公共配套设施齐备情况</v>
      </c>
      <c r="C85" s="2202" t="s">
        <v>3428</v>
      </c>
      <c r="D85" s="1195">
        <f t="shared" si="25"/>
        <v>-4.4999999999999997E-3</v>
      </c>
      <c r="E85" s="764"/>
      <c r="F85" s="1968"/>
      <c r="G85" s="1193">
        <f t="shared" si="30"/>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52"/>
      <c r="AA85" s="2218"/>
      <c r="AG85" s="1253"/>
      <c r="AK85" s="2218"/>
    </row>
    <row r="86" spans="1:37" ht="26.4">
      <c r="A86" s="2297" t="s">
        <v>2716</v>
      </c>
      <c r="B86" s="1464" t="str">
        <f>估价对象房地状况!G20</f>
        <v>估价对象所在区域基础设施水平</v>
      </c>
      <c r="C86" s="2202" t="s">
        <v>3452</v>
      </c>
      <c r="D86" s="1195">
        <f t="shared" si="25"/>
        <v>2.24E-2</v>
      </c>
      <c r="E86" s="764"/>
      <c r="F86" s="1968"/>
      <c r="G86" s="1193">
        <f t="shared" si="30"/>
        <v>1.12E-2</v>
      </c>
      <c r="H86" s="1197">
        <f t="shared" si="26"/>
        <v>1.12E-2</v>
      </c>
      <c r="I86" s="758">
        <v>0.15</v>
      </c>
      <c r="J86" s="1194">
        <f t="shared" si="27"/>
        <v>2.24E-2</v>
      </c>
      <c r="K86" s="1194">
        <f t="shared" si="28"/>
        <v>1.12E-2</v>
      </c>
      <c r="L86" s="1194">
        <v>0</v>
      </c>
      <c r="M86" s="1194">
        <f t="shared" si="29"/>
        <v>-1.12E-2</v>
      </c>
      <c r="N86" s="1194">
        <f t="shared" si="29"/>
        <v>-2.24E-2</v>
      </c>
      <c r="Z86" s="2152"/>
      <c r="AA86" s="2218"/>
      <c r="AG86" s="1253"/>
      <c r="AK86" s="2218"/>
    </row>
    <row r="87" spans="1:37" ht="36">
      <c r="A87" s="2297" t="s">
        <v>2713</v>
      </c>
      <c r="B87" s="2303" t="s">
        <v>2727</v>
      </c>
      <c r="C87" s="2202" t="s">
        <v>3427</v>
      </c>
      <c r="D87" s="1195">
        <f t="shared" si="25"/>
        <v>3.7000000000000002E-3</v>
      </c>
      <c r="E87" s="764"/>
      <c r="F87" s="1968"/>
      <c r="G87" s="1193">
        <f t="shared" si="30"/>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52"/>
      <c r="AA87" s="2218"/>
      <c r="AG87" s="1253"/>
      <c r="AK87" s="2218"/>
    </row>
    <row r="88" spans="1:37" ht="53.4" thickBot="1">
      <c r="A88" s="2305" t="s">
        <v>2728</v>
      </c>
      <c r="B88" s="2310" t="str">
        <f>估价对象房地状况!G18</f>
        <v>该园区内是否有污染型企业，绿化情况，卫生条件，整体环境状况判断</v>
      </c>
      <c r="C88" s="2202" t="s">
        <v>3427</v>
      </c>
      <c r="D88" s="1195">
        <f t="shared" si="25"/>
        <v>4.4999999999999997E-3</v>
      </c>
      <c r="E88" s="765"/>
      <c r="F88" s="1968"/>
      <c r="G88" s="1193">
        <f t="shared" si="30"/>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52"/>
      <c r="AA88" s="2218"/>
      <c r="AG88" s="1253"/>
      <c r="AK88" s="2218"/>
    </row>
    <row r="90" spans="1:37">
      <c r="A90" s="3457" t="s">
        <v>2729</v>
      </c>
      <c r="B90" s="3457"/>
      <c r="C90" s="3457"/>
      <c r="D90" s="3457"/>
      <c r="E90" s="3457"/>
      <c r="F90" s="3457"/>
      <c r="G90" s="3457"/>
      <c r="H90" s="3457"/>
      <c r="I90" s="3457"/>
      <c r="J90" s="3457"/>
      <c r="K90" s="2311"/>
      <c r="L90" s="2311"/>
      <c r="M90" s="2311"/>
      <c r="N90" s="2311"/>
    </row>
    <row r="91" spans="1:37">
      <c r="A91" s="3459" t="s">
        <v>2730</v>
      </c>
      <c r="B91" s="3459" t="s">
        <v>2731</v>
      </c>
      <c r="C91" s="2265" t="s">
        <v>2732</v>
      </c>
      <c r="D91" s="2266"/>
      <c r="E91" s="2266"/>
      <c r="F91" s="2266"/>
      <c r="G91" s="2266"/>
      <c r="H91" s="2266"/>
      <c r="I91" s="2266"/>
      <c r="J91" s="2312"/>
      <c r="K91" s="2313"/>
      <c r="L91" s="2313"/>
      <c r="M91" s="2313"/>
      <c r="N91" s="2313"/>
    </row>
    <row r="92" spans="1:37">
      <c r="A92" s="3459"/>
      <c r="B92" s="345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460" t="s">
        <v>2733</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6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6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6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6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6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61"/>
      <c r="B99" s="2314" t="s">
        <v>2616</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6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60" t="s">
        <v>2734</v>
      </c>
      <c r="B101" s="2318" t="s">
        <v>2735</v>
      </c>
      <c r="C101" s="2319">
        <f>$G$3</f>
        <v>0.74</v>
      </c>
      <c r="D101" s="2319">
        <f t="shared" ref="D101:N101" si="32">$G$3</f>
        <v>0.74</v>
      </c>
      <c r="E101" s="2319">
        <f t="shared" si="32"/>
        <v>0.74</v>
      </c>
      <c r="F101" s="2319">
        <f t="shared" si="32"/>
        <v>0.74</v>
      </c>
      <c r="G101" s="2319">
        <f t="shared" si="32"/>
        <v>0.74</v>
      </c>
      <c r="H101" s="2319">
        <f t="shared" si="32"/>
        <v>0.74</v>
      </c>
      <c r="I101" s="2319">
        <f t="shared" si="32"/>
        <v>0.74</v>
      </c>
      <c r="J101" s="2319">
        <f t="shared" si="32"/>
        <v>0.74</v>
      </c>
      <c r="K101" s="2319">
        <f t="shared" si="32"/>
        <v>0.74</v>
      </c>
      <c r="L101" s="2319">
        <f t="shared" si="32"/>
        <v>0.74</v>
      </c>
      <c r="M101" s="2319">
        <f t="shared" si="32"/>
        <v>0.74</v>
      </c>
      <c r="N101" s="2319">
        <f t="shared" si="32"/>
        <v>0.74</v>
      </c>
    </row>
    <row r="102" spans="1:14">
      <c r="A102" s="3461"/>
      <c r="B102" s="2314">
        <v>1</v>
      </c>
      <c r="C102" s="2315">
        <f>1.9362/C101</f>
        <v>2.6164864864864863</v>
      </c>
      <c r="D102" s="2315">
        <f>1.9362/D101</f>
        <v>2.6164864864864863</v>
      </c>
      <c r="E102" s="2315">
        <f>1.8629/E101</f>
        <v>2.5174324324324324</v>
      </c>
      <c r="F102" s="2315">
        <f>1.8629/F101</f>
        <v>2.5174324324324324</v>
      </c>
      <c r="G102" s="2315">
        <f>1.8629/G101</f>
        <v>2.5174324324324324</v>
      </c>
      <c r="H102" s="2315">
        <f>1.8629/H101</f>
        <v>2.5174324324324324</v>
      </c>
      <c r="I102" s="2315">
        <f>1.8629/I101</f>
        <v>2.5174324324324324</v>
      </c>
      <c r="J102" s="2315">
        <f>1.942/J101</f>
        <v>2.6243243243243244</v>
      </c>
      <c r="K102" s="2315">
        <f>1.942/K101</f>
        <v>2.6243243243243244</v>
      </c>
      <c r="L102" s="2315">
        <f>1.942/L101</f>
        <v>2.6243243243243244</v>
      </c>
      <c r="M102" s="2315">
        <f>1.942/M101</f>
        <v>2.6243243243243244</v>
      </c>
      <c r="N102" s="2315">
        <f>1.942/N101</f>
        <v>2.6243243243243244</v>
      </c>
    </row>
    <row r="103" spans="1:14">
      <c r="A103" s="3461"/>
      <c r="B103" s="2314">
        <v>2</v>
      </c>
      <c r="C103" s="2315">
        <f>1.4198/C101</f>
        <v>1.9186486486486487</v>
      </c>
      <c r="D103" s="2315">
        <f>1.4198/D101</f>
        <v>1.9186486486486487</v>
      </c>
      <c r="E103" s="2315">
        <f>1.3372/E101</f>
        <v>1.807027027027027</v>
      </c>
      <c r="F103" s="2315">
        <f>1.3372/F101</f>
        <v>1.807027027027027</v>
      </c>
      <c r="G103" s="2315">
        <f>1.3372/G101</f>
        <v>1.807027027027027</v>
      </c>
      <c r="H103" s="2315">
        <f>1.3372/H101</f>
        <v>1.807027027027027</v>
      </c>
      <c r="I103" s="2315">
        <f>1.3372/I101</f>
        <v>1.807027027027027</v>
      </c>
      <c r="J103" s="2315">
        <f>1.2799/J101</f>
        <v>1.7295945945945947</v>
      </c>
      <c r="K103" s="2315">
        <f>1.2799/K101</f>
        <v>1.7295945945945947</v>
      </c>
      <c r="L103" s="2315">
        <f>1.2799/L101</f>
        <v>1.7295945945945947</v>
      </c>
      <c r="M103" s="2315">
        <f>1.2799/M101</f>
        <v>1.7295945945945947</v>
      </c>
      <c r="N103" s="2315">
        <f>1.2799/N101</f>
        <v>1.7295945945945947</v>
      </c>
    </row>
    <row r="104" spans="1:14">
      <c r="A104" s="3461"/>
      <c r="B104" s="2314">
        <v>3</v>
      </c>
      <c r="C104" s="2315">
        <f>1.1594/C101</f>
        <v>1.5667567567567569</v>
      </c>
      <c r="D104" s="2315">
        <f>1.1594/D101</f>
        <v>1.5667567567567569</v>
      </c>
      <c r="E104" s="2315">
        <f>1.0788/E101</f>
        <v>1.4578378378378378</v>
      </c>
      <c r="F104" s="2315">
        <f>1.0788/F101</f>
        <v>1.4578378378378378</v>
      </c>
      <c r="G104" s="2315">
        <f>1.0788/G101</f>
        <v>1.4578378378378378</v>
      </c>
      <c r="H104" s="2315">
        <f>1.0788/H101</f>
        <v>1.4578378378378378</v>
      </c>
      <c r="I104" s="2315">
        <f>1.0788/I101</f>
        <v>1.4578378378378378</v>
      </c>
      <c r="J104" s="2315">
        <f>1.0072/J101</f>
        <v>1.3610810810810812</v>
      </c>
      <c r="K104" s="2315">
        <f>1.0072/K101</f>
        <v>1.3610810810810812</v>
      </c>
      <c r="L104" s="2315">
        <f>1.0072/L101</f>
        <v>1.3610810810810812</v>
      </c>
      <c r="M104" s="2315">
        <f>1.0072/M101</f>
        <v>1.3610810810810812</v>
      </c>
      <c r="N104" s="2315">
        <f>1.0072/N101</f>
        <v>1.3610810810810812</v>
      </c>
    </row>
    <row r="105" spans="1:14">
      <c r="A105" s="3461"/>
      <c r="B105" s="2314">
        <v>4</v>
      </c>
      <c r="C105" s="2315">
        <f>0.9622/C101</f>
        <v>1.3002702702702704</v>
      </c>
      <c r="D105" s="2315">
        <f>0.9622/D101</f>
        <v>1.3002702702702704</v>
      </c>
      <c r="E105" s="2315">
        <f>0.8656/E101</f>
        <v>1.1697297297297298</v>
      </c>
      <c r="F105" s="2315">
        <f>0.8656/F101</f>
        <v>1.1697297297297298</v>
      </c>
      <c r="G105" s="2315">
        <f>0.8656/G101</f>
        <v>1.1697297297297298</v>
      </c>
      <c r="H105" s="2315">
        <f>0.8656/H101</f>
        <v>1.1697297297297298</v>
      </c>
      <c r="I105" s="2315">
        <f>0.8656/I101</f>
        <v>1.1697297297297298</v>
      </c>
      <c r="J105" s="2315">
        <f>0.7525/J101</f>
        <v>1.0168918918918919</v>
      </c>
      <c r="K105" s="2315">
        <f>0.7525/K101</f>
        <v>1.0168918918918919</v>
      </c>
      <c r="L105" s="2315">
        <f>0.7525/L101</f>
        <v>1.0168918918918919</v>
      </c>
      <c r="M105" s="2315">
        <f>0.7525/M101</f>
        <v>1.0168918918918919</v>
      </c>
      <c r="N105" s="2315">
        <f>0.7525/N101</f>
        <v>1.0168918918918919</v>
      </c>
    </row>
    <row r="106" spans="1:14">
      <c r="A106" s="3461"/>
      <c r="B106" s="2314">
        <v>5</v>
      </c>
      <c r="C106" s="2315">
        <f>0.8417/C101</f>
        <v>1.1374324324324325</v>
      </c>
      <c r="D106" s="2315">
        <f>0.8417/D101</f>
        <v>1.1374324324324325</v>
      </c>
      <c r="E106" s="2315">
        <f>0.7371/E101</f>
        <v>0.99608108108108107</v>
      </c>
      <c r="F106" s="2315">
        <f>0.7371/F101</f>
        <v>0.99608108108108107</v>
      </c>
      <c r="G106" s="2315">
        <f>0.7371/G101</f>
        <v>0.99608108108108107</v>
      </c>
      <c r="H106" s="2315">
        <f>0.7371/H101</f>
        <v>0.99608108108108107</v>
      </c>
      <c r="I106" s="2315">
        <f>0.7371/I101</f>
        <v>0.99608108108108107</v>
      </c>
      <c r="J106" s="2315">
        <f>0.5659/J101</f>
        <v>0.76472972972972963</v>
      </c>
      <c r="K106" s="2315">
        <f>0.5659/K101</f>
        <v>0.76472972972972963</v>
      </c>
      <c r="L106" s="2315">
        <f>0.5659/L101</f>
        <v>0.76472972972972963</v>
      </c>
      <c r="M106" s="2315">
        <f>0.5659/M101</f>
        <v>0.76472972972972963</v>
      </c>
      <c r="N106" s="2315">
        <f>0.5659/N101</f>
        <v>0.76472972972972963</v>
      </c>
    </row>
    <row r="107" spans="1:14">
      <c r="A107" s="3461"/>
      <c r="B107" s="2314">
        <v>6</v>
      </c>
      <c r="C107" s="2315">
        <f>0.7608/C101</f>
        <v>1.0281081081081083</v>
      </c>
      <c r="D107" s="2315">
        <f>0.7608/D101</f>
        <v>1.0281081081081083</v>
      </c>
      <c r="E107" s="2315">
        <f>0.6482/E101</f>
        <v>0.87594594594594599</v>
      </c>
      <c r="F107" s="2315">
        <f>0.6482/F101</f>
        <v>0.87594594594594599</v>
      </c>
      <c r="G107" s="2315">
        <f>0.6482/G101</f>
        <v>0.87594594594594599</v>
      </c>
      <c r="H107" s="2315">
        <f>0.6482/H101</f>
        <v>0.87594594594594599</v>
      </c>
      <c r="I107" s="2315">
        <f>0.6482/I101</f>
        <v>0.87594594594594599</v>
      </c>
      <c r="J107" s="2315">
        <f>0.4525/J101</f>
        <v>0.61148648648648651</v>
      </c>
      <c r="K107" s="2315">
        <f>0.4525/K101</f>
        <v>0.61148648648648651</v>
      </c>
      <c r="L107" s="2315">
        <f>0.4525/L101</f>
        <v>0.61148648648648651</v>
      </c>
      <c r="M107" s="2315">
        <f>0.4525/M101</f>
        <v>0.61148648648648651</v>
      </c>
      <c r="N107" s="2315">
        <f>0.4525/N101</f>
        <v>0.61148648648648651</v>
      </c>
    </row>
    <row r="108" spans="1:14">
      <c r="A108" s="3461"/>
      <c r="B108" s="3463" t="s">
        <v>2736</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62"/>
      <c r="B109" s="3464"/>
      <c r="C109" s="2317">
        <f>(-0.163*(C108^2)-0.59*C108+7617)*(10^(-4))/C101</f>
        <v>1.0293243243243244</v>
      </c>
      <c r="D109" s="2317">
        <f>(-0.163*(D108^2)-0.59*D108+7617)*(10^(-4))/D101</f>
        <v>1.0293243243243244</v>
      </c>
      <c r="E109" s="2317">
        <f>(-0.161*(E108^2)-7.509*E108+6533)*(10^(-4))/E101</f>
        <v>0.88283783783783787</v>
      </c>
      <c r="F109" s="2317">
        <f>(-0.161*(F108^2)-7.509*F108+6533)*(10^(-4))/F101</f>
        <v>0.88283783783783787</v>
      </c>
      <c r="G109" s="2317">
        <f>(-0.161*(G108^2)-7.509*G108+6533)*(10^(-4))/G101</f>
        <v>0.88283783783783787</v>
      </c>
      <c r="H109" s="2317">
        <f>(-0.161*(H108^2)-7.509*H108+6533)*(10^(-4))/H101</f>
        <v>0.88283783783783787</v>
      </c>
      <c r="I109" s="2317">
        <f>(-0.161*(I108^2)-7.509*I108+6533)*(10^(-4))/I101</f>
        <v>0.88283783783783787</v>
      </c>
      <c r="J109" s="2317">
        <f>(-0.214*(J108^2)-21.991*J108+4665)*(10^(-4))/J101</f>
        <v>0.63040540540540546</v>
      </c>
      <c r="K109" s="2317">
        <f>(-0.214*(K108^2)-21.991*K108+4665)*(10^(-4))/K101</f>
        <v>0.63040540540540546</v>
      </c>
      <c r="L109" s="2317">
        <f>(-0.214*(L108^2)-21.991*L108+4665)*(10^(-4))/L101</f>
        <v>0.63040540540540546</v>
      </c>
      <c r="M109" s="2317">
        <f>(-0.214*(M108^2)-21.991*M108+4665)*(10^(-4))/M101</f>
        <v>0.63040540540540546</v>
      </c>
      <c r="N109" s="2317">
        <f>(-0.214*(N108^2)-21.991*N108+4665)*(10^(-4))/N101</f>
        <v>0.63040540540540546</v>
      </c>
    </row>
    <row r="110" spans="1:14">
      <c r="A110" s="3458" t="s">
        <v>2737</v>
      </c>
      <c r="B110" s="3458"/>
      <c r="C110" s="3458"/>
      <c r="D110" s="3458"/>
      <c r="E110" s="3458"/>
      <c r="F110" s="3458"/>
      <c r="G110" s="3458"/>
      <c r="H110" s="3458"/>
      <c r="I110" s="3458"/>
      <c r="J110" s="3458"/>
      <c r="K110" s="2320"/>
      <c r="L110" s="2320"/>
      <c r="M110" s="2320"/>
      <c r="N110" s="2320"/>
    </row>
    <row r="112" spans="1:14" ht="13.8" thickBot="1"/>
    <row r="113" spans="1:13" ht="25.8" thickBot="1">
      <c r="A113" s="841" t="s">
        <v>2738</v>
      </c>
      <c r="B113" s="1196">
        <f>G3</f>
        <v>0.74</v>
      </c>
      <c r="C113" s="842" t="s">
        <v>2739</v>
      </c>
      <c r="D113" s="843">
        <f>SUMPRODUCT((A115:A118=F113)*(B114:M114=H113)*B115:M118)</f>
        <v>0.55659999999999998</v>
      </c>
      <c r="E113" s="2156" t="s">
        <v>2574</v>
      </c>
      <c r="F113" s="2322" t="str">
        <f>E2</f>
        <v>工业</v>
      </c>
      <c r="G113" s="2156" t="s">
        <v>2575</v>
      </c>
      <c r="H113" s="2322" t="str">
        <f>G2</f>
        <v>十级</v>
      </c>
      <c r="I113" s="2156"/>
      <c r="J113" s="2323"/>
      <c r="K113" s="2323"/>
      <c r="L113" s="2323"/>
      <c r="M113" s="2323"/>
    </row>
    <row r="114" spans="1:13">
      <c r="A114" s="846"/>
      <c r="B114" s="2324" t="s">
        <v>2740</v>
      </c>
      <c r="C114" s="2324" t="s">
        <v>2741</v>
      </c>
      <c r="D114" s="2324" t="s">
        <v>2742</v>
      </c>
      <c r="E114" s="2325" t="s">
        <v>2743</v>
      </c>
      <c r="F114" s="2325" t="s">
        <v>2744</v>
      </c>
      <c r="G114" s="2325" t="s">
        <v>2745</v>
      </c>
      <c r="H114" s="2326" t="s">
        <v>2746</v>
      </c>
      <c r="I114" s="2326" t="s">
        <v>2747</v>
      </c>
      <c r="J114" s="2327" t="s">
        <v>2748</v>
      </c>
      <c r="K114" s="2327" t="s">
        <v>2749</v>
      </c>
      <c r="L114" s="2327" t="s">
        <v>2750</v>
      </c>
      <c r="M114" s="2328" t="s">
        <v>2751</v>
      </c>
    </row>
    <row r="115" spans="1:13">
      <c r="A115" s="847" t="s">
        <v>2638</v>
      </c>
      <c r="B115" s="848">
        <f>ROUND(0.9335-0.0094*B113,4)</f>
        <v>0.92649999999999999</v>
      </c>
      <c r="C115" s="848">
        <f>B115</f>
        <v>0.92649999999999999</v>
      </c>
      <c r="D115" s="848">
        <f>ROUND(0.8331-0.0109*B113,4)</f>
        <v>0.82499999999999996</v>
      </c>
      <c r="E115" s="848">
        <f>D115</f>
        <v>0.82499999999999996</v>
      </c>
      <c r="F115" s="848">
        <f>E115</f>
        <v>0.82499999999999996</v>
      </c>
      <c r="G115" s="848">
        <f>F115</f>
        <v>0.82499999999999996</v>
      </c>
      <c r="H115" s="848">
        <f>G115</f>
        <v>0.82499999999999996</v>
      </c>
      <c r="I115" s="848">
        <f>ROUND(0.689-0.0155*B113,4)</f>
        <v>0.67749999999999999</v>
      </c>
      <c r="J115" s="848">
        <f t="shared" ref="J115:M118" si="34">I115</f>
        <v>0.67749999999999999</v>
      </c>
      <c r="K115" s="848">
        <f t="shared" si="34"/>
        <v>0.67749999999999999</v>
      </c>
      <c r="L115" s="848">
        <f t="shared" si="34"/>
        <v>0.67749999999999999</v>
      </c>
      <c r="M115" s="849">
        <f t="shared" si="34"/>
        <v>0.67749999999999999</v>
      </c>
    </row>
    <row r="116" spans="1:13">
      <c r="A116" s="847" t="s">
        <v>2639</v>
      </c>
      <c r="B116" s="848">
        <f>ROUND(0.949-0.012*B113,4)</f>
        <v>0.94010000000000005</v>
      </c>
      <c r="C116" s="848">
        <f>B116</f>
        <v>0.94010000000000005</v>
      </c>
      <c r="D116" s="848">
        <f>ROUND(0.8567-0.013*B113,4)</f>
        <v>0.84709999999999996</v>
      </c>
      <c r="E116" s="848">
        <f t="shared" ref="E116:H117" si="35">D116</f>
        <v>0.84709999999999996</v>
      </c>
      <c r="F116" s="848">
        <f t="shared" si="35"/>
        <v>0.84709999999999996</v>
      </c>
      <c r="G116" s="848">
        <f t="shared" si="35"/>
        <v>0.84709999999999996</v>
      </c>
      <c r="H116" s="848">
        <f t="shared" si="35"/>
        <v>0.84709999999999996</v>
      </c>
      <c r="I116" s="848">
        <f>ROUND(0.7694-0.014*B113,4)</f>
        <v>0.75900000000000001</v>
      </c>
      <c r="J116" s="848">
        <f t="shared" si="34"/>
        <v>0.75900000000000001</v>
      </c>
      <c r="K116" s="848">
        <f t="shared" si="34"/>
        <v>0.75900000000000001</v>
      </c>
      <c r="L116" s="848">
        <f t="shared" si="34"/>
        <v>0.75900000000000001</v>
      </c>
      <c r="M116" s="849">
        <f t="shared" si="34"/>
        <v>0.75900000000000001</v>
      </c>
    </row>
    <row r="117" spans="1:13">
      <c r="A117" s="847" t="s">
        <v>2640</v>
      </c>
      <c r="B117" s="848">
        <f>ROUND(0.8808-0.006*B113,4)</f>
        <v>0.87639999999999996</v>
      </c>
      <c r="C117" s="848">
        <f>B117</f>
        <v>0.87639999999999996</v>
      </c>
      <c r="D117" s="848">
        <f>ROUND(0.8748-0.008*B113,4)</f>
        <v>0.86890000000000001</v>
      </c>
      <c r="E117" s="848">
        <f t="shared" si="35"/>
        <v>0.86890000000000001</v>
      </c>
      <c r="F117" s="848">
        <f t="shared" si="35"/>
        <v>0.86890000000000001</v>
      </c>
      <c r="G117" s="848">
        <f t="shared" si="35"/>
        <v>0.86890000000000001</v>
      </c>
      <c r="H117" s="848">
        <f t="shared" si="35"/>
        <v>0.86890000000000001</v>
      </c>
      <c r="I117" s="848">
        <f>ROUND(0.7412-0.0095*B113,4)</f>
        <v>0.73419999999999996</v>
      </c>
      <c r="J117" s="848">
        <f t="shared" si="34"/>
        <v>0.73419999999999996</v>
      </c>
      <c r="K117" s="848">
        <f t="shared" si="34"/>
        <v>0.73419999999999996</v>
      </c>
      <c r="L117" s="848">
        <f t="shared" si="34"/>
        <v>0.73419999999999996</v>
      </c>
      <c r="M117" s="849">
        <f t="shared" si="34"/>
        <v>0.73419999999999996</v>
      </c>
    </row>
    <row r="118" spans="1:13" ht="13.8" thickBot="1">
      <c r="A118" s="669" t="s">
        <v>2641</v>
      </c>
      <c r="B118" s="850">
        <f>ROUND(0.7275-0.01*B113,4)</f>
        <v>0.72009999999999996</v>
      </c>
      <c r="C118" s="850">
        <f>B118</f>
        <v>0.72009999999999996</v>
      </c>
      <c r="D118" s="850">
        <f>ROUND(0.7043-0.012*B113,4)</f>
        <v>0.69540000000000002</v>
      </c>
      <c r="E118" s="850">
        <f>D118</f>
        <v>0.69540000000000002</v>
      </c>
      <c r="F118" s="850">
        <f>E118</f>
        <v>0.69540000000000002</v>
      </c>
      <c r="G118" s="850">
        <f>ROUND(0.6299-0.0122*B113,4)</f>
        <v>0.62090000000000001</v>
      </c>
      <c r="H118" s="850">
        <f>G118</f>
        <v>0.62090000000000001</v>
      </c>
      <c r="I118" s="850">
        <f>ROUND(0.5667-0.0136*B113,4)</f>
        <v>0.55659999999999998</v>
      </c>
      <c r="J118" s="850">
        <f t="shared" si="34"/>
        <v>0.55659999999999998</v>
      </c>
      <c r="K118" s="850">
        <f t="shared" si="34"/>
        <v>0.55659999999999998</v>
      </c>
      <c r="L118" s="850">
        <f t="shared" si="34"/>
        <v>0.55659999999999998</v>
      </c>
      <c r="M118" s="851">
        <f t="shared" si="34"/>
        <v>0.55659999999999998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F61" sqref="F61"/>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6.109375" style="362" customWidth="1"/>
    <col min="6" max="6" width="12.21875" style="362" customWidth="1"/>
    <col min="7" max="7" width="17.10937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3953</v>
      </c>
      <c r="C2" s="1038"/>
      <c r="D2" s="1038"/>
      <c r="E2" s="1038"/>
      <c r="F2" s="1039"/>
      <c r="G2" s="1038"/>
      <c r="H2" s="1038"/>
      <c r="I2" s="1038"/>
      <c r="J2" s="1038"/>
      <c r="K2" s="1040"/>
      <c r="L2" s="3252">
        <f>B2/'数据-基础表'!A3*666.67</f>
        <v>84.331088319999992</v>
      </c>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1589</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4.4">
      <c r="A4" s="360" t="s">
        <v>2406</v>
      </c>
      <c r="B4" s="361"/>
      <c r="C4" s="3494" t="s">
        <v>2407</v>
      </c>
      <c r="D4" s="3495"/>
      <c r="E4" s="3496" t="s">
        <v>2408</v>
      </c>
      <c r="F4" s="3497"/>
      <c r="G4" s="3494" t="s">
        <v>2409</v>
      </c>
      <c r="H4" s="3495"/>
      <c r="I4" s="3494" t="s">
        <v>2410</v>
      </c>
      <c r="J4" s="3495"/>
      <c r="K4" s="566" t="s">
        <v>2411</v>
      </c>
      <c r="L4" s="2912"/>
      <c r="M4" s="2913"/>
      <c r="N4" s="2913"/>
      <c r="O4" s="2913"/>
      <c r="P4" s="3498" t="s">
        <v>2412</v>
      </c>
      <c r="Q4" s="3499"/>
      <c r="R4" s="3511" t="s">
        <v>2408</v>
      </c>
      <c r="S4" s="3512"/>
      <c r="T4" s="3511" t="s">
        <v>2409</v>
      </c>
      <c r="U4" s="3512"/>
      <c r="V4" s="3486" t="s">
        <v>2410</v>
      </c>
      <c r="W4" s="3486"/>
      <c r="X4" s="1507"/>
      <c r="Y4" s="3511" t="s">
        <v>2412</v>
      </c>
      <c r="Z4" s="3512"/>
      <c r="AA4" s="3491" t="s">
        <v>2408</v>
      </c>
      <c r="AB4" s="3492" t="s">
        <v>2409</v>
      </c>
      <c r="AC4" s="3491" t="s">
        <v>2410</v>
      </c>
    </row>
    <row r="5" spans="1:29" ht="40.5" customHeight="1">
      <c r="A5" s="363"/>
      <c r="B5" s="364"/>
      <c r="C5" s="3515" t="s">
        <v>2303</v>
      </c>
      <c r="D5" s="3516"/>
      <c r="E5" s="3504" t="str">
        <f>土地案例!A3</f>
        <v xml:space="preserve">大兴区庞各庄镇DX06-0103-6022地块一类工业用地    </v>
      </c>
      <c r="F5" s="3505"/>
      <c r="G5" s="3515" t="str">
        <f>土地案例!A6</f>
        <v xml:space="preserve">大兴生物医药产业基地DX00-0501-0051-1地块M1一类工业用地国有建设用地使用权出让挂牌文件    </v>
      </c>
      <c r="H5" s="3516"/>
      <c r="I5" s="3515" t="str">
        <f>土地案例!A14</f>
        <v xml:space="preserve">北京大兴国际机场综合保税区0107-037地块M1工业用地国有建设用地使用权出让    </v>
      </c>
      <c r="J5" s="3516"/>
      <c r="K5" s="566"/>
      <c r="L5" s="2912"/>
      <c r="M5" s="2913"/>
      <c r="N5" s="2913"/>
      <c r="O5" s="2913"/>
      <c r="P5" s="3500"/>
      <c r="Q5" s="3501"/>
      <c r="R5" s="3513"/>
      <c r="S5" s="3514"/>
      <c r="T5" s="3513"/>
      <c r="U5" s="3514"/>
      <c r="V5" s="3486"/>
      <c r="W5" s="3486"/>
      <c r="X5" s="1507"/>
      <c r="Y5" s="3513"/>
      <c r="Z5" s="3514"/>
      <c r="AA5" s="3492"/>
      <c r="AB5" s="3492"/>
      <c r="AC5" s="3492"/>
    </row>
    <row r="6" spans="1:29" ht="15" thickBot="1">
      <c r="A6" s="365"/>
      <c r="B6" s="366"/>
      <c r="C6" s="3517" t="s">
        <v>2558</v>
      </c>
      <c r="D6" s="3518"/>
      <c r="E6" s="3520" t="s">
        <v>2558</v>
      </c>
      <c r="F6" s="3521"/>
      <c r="G6" s="3517" t="s">
        <v>2558</v>
      </c>
      <c r="H6" s="3518"/>
      <c r="I6" s="3517" t="s">
        <v>2558</v>
      </c>
      <c r="J6" s="3518"/>
      <c r="K6" s="566" t="s">
        <v>2308</v>
      </c>
      <c r="L6" s="2912"/>
      <c r="M6" s="2913"/>
      <c r="N6" s="2913"/>
      <c r="O6" s="2913"/>
      <c r="P6" s="3502"/>
      <c r="Q6" s="3503"/>
      <c r="R6" s="3513"/>
      <c r="S6" s="3514"/>
      <c r="T6" s="3522"/>
      <c r="U6" s="3523"/>
      <c r="V6" s="3486"/>
      <c r="W6" s="3486"/>
      <c r="X6" s="1507"/>
      <c r="Y6" s="3522"/>
      <c r="Z6" s="3523"/>
      <c r="AA6" s="3493"/>
      <c r="AB6" s="3493"/>
      <c r="AC6" s="3493"/>
    </row>
    <row r="7" spans="1:29" s="112" customFormat="1" ht="15" thickBot="1">
      <c r="A7" s="367" t="s">
        <v>2309</v>
      </c>
      <c r="B7" s="368"/>
      <c r="C7" s="369">
        <f>'数据-取费表'!B2</f>
        <v>44567</v>
      </c>
      <c r="D7" s="370">
        <v>100</v>
      </c>
      <c r="E7" s="371">
        <f>土地案例!K3</f>
        <v>44487</v>
      </c>
      <c r="F7" s="372">
        <f>SUMIF(65:65,YEAR(E7)&amp;"-"&amp;INT((MONTH(E7)+2)/3),66:66)</f>
        <v>100</v>
      </c>
      <c r="G7" s="2128">
        <f>土地案例!K6</f>
        <v>44480</v>
      </c>
      <c r="H7" s="370">
        <f>SUMIF(65:65,YEAR(G7)&amp;"-"&amp;INT((MONTH(G7)+2)/3),66:66)</f>
        <v>100</v>
      </c>
      <c r="I7" s="2128">
        <f>土地案例!K14</f>
        <v>44350</v>
      </c>
      <c r="J7" s="370">
        <f>SUMIF(65:65,YEAR(I7)&amp;"-"&amp;INT((MONTH(I7)+2)/3),66:66)</f>
        <v>100</v>
      </c>
      <c r="K7" s="567"/>
      <c r="L7" s="2914"/>
      <c r="M7" s="2915"/>
      <c r="N7" s="2915"/>
      <c r="O7" s="2915"/>
      <c r="P7" s="3506" t="s">
        <v>2310</v>
      </c>
      <c r="Q7" s="3519"/>
      <c r="R7" s="709" t="s">
        <v>17</v>
      </c>
      <c r="S7" s="710">
        <f t="shared" ref="S7:S15" si="0">F7</f>
        <v>100</v>
      </c>
      <c r="T7" s="709" t="s">
        <v>17</v>
      </c>
      <c r="U7" s="710">
        <f t="shared" ref="U7:U15" si="1">H7</f>
        <v>100</v>
      </c>
      <c r="V7" s="709" t="s">
        <v>17</v>
      </c>
      <c r="W7" s="710">
        <f t="shared" ref="W7:W15" si="2">J7</f>
        <v>100</v>
      </c>
      <c r="X7" s="711"/>
      <c r="Y7" s="3506" t="s">
        <v>2310</v>
      </c>
      <c r="Z7" s="3507"/>
      <c r="AA7" s="712">
        <f>D7/F7</f>
        <v>1</v>
      </c>
      <c r="AB7" s="712">
        <f>D7/H7</f>
        <v>1</v>
      </c>
      <c r="AC7" s="712">
        <f>D7/J7</f>
        <v>1</v>
      </c>
    </row>
    <row r="8" spans="1:29" s="112" customFormat="1" ht="15" thickBot="1">
      <c r="A8" s="367" t="s">
        <v>2311</v>
      </c>
      <c r="B8" s="368"/>
      <c r="C8" s="373" t="s">
        <v>2312</v>
      </c>
      <c r="D8" s="370">
        <v>100</v>
      </c>
      <c r="E8" s="373" t="s">
        <v>3408</v>
      </c>
      <c r="F8" s="372">
        <f>SUMIF(68:68,E8,69:69)-SUMIF(68:68,C8,69:69)+100</f>
        <v>100</v>
      </c>
      <c r="G8" s="373" t="s">
        <v>3408</v>
      </c>
      <c r="H8" s="370">
        <f>SUMIF(68:68,G8,69:69)-SUMIF(68:68,C8,69:69)+100</f>
        <v>100</v>
      </c>
      <c r="I8" s="373" t="s">
        <v>3408</v>
      </c>
      <c r="J8" s="370">
        <f>SUMIF(68:68,I8,69:69)-SUMIF(68:68,C8,69:69)+100</f>
        <v>100</v>
      </c>
      <c r="K8" s="567"/>
      <c r="L8" s="2914"/>
      <c r="M8" s="2915"/>
      <c r="N8" s="2915"/>
      <c r="O8" s="2915"/>
      <c r="P8" s="3506" t="s">
        <v>2313</v>
      </c>
      <c r="Q8" s="3507"/>
      <c r="R8" s="709" t="s">
        <v>17</v>
      </c>
      <c r="S8" s="710">
        <f t="shared" si="0"/>
        <v>100</v>
      </c>
      <c r="T8" s="709" t="s">
        <v>17</v>
      </c>
      <c r="U8" s="710">
        <f t="shared" si="1"/>
        <v>100</v>
      </c>
      <c r="V8" s="709" t="s">
        <v>17</v>
      </c>
      <c r="W8" s="710">
        <f t="shared" si="2"/>
        <v>100</v>
      </c>
      <c r="X8" s="711"/>
      <c r="Y8" s="3506" t="s">
        <v>2313</v>
      </c>
      <c r="Z8" s="3507"/>
      <c r="AA8" s="712">
        <f t="shared" ref="AA8:AA40" si="3">D8/F8</f>
        <v>1</v>
      </c>
      <c r="AB8" s="712">
        <f t="shared" ref="AB8:AB40" si="4">D8/H8</f>
        <v>1</v>
      </c>
      <c r="AC8" s="712">
        <f t="shared" ref="AC8:AC40" si="5">D8/J8</f>
        <v>1</v>
      </c>
    </row>
    <row r="9" spans="1:29" s="112" customFormat="1" ht="14.4">
      <c r="A9" s="374" t="s">
        <v>2314</v>
      </c>
      <c r="B9" s="66" t="s">
        <v>2315</v>
      </c>
      <c r="C9" s="2131" t="s">
        <v>6</v>
      </c>
      <c r="D9" s="130">
        <v>100</v>
      </c>
      <c r="E9" s="2131" t="s">
        <v>6</v>
      </c>
      <c r="F9" s="130">
        <f>SUMIF(70:70,E9,71:71)-SUMIF(70:70,C9,71:71)+100</f>
        <v>100</v>
      </c>
      <c r="G9" s="2131" t="s">
        <v>6</v>
      </c>
      <c r="H9" s="130">
        <f>SUMIF(70:70,G9,71:71)-SUMIF(70:70,C9,71:71)+100</f>
        <v>100</v>
      </c>
      <c r="I9" s="2131" t="s">
        <v>6</v>
      </c>
      <c r="J9" s="130">
        <f>SUMIF(70:70,I9,71:71)-SUMIF(70:70,C9,71:71)+100</f>
        <v>100</v>
      </c>
      <c r="K9" s="567"/>
      <c r="L9" s="2914"/>
      <c r="M9" s="2915"/>
      <c r="N9" s="2915"/>
      <c r="O9" s="2969"/>
      <c r="P9" s="3484"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712">
        <f t="shared" si="5"/>
        <v>1</v>
      </c>
    </row>
    <row r="10" spans="1:29" s="385" customFormat="1" ht="28.8">
      <c r="A10" s="379"/>
      <c r="B10" s="380" t="s">
        <v>2318</v>
      </c>
      <c r="C10" s="390">
        <f>项目基本情况!I15</f>
        <v>28.27</v>
      </c>
      <c r="D10" s="131">
        <v>100</v>
      </c>
      <c r="E10" s="390"/>
      <c r="F10" s="131">
        <f>ROUND(100/'数据-取费表'!G16,0)</f>
        <v>125</v>
      </c>
      <c r="G10" s="390"/>
      <c r="H10" s="131">
        <f>ROUND(100/'数据-取费表'!G16,0)</f>
        <v>125</v>
      </c>
      <c r="I10" s="390"/>
      <c r="J10" s="131">
        <f>ROUND(100/'数据-取费表'!G16,0)</f>
        <v>125</v>
      </c>
      <c r="K10" s="627"/>
      <c r="L10" s="2916"/>
      <c r="M10" s="2917"/>
      <c r="N10" s="2917"/>
      <c r="O10" s="2970"/>
      <c r="P10" s="3484"/>
      <c r="Q10" s="1495" t="str">
        <f t="shared" si="6"/>
        <v>土地使用年限（年）</v>
      </c>
      <c r="R10" s="709" t="s">
        <v>17</v>
      </c>
      <c r="S10" s="710">
        <f t="shared" si="0"/>
        <v>125</v>
      </c>
      <c r="T10" s="709" t="s">
        <v>17</v>
      </c>
      <c r="U10" s="710">
        <f t="shared" si="1"/>
        <v>125</v>
      </c>
      <c r="V10" s="709" t="s">
        <v>17</v>
      </c>
      <c r="W10" s="710">
        <f t="shared" si="2"/>
        <v>125</v>
      </c>
      <c r="X10" s="711"/>
      <c r="Y10" s="3428"/>
      <c r="Z10" s="54" t="str">
        <f t="shared" si="7"/>
        <v>土地使用年限（年）</v>
      </c>
      <c r="AA10" s="712">
        <f t="shared" si="3"/>
        <v>0.8</v>
      </c>
      <c r="AB10" s="712">
        <f t="shared" si="4"/>
        <v>0.8</v>
      </c>
      <c r="AC10" s="712">
        <f t="shared" si="5"/>
        <v>0.8</v>
      </c>
    </row>
    <row r="11" spans="1:29" ht="15">
      <c r="A11" s="386"/>
      <c r="B11" s="380" t="s">
        <v>3456</v>
      </c>
      <c r="C11" s="387">
        <v>0.74</v>
      </c>
      <c r="D11" s="131">
        <v>100</v>
      </c>
      <c r="E11" s="387">
        <v>1.4</v>
      </c>
      <c r="F11" s="131">
        <f>LOOKUP(E11,75:75,76:76)-LOOKUP(C11,75:75,76:76)+100</f>
        <v>100</v>
      </c>
      <c r="G11" s="388">
        <v>1</v>
      </c>
      <c r="H11" s="131">
        <f>LOOKUP(G11,75:75,76:76)-LOOKUP(C11,75:75,76:76)+100</f>
        <v>100</v>
      </c>
      <c r="I11" s="387">
        <v>1</v>
      </c>
      <c r="J11" s="131">
        <f>LOOKUP(I11,75:75,76:76)-LOOKUP(C11,75:75,76:76)+100</f>
        <v>100</v>
      </c>
      <c r="K11" s="628">
        <v>0</v>
      </c>
      <c r="L11" s="2918"/>
      <c r="M11" s="2913"/>
      <c r="N11" s="2913"/>
      <c r="O11" s="2971"/>
      <c r="P11" s="3484"/>
      <c r="Q11" s="1495" t="str">
        <f t="shared" si="6"/>
        <v>容积率</v>
      </c>
      <c r="R11" s="709" t="s">
        <v>17</v>
      </c>
      <c r="S11" s="710">
        <f t="shared" si="0"/>
        <v>100</v>
      </c>
      <c r="T11" s="709" t="s">
        <v>17</v>
      </c>
      <c r="U11" s="710">
        <f t="shared" si="1"/>
        <v>100</v>
      </c>
      <c r="V11" s="709" t="s">
        <v>17</v>
      </c>
      <c r="W11" s="710">
        <f t="shared" si="2"/>
        <v>100</v>
      </c>
      <c r="X11" s="711"/>
      <c r="Y11" s="3428"/>
      <c r="Z11" s="54" t="str">
        <f t="shared" si="7"/>
        <v>容积率</v>
      </c>
      <c r="AA11" s="712">
        <f t="shared" si="3"/>
        <v>1</v>
      </c>
      <c r="AB11" s="712">
        <f t="shared" si="4"/>
        <v>1</v>
      </c>
      <c r="AC11" s="712">
        <f t="shared" si="5"/>
        <v>1</v>
      </c>
    </row>
    <row r="12" spans="1:29" s="112"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84"/>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84"/>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712">
        <f t="shared" si="5"/>
        <v>1</v>
      </c>
    </row>
    <row r="14" spans="1:29" ht="15.6"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84"/>
      <c r="Q14" s="1495">
        <f t="shared" si="6"/>
        <v>111</v>
      </c>
      <c r="R14" s="709" t="s">
        <v>17</v>
      </c>
      <c r="S14" s="710">
        <f t="shared" si="0"/>
        <v>100</v>
      </c>
      <c r="T14" s="709" t="s">
        <v>17</v>
      </c>
      <c r="U14" s="710">
        <f t="shared" si="1"/>
        <v>100</v>
      </c>
      <c r="V14" s="709" t="s">
        <v>17</v>
      </c>
      <c r="W14" s="710">
        <f t="shared" si="2"/>
        <v>100</v>
      </c>
      <c r="X14" s="711"/>
      <c r="Y14" s="3428"/>
      <c r="Z14" s="54">
        <f t="shared" si="7"/>
        <v>111</v>
      </c>
      <c r="AA14" s="712">
        <f t="shared" si="3"/>
        <v>1</v>
      </c>
      <c r="AB14" s="712">
        <f t="shared" si="4"/>
        <v>1</v>
      </c>
      <c r="AC14" s="712">
        <f t="shared" si="5"/>
        <v>1</v>
      </c>
    </row>
    <row r="15" spans="1:29" ht="69">
      <c r="A15" s="398" t="s">
        <v>2320</v>
      </c>
      <c r="B15" s="584" t="s">
        <v>2559</v>
      </c>
      <c r="C15" s="2125" t="str">
        <f>估价对象房地状况!G15</f>
        <v>估价对象位于XX开发区，园区建设成熟度XX，产业集聚程度XX</v>
      </c>
      <c r="D15" s="399">
        <v>100</v>
      </c>
      <c r="E15" s="400"/>
      <c r="F15" s="399">
        <f>SUMIF(83:83,E16,84:84)-SUMIF(83:83,C16,84:84)+100</f>
        <v>105</v>
      </c>
      <c r="G15" s="400"/>
      <c r="H15" s="399">
        <f>SUMIF(83:83,G16,84:84)-SUMIF(83:83,C16,84:84)+100</f>
        <v>105</v>
      </c>
      <c r="I15" s="402"/>
      <c r="J15" s="399">
        <f>SUMIF(83:83,I16,84:84)-SUMIF(83:83,C16,84:84)+100</f>
        <v>100</v>
      </c>
      <c r="K15" s="628">
        <v>5</v>
      </c>
      <c r="L15" s="2919"/>
      <c r="M15" s="2913"/>
      <c r="N15" s="2913"/>
      <c r="O15" s="2971"/>
      <c r="P15" s="3487" t="s">
        <v>2321</v>
      </c>
      <c r="Q15" s="1504" t="str">
        <f t="shared" si="6"/>
        <v>产业集聚程度</v>
      </c>
      <c r="R15" s="713" t="s">
        <v>17</v>
      </c>
      <c r="S15" s="714">
        <f t="shared" si="0"/>
        <v>105</v>
      </c>
      <c r="T15" s="713" t="s">
        <v>17</v>
      </c>
      <c r="U15" s="714">
        <f t="shared" si="1"/>
        <v>105</v>
      </c>
      <c r="V15" s="713" t="s">
        <v>17</v>
      </c>
      <c r="W15" s="714">
        <f t="shared" si="2"/>
        <v>100</v>
      </c>
      <c r="X15" s="1507"/>
      <c r="Y15" s="3487" t="s">
        <v>2321</v>
      </c>
      <c r="Z15" s="1508" t="str">
        <f t="shared" si="7"/>
        <v>产业集聚程度</v>
      </c>
      <c r="AA15" s="1505">
        <f t="shared" si="3"/>
        <v>0.95238095238095233</v>
      </c>
      <c r="AB15" s="1505">
        <f t="shared" si="4"/>
        <v>0.95238095238095233</v>
      </c>
      <c r="AC15" s="1505">
        <f t="shared" si="5"/>
        <v>1</v>
      </c>
    </row>
    <row r="16" spans="1:29" ht="15">
      <c r="A16" s="386"/>
      <c r="B16" s="585"/>
      <c r="C16" s="405" t="s">
        <v>3426</v>
      </c>
      <c r="D16" s="406"/>
      <c r="E16" s="2058" t="s">
        <v>3427</v>
      </c>
      <c r="F16" s="406"/>
      <c r="G16" s="2058" t="s">
        <v>3427</v>
      </c>
      <c r="H16" s="408"/>
      <c r="I16" s="2058" t="s">
        <v>3426</v>
      </c>
      <c r="J16" s="406"/>
      <c r="K16" s="627"/>
      <c r="L16" s="2919"/>
      <c r="M16" s="2913"/>
      <c r="N16" s="2913"/>
      <c r="O16" s="2971"/>
      <c r="P16" s="3488"/>
      <c r="Q16" s="1504"/>
      <c r="R16" s="713"/>
      <c r="S16" s="714"/>
      <c r="T16" s="713"/>
      <c r="U16" s="714"/>
      <c r="V16" s="713"/>
      <c r="W16" s="714"/>
      <c r="X16" s="1507"/>
      <c r="Y16" s="3488"/>
      <c r="Z16" s="1508"/>
      <c r="AA16" s="1505">
        <v>1</v>
      </c>
      <c r="AB16" s="1505">
        <v>1</v>
      </c>
      <c r="AC16" s="1505">
        <v>1</v>
      </c>
    </row>
    <row r="17" spans="1:29" ht="96.6">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3</v>
      </c>
      <c r="L17" s="2919"/>
      <c r="M17" s="2913"/>
      <c r="N17" s="2913"/>
      <c r="O17" s="2971"/>
      <c r="P17" s="3488"/>
      <c r="Q17" s="1504" t="str">
        <f>B17</f>
        <v>交通便捷度</v>
      </c>
      <c r="R17" s="713" t="s">
        <v>17</v>
      </c>
      <c r="S17" s="714">
        <f>F17</f>
        <v>100</v>
      </c>
      <c r="T17" s="713" t="s">
        <v>17</v>
      </c>
      <c r="U17" s="714">
        <f>H17</f>
        <v>100</v>
      </c>
      <c r="V17" s="713" t="s">
        <v>17</v>
      </c>
      <c r="W17" s="714">
        <f>J17</f>
        <v>100</v>
      </c>
      <c r="X17" s="1507"/>
      <c r="Y17" s="3488"/>
      <c r="Z17" s="1508" t="str">
        <f>Q17</f>
        <v>交通便捷度</v>
      </c>
      <c r="AA17" s="1505">
        <f t="shared" si="3"/>
        <v>1</v>
      </c>
      <c r="AB17" s="1505">
        <f t="shared" si="4"/>
        <v>1</v>
      </c>
      <c r="AC17" s="1505">
        <f t="shared" si="5"/>
        <v>1</v>
      </c>
    </row>
    <row r="18" spans="1:29" ht="15">
      <c r="A18" s="386"/>
      <c r="B18" s="587"/>
      <c r="C18" s="405" t="s">
        <v>3426</v>
      </c>
      <c r="D18" s="406"/>
      <c r="E18" s="405" t="s">
        <v>3426</v>
      </c>
      <c r="F18" s="406"/>
      <c r="G18" s="405" t="s">
        <v>3426</v>
      </c>
      <c r="H18" s="406"/>
      <c r="I18" s="405" t="s">
        <v>3426</v>
      </c>
      <c r="J18" s="406"/>
      <c r="K18" s="627"/>
      <c r="L18" s="2919"/>
      <c r="M18" s="2913"/>
      <c r="N18" s="2913"/>
      <c r="O18" s="2971"/>
      <c r="P18" s="3488"/>
      <c r="Q18" s="1504"/>
      <c r="R18" s="713"/>
      <c r="S18" s="714"/>
      <c r="T18" s="713"/>
      <c r="U18" s="714"/>
      <c r="V18" s="713"/>
      <c r="W18" s="714"/>
      <c r="X18" s="1507"/>
      <c r="Y18" s="3488"/>
      <c r="Z18" s="1508"/>
      <c r="AA18" s="1505">
        <v>1</v>
      </c>
      <c r="AB18" s="1505">
        <v>1</v>
      </c>
      <c r="AC18" s="1505">
        <v>1</v>
      </c>
    </row>
    <row r="19" spans="1:29" ht="28.8">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919"/>
      <c r="M19" s="2913"/>
      <c r="N19" s="2913"/>
      <c r="O19" s="2971"/>
      <c r="P19" s="3488"/>
      <c r="Q19" s="1504" t="str">
        <f t="shared" ref="Q19:Q33" si="8">B19</f>
        <v>区域土地利用方向</v>
      </c>
      <c r="R19" s="713" t="s">
        <v>17</v>
      </c>
      <c r="S19" s="714">
        <f>F19</f>
        <v>100</v>
      </c>
      <c r="T19" s="713" t="s">
        <v>17</v>
      </c>
      <c r="U19" s="714">
        <f>H19</f>
        <v>100</v>
      </c>
      <c r="V19" s="713" t="s">
        <v>17</v>
      </c>
      <c r="W19" s="714">
        <f>J19</f>
        <v>100</v>
      </c>
      <c r="X19" s="1507"/>
      <c r="Y19" s="3488"/>
      <c r="Z19" s="1508" t="str">
        <f>Q19</f>
        <v>区域土地利用方向</v>
      </c>
      <c r="AA19" s="1505">
        <f t="shared" si="3"/>
        <v>1</v>
      </c>
      <c r="AB19" s="1505">
        <f t="shared" si="4"/>
        <v>1</v>
      </c>
      <c r="AC19" s="1505">
        <f t="shared" si="5"/>
        <v>1</v>
      </c>
    </row>
    <row r="20" spans="1:29" ht="15">
      <c r="A20" s="363"/>
      <c r="B20" s="587"/>
      <c r="C20" s="405" t="s">
        <v>3427</v>
      </c>
      <c r="D20" s="406"/>
      <c r="E20" s="405" t="s">
        <v>3427</v>
      </c>
      <c r="F20" s="406"/>
      <c r="G20" s="405" t="s">
        <v>3427</v>
      </c>
      <c r="H20" s="406"/>
      <c r="I20" s="405" t="s">
        <v>3427</v>
      </c>
      <c r="J20" s="406"/>
      <c r="K20" s="750"/>
      <c r="L20" s="2919"/>
      <c r="M20" s="2913"/>
      <c r="N20" s="2913"/>
      <c r="O20" s="2971"/>
      <c r="P20" s="3488"/>
      <c r="Q20" s="1504"/>
      <c r="R20" s="713"/>
      <c r="S20" s="714"/>
      <c r="T20" s="713"/>
      <c r="U20" s="714"/>
      <c r="V20" s="713"/>
      <c r="W20" s="714"/>
      <c r="X20" s="1507"/>
      <c r="Y20" s="3488"/>
      <c r="Z20" s="1508"/>
      <c r="AA20" s="1505"/>
      <c r="AB20" s="1505"/>
      <c r="AC20" s="1505"/>
    </row>
    <row r="21" spans="1:29" ht="82.8">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3</v>
      </c>
      <c r="L21" s="2919"/>
      <c r="M21" s="2913"/>
      <c r="N21" s="2913"/>
      <c r="O21" s="2971"/>
      <c r="P21" s="3488"/>
      <c r="Q21" s="1504" t="str">
        <f t="shared" si="8"/>
        <v>环境状况</v>
      </c>
      <c r="R21" s="713" t="s">
        <v>17</v>
      </c>
      <c r="S21" s="714">
        <f>F21</f>
        <v>100</v>
      </c>
      <c r="T21" s="713" t="s">
        <v>17</v>
      </c>
      <c r="U21" s="714">
        <f>H21</f>
        <v>100</v>
      </c>
      <c r="V21" s="713" t="s">
        <v>17</v>
      </c>
      <c r="W21" s="714">
        <f>J21</f>
        <v>100</v>
      </c>
      <c r="X21" s="1507"/>
      <c r="Y21" s="3488"/>
      <c r="Z21" s="1508" t="str">
        <f>Q21</f>
        <v>环境状况</v>
      </c>
      <c r="AA21" s="1505">
        <f t="shared" si="3"/>
        <v>1</v>
      </c>
      <c r="AB21" s="1505">
        <f t="shared" si="4"/>
        <v>1</v>
      </c>
      <c r="AC21" s="1505">
        <f t="shared" si="5"/>
        <v>1</v>
      </c>
    </row>
    <row r="22" spans="1:29" ht="15">
      <c r="A22" s="363"/>
      <c r="B22" s="587"/>
      <c r="C22" s="405" t="s">
        <v>3427</v>
      </c>
      <c r="D22" s="406"/>
      <c r="E22" s="2058" t="s">
        <v>3427</v>
      </c>
      <c r="F22" s="406"/>
      <c r="G22" s="2058" t="s">
        <v>3427</v>
      </c>
      <c r="H22" s="406"/>
      <c r="I22" s="2058" t="s">
        <v>3427</v>
      </c>
      <c r="J22" s="406"/>
      <c r="K22" s="627"/>
      <c r="L22" s="2919"/>
      <c r="M22" s="2913"/>
      <c r="N22" s="2913"/>
      <c r="O22" s="2971"/>
      <c r="P22" s="3488"/>
      <c r="Q22" s="1504"/>
      <c r="R22" s="713"/>
      <c r="S22" s="714"/>
      <c r="T22" s="713"/>
      <c r="U22" s="714"/>
      <c r="V22" s="713"/>
      <c r="W22" s="714"/>
      <c r="X22" s="1507"/>
      <c r="Y22" s="3488"/>
      <c r="Z22" s="1508"/>
      <c r="AA22" s="1505">
        <v>1</v>
      </c>
      <c r="AB22" s="1505">
        <v>1</v>
      </c>
      <c r="AC22" s="1505">
        <v>1</v>
      </c>
    </row>
    <row r="23" spans="1:29" s="112" customFormat="1" ht="41.4">
      <c r="A23" s="604"/>
      <c r="B23" s="588" t="s">
        <v>2415</v>
      </c>
      <c r="C23" s="2054" t="str">
        <f>估价对象房地状况!G19</f>
        <v>估价对象所在区域公共配套设施齐备情况</v>
      </c>
      <c r="D23" s="408">
        <v>100</v>
      </c>
      <c r="E23" s="410"/>
      <c r="F23" s="408">
        <f>SUMIF(91:91,E24,92:92)-SUMIF(91:91,C24,92:92)+100</f>
        <v>103</v>
      </c>
      <c r="G23" s="410"/>
      <c r="H23" s="408">
        <f>SUMIF(91:91,G24,92:92)-SUMIF(91:91,C24,92:92)+100</f>
        <v>103</v>
      </c>
      <c r="I23" s="412"/>
      <c r="J23" s="408">
        <f>SUMIF(91:91,I24,92:92)-SUMIF(91:91,C24,92:92)+100</f>
        <v>103</v>
      </c>
      <c r="K23" s="628">
        <v>3</v>
      </c>
      <c r="L23" s="2914"/>
      <c r="M23" s="2915"/>
      <c r="N23" s="2915"/>
      <c r="O23" s="2969"/>
      <c r="P23" s="3488"/>
      <c r="Q23" s="1495" t="str">
        <f t="shared" si="8"/>
        <v>公共配套设施</v>
      </c>
      <c r="R23" s="709" t="s">
        <v>17</v>
      </c>
      <c r="S23" s="710">
        <f>F23</f>
        <v>103</v>
      </c>
      <c r="T23" s="709" t="s">
        <v>17</v>
      </c>
      <c r="U23" s="710">
        <f>H23</f>
        <v>103</v>
      </c>
      <c r="V23" s="709" t="s">
        <v>17</v>
      </c>
      <c r="W23" s="710">
        <f>J23</f>
        <v>103</v>
      </c>
      <c r="X23" s="711"/>
      <c r="Y23" s="3488"/>
      <c r="Z23" s="54" t="str">
        <f>Q23</f>
        <v>公共配套设施</v>
      </c>
      <c r="AA23" s="1505">
        <f>D23/F23</f>
        <v>0.970873786407767</v>
      </c>
      <c r="AB23" s="1505">
        <f>D23/H23</f>
        <v>0.970873786407767</v>
      </c>
      <c r="AC23" s="1505">
        <f>D23/J23</f>
        <v>0.970873786407767</v>
      </c>
    </row>
    <row r="24" spans="1:29" s="112" customFormat="1" ht="15">
      <c r="A24" s="604"/>
      <c r="B24" s="587"/>
      <c r="C24" s="2132" t="s">
        <v>3426</v>
      </c>
      <c r="D24" s="406"/>
      <c r="E24" s="2058" t="s">
        <v>3427</v>
      </c>
      <c r="F24" s="406"/>
      <c r="G24" s="2132" t="s">
        <v>3427</v>
      </c>
      <c r="H24" s="406"/>
      <c r="I24" s="2132" t="s">
        <v>3427</v>
      </c>
      <c r="J24" s="406"/>
      <c r="K24" s="627"/>
      <c r="L24" s="2914"/>
      <c r="M24" s="2915"/>
      <c r="N24" s="2915"/>
      <c r="O24" s="2969"/>
      <c r="P24" s="3488"/>
      <c r="Q24" s="1495"/>
      <c r="R24" s="709"/>
      <c r="S24" s="710"/>
      <c r="T24" s="709"/>
      <c r="U24" s="710"/>
      <c r="V24" s="709"/>
      <c r="W24" s="710"/>
      <c r="X24" s="711"/>
      <c r="Y24" s="3488"/>
      <c r="Z24" s="54"/>
      <c r="AA24" s="712">
        <v>1</v>
      </c>
      <c r="AB24" s="712">
        <v>1</v>
      </c>
      <c r="AC24" s="712">
        <v>1</v>
      </c>
    </row>
    <row r="25" spans="1:29" s="112" customFormat="1" ht="41.4">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1</v>
      </c>
      <c r="L25" s="2914"/>
      <c r="M25" s="2915"/>
      <c r="N25" s="2915"/>
      <c r="O25" s="2969"/>
      <c r="P25" s="3488"/>
      <c r="Q25" s="1495" t="str">
        <f t="shared" ref="Q25" si="9">B25</f>
        <v>基础设施水平</v>
      </c>
      <c r="R25" s="709" t="s">
        <v>17</v>
      </c>
      <c r="S25" s="710">
        <f>F25</f>
        <v>100</v>
      </c>
      <c r="T25" s="709" t="s">
        <v>17</v>
      </c>
      <c r="U25" s="710">
        <f>H25</f>
        <v>100</v>
      </c>
      <c r="V25" s="709" t="s">
        <v>17</v>
      </c>
      <c r="W25" s="710">
        <f>J25</f>
        <v>100</v>
      </c>
      <c r="X25" s="711"/>
      <c r="Y25" s="3488"/>
      <c r="Z25" s="54" t="str">
        <f>Q25</f>
        <v>基础设施水平</v>
      </c>
      <c r="AA25" s="1505">
        <f>D25/F25</f>
        <v>1</v>
      </c>
      <c r="AB25" s="1505">
        <f>D25/H25</f>
        <v>1</v>
      </c>
      <c r="AC25" s="1505">
        <f>D25/J25</f>
        <v>1</v>
      </c>
    </row>
    <row r="26" spans="1:29" s="112" customFormat="1" ht="15">
      <c r="A26" s="604"/>
      <c r="B26" s="587"/>
      <c r="C26" s="2132" t="s">
        <v>3459</v>
      </c>
      <c r="D26" s="406"/>
      <c r="E26" s="2132" t="s">
        <v>3459</v>
      </c>
      <c r="F26" s="406"/>
      <c r="G26" s="2132" t="s">
        <v>3459</v>
      </c>
      <c r="H26" s="406"/>
      <c r="I26" s="2132" t="s">
        <v>3459</v>
      </c>
      <c r="J26" s="406"/>
      <c r="K26" s="627"/>
      <c r="L26" s="2914"/>
      <c r="M26" s="2915"/>
      <c r="N26" s="2915"/>
      <c r="O26" s="2969"/>
      <c r="P26" s="3488"/>
      <c r="Q26" s="1495"/>
      <c r="R26" s="709"/>
      <c r="S26" s="710"/>
      <c r="T26" s="709"/>
      <c r="U26" s="710"/>
      <c r="V26" s="709"/>
      <c r="W26" s="710"/>
      <c r="X26" s="711"/>
      <c r="Y26" s="3488"/>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488"/>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88"/>
      <c r="Z27" s="1508" t="str">
        <f t="shared" ref="Z27:Z40" si="13">Q27</f>
        <v>临街状况</v>
      </c>
      <c r="AA27" s="1505">
        <f t="shared" si="3"/>
        <v>1</v>
      </c>
      <c r="AB27" s="1505">
        <f t="shared" si="4"/>
        <v>1</v>
      </c>
      <c r="AC27" s="1505">
        <f t="shared" si="5"/>
        <v>1</v>
      </c>
    </row>
    <row r="28" spans="1:29" ht="28.8">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88"/>
      <c r="Q28" s="1504" t="str">
        <f t="shared" si="8"/>
        <v>毗邻道路的类型与等级</v>
      </c>
      <c r="R28" s="713" t="s">
        <v>17</v>
      </c>
      <c r="S28" s="714">
        <f t="shared" si="10"/>
        <v>100</v>
      </c>
      <c r="T28" s="713" t="s">
        <v>17</v>
      </c>
      <c r="U28" s="714">
        <f t="shared" si="11"/>
        <v>100</v>
      </c>
      <c r="V28" s="713" t="s">
        <v>17</v>
      </c>
      <c r="W28" s="714">
        <f t="shared" si="12"/>
        <v>100</v>
      </c>
      <c r="X28" s="1507"/>
      <c r="Y28" s="3488"/>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88"/>
      <c r="Q29" s="1504"/>
      <c r="R29" s="713"/>
      <c r="S29" s="714"/>
      <c r="T29" s="713"/>
      <c r="U29" s="714"/>
      <c r="V29" s="713"/>
      <c r="W29" s="714"/>
      <c r="X29" s="1507"/>
      <c r="Y29" s="3488"/>
      <c r="Z29" s="1508"/>
      <c r="AA29" s="1505">
        <v>1</v>
      </c>
      <c r="AB29" s="1505">
        <v>1</v>
      </c>
      <c r="AC29" s="1505">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88"/>
      <c r="Q30" s="1504" t="str">
        <f t="shared" si="8"/>
        <v>土地级别</v>
      </c>
      <c r="R30" s="713" t="s">
        <v>17</v>
      </c>
      <c r="S30" s="714">
        <f t="shared" si="10"/>
        <v>100</v>
      </c>
      <c r="T30" s="713" t="s">
        <v>17</v>
      </c>
      <c r="U30" s="714">
        <f t="shared" si="11"/>
        <v>100</v>
      </c>
      <c r="V30" s="713" t="s">
        <v>17</v>
      </c>
      <c r="W30" s="714">
        <f t="shared" si="12"/>
        <v>100</v>
      </c>
      <c r="X30" s="1507"/>
      <c r="Y30" s="3488"/>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88"/>
      <c r="Q31" s="1504">
        <f t="shared" si="8"/>
        <v>111</v>
      </c>
      <c r="R31" s="713" t="s">
        <v>17</v>
      </c>
      <c r="S31" s="714">
        <f t="shared" si="10"/>
        <v>100</v>
      </c>
      <c r="T31" s="713" t="s">
        <v>17</v>
      </c>
      <c r="U31" s="714">
        <f t="shared" si="11"/>
        <v>100</v>
      </c>
      <c r="V31" s="713" t="s">
        <v>17</v>
      </c>
      <c r="W31" s="714">
        <f t="shared" si="12"/>
        <v>100</v>
      </c>
      <c r="X31" s="1507"/>
      <c r="Y31" s="3488"/>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89" t="s">
        <v>2326</v>
      </c>
      <c r="Q32" s="1504">
        <f t="shared" si="8"/>
        <v>111</v>
      </c>
      <c r="R32" s="713" t="s">
        <v>17</v>
      </c>
      <c r="S32" s="714">
        <f t="shared" si="10"/>
        <v>100</v>
      </c>
      <c r="T32" s="713" t="s">
        <v>17</v>
      </c>
      <c r="U32" s="714">
        <f t="shared" si="11"/>
        <v>100</v>
      </c>
      <c r="V32" s="713" t="s">
        <v>17</v>
      </c>
      <c r="W32" s="714">
        <f t="shared" si="12"/>
        <v>100</v>
      </c>
      <c r="X32" s="1507"/>
      <c r="Y32" s="3490" t="s">
        <v>2326</v>
      </c>
      <c r="Z32" s="1508">
        <f t="shared" si="13"/>
        <v>111</v>
      </c>
      <c r="AA32" s="1505">
        <f t="shared" si="3"/>
        <v>1</v>
      </c>
      <c r="AB32" s="1505">
        <f t="shared" si="4"/>
        <v>1</v>
      </c>
      <c r="AC32" s="1505">
        <f t="shared" si="5"/>
        <v>1</v>
      </c>
    </row>
    <row r="33" spans="1:31" s="429" customFormat="1" ht="15.6"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90"/>
      <c r="Q33" s="1504">
        <f t="shared" si="8"/>
        <v>111</v>
      </c>
      <c r="R33" s="716" t="s">
        <v>17</v>
      </c>
      <c r="S33" s="717">
        <f t="shared" si="10"/>
        <v>100</v>
      </c>
      <c r="T33" s="716" t="s">
        <v>17</v>
      </c>
      <c r="U33" s="717">
        <f t="shared" si="11"/>
        <v>100</v>
      </c>
      <c r="V33" s="716" t="s">
        <v>17</v>
      </c>
      <c r="W33" s="717">
        <f t="shared" si="12"/>
        <v>100</v>
      </c>
      <c r="X33" s="718"/>
      <c r="Y33" s="3490"/>
      <c r="Z33" s="719">
        <f t="shared" si="13"/>
        <v>111</v>
      </c>
      <c r="AA33" s="1505">
        <f t="shared" si="3"/>
        <v>1</v>
      </c>
      <c r="AB33" s="1505">
        <f t="shared" si="4"/>
        <v>1</v>
      </c>
      <c r="AC33" s="1505">
        <f t="shared" si="5"/>
        <v>1</v>
      </c>
    </row>
    <row r="34" spans="1:31" ht="15">
      <c r="A34" s="398" t="s">
        <v>2324</v>
      </c>
      <c r="B34" s="414" t="s">
        <v>2512</v>
      </c>
      <c r="C34" s="634">
        <f>Sheet1!F7</f>
        <v>31250</v>
      </c>
      <c r="D34" s="425">
        <v>100</v>
      </c>
      <c r="E34" s="634">
        <f>土地案例!E3</f>
        <v>23200</v>
      </c>
      <c r="F34" s="425">
        <f>LOOKUP(E34,108:108,109:109)-LOOKUP(C34,108:108,109:109)+100</f>
        <v>100</v>
      </c>
      <c r="G34" s="634">
        <f>土地案例!$E$6</f>
        <v>23652.31</v>
      </c>
      <c r="H34" s="425">
        <f>LOOKUP(G34,108:108,109:109)-LOOKUP(C34,108:108,109:109)+100</f>
        <v>100</v>
      </c>
      <c r="I34" s="486">
        <f>土地案例!F14</f>
        <v>132895.59</v>
      </c>
      <c r="J34" s="425">
        <f>LOOKUP(I34,108:108,109:109)-LOOKUP(C34,108:108,109:109)+100</f>
        <v>102</v>
      </c>
      <c r="K34" s="569"/>
      <c r="L34" s="2919"/>
      <c r="M34" s="2913"/>
      <c r="N34" s="2913"/>
      <c r="O34" s="2971"/>
      <c r="P34" s="3490"/>
      <c r="Q34" s="1504" t="str">
        <f>B34</f>
        <v>宗地面积</v>
      </c>
      <c r="R34" s="713" t="s">
        <v>17</v>
      </c>
      <c r="S34" s="714">
        <f t="shared" si="10"/>
        <v>100</v>
      </c>
      <c r="T34" s="713" t="s">
        <v>17</v>
      </c>
      <c r="U34" s="714">
        <f t="shared" si="11"/>
        <v>100</v>
      </c>
      <c r="V34" s="713" t="s">
        <v>17</v>
      </c>
      <c r="W34" s="714">
        <f t="shared" si="12"/>
        <v>102</v>
      </c>
      <c r="X34" s="1507"/>
      <c r="Y34" s="3490"/>
      <c r="Z34" s="1508" t="str">
        <f t="shared" si="13"/>
        <v>宗地面积</v>
      </c>
      <c r="AA34" s="1505">
        <f t="shared" si="3"/>
        <v>1</v>
      </c>
      <c r="AB34" s="1505">
        <f t="shared" si="4"/>
        <v>1</v>
      </c>
      <c r="AC34" s="1505">
        <f t="shared" si="5"/>
        <v>0.98039215686274506</v>
      </c>
    </row>
    <row r="35" spans="1:31" ht="15">
      <c r="A35" s="430"/>
      <c r="B35" s="380" t="s">
        <v>2513</v>
      </c>
      <c r="C35" s="2060" t="s">
        <v>3480</v>
      </c>
      <c r="D35" s="393">
        <v>100</v>
      </c>
      <c r="E35" s="2060" t="s">
        <v>3480</v>
      </c>
      <c r="F35" s="393">
        <f>SUMIF(110:110,E35,111:111)-SUMIF(110:110,C35,111:111)+100</f>
        <v>100</v>
      </c>
      <c r="G35" s="2060" t="s">
        <v>3480</v>
      </c>
      <c r="H35" s="393">
        <f>SUMIF(110:110,G35,111:111)-SUMIF(110:110,C35,111:111)+100</f>
        <v>100</v>
      </c>
      <c r="I35" s="2060" t="s">
        <v>3480</v>
      </c>
      <c r="J35" s="393">
        <f>SUMIF(110:110,I35,111:111)-SUMIF(110:110,C35,111:111)+100</f>
        <v>100</v>
      </c>
      <c r="K35" s="568">
        <v>2</v>
      </c>
      <c r="L35" s="2919"/>
      <c r="M35" s="2913"/>
      <c r="N35" s="2913"/>
      <c r="O35" s="2971"/>
      <c r="P35" s="3490"/>
      <c r="Q35" s="1504" t="str">
        <f t="shared" ref="Q35:Q40" si="14">B35</f>
        <v>宗地形状</v>
      </c>
      <c r="R35" s="713" t="s">
        <v>17</v>
      </c>
      <c r="S35" s="714">
        <f t="shared" si="10"/>
        <v>100</v>
      </c>
      <c r="T35" s="713" t="s">
        <v>17</v>
      </c>
      <c r="U35" s="714">
        <f t="shared" si="11"/>
        <v>100</v>
      </c>
      <c r="V35" s="713" t="s">
        <v>17</v>
      </c>
      <c r="W35" s="714">
        <f t="shared" si="12"/>
        <v>100</v>
      </c>
      <c r="X35" s="1507"/>
      <c r="Y35" s="3490"/>
      <c r="Z35" s="1508" t="str">
        <f t="shared" si="13"/>
        <v>宗地形状</v>
      </c>
      <c r="AA35" s="1505">
        <f t="shared" si="3"/>
        <v>1</v>
      </c>
      <c r="AB35" s="1505">
        <f t="shared" si="4"/>
        <v>1</v>
      </c>
      <c r="AC35" s="1505">
        <f t="shared" si="5"/>
        <v>1</v>
      </c>
    </row>
    <row r="36" spans="1:31" s="112" customFormat="1" ht="15">
      <c r="A36" s="431"/>
      <c r="B36" s="380" t="s">
        <v>2515</v>
      </c>
      <c r="C36" s="2134" t="s">
        <v>3468</v>
      </c>
      <c r="D36" s="131">
        <v>100</v>
      </c>
      <c r="E36" s="2134" t="s">
        <v>3433</v>
      </c>
      <c r="F36" s="393">
        <f>SUMIF(112:112,E36,113:113)-SUMIF(112:112,C36,113:113)+100</f>
        <v>98</v>
      </c>
      <c r="G36" s="2134" t="s">
        <v>3431</v>
      </c>
      <c r="H36" s="393">
        <f>SUMIF(112:112,G36,113:113)-SUMIF(112:112,C36,113:113)+100</f>
        <v>98.5</v>
      </c>
      <c r="I36" s="2134" t="s">
        <v>3429</v>
      </c>
      <c r="J36" s="393">
        <f>SUMIF(112:112,I36,113:113)-SUMIF(112:112,C36,113:113)+100</f>
        <v>99</v>
      </c>
      <c r="K36" s="568">
        <v>0.5</v>
      </c>
      <c r="L36" s="2914"/>
      <c r="M36" s="2915"/>
      <c r="N36" s="2915"/>
      <c r="O36" s="2969"/>
      <c r="P36" s="3490"/>
      <c r="Q36" s="1504" t="str">
        <f t="shared" si="14"/>
        <v>宗地开发程度</v>
      </c>
      <c r="R36" s="709" t="s">
        <v>17</v>
      </c>
      <c r="S36" s="710">
        <f t="shared" si="10"/>
        <v>98</v>
      </c>
      <c r="T36" s="709" t="s">
        <v>17</v>
      </c>
      <c r="U36" s="710">
        <f t="shared" si="11"/>
        <v>98.5</v>
      </c>
      <c r="V36" s="709" t="s">
        <v>17</v>
      </c>
      <c r="W36" s="710">
        <f t="shared" si="12"/>
        <v>99</v>
      </c>
      <c r="X36" s="711"/>
      <c r="Y36" s="3490"/>
      <c r="Z36" s="54" t="str">
        <f t="shared" si="13"/>
        <v>宗地开发程度</v>
      </c>
      <c r="AA36" s="712">
        <f t="shared" si="3"/>
        <v>1.0204081632653061</v>
      </c>
      <c r="AB36" s="712">
        <f t="shared" si="4"/>
        <v>1.015228426395939</v>
      </c>
      <c r="AC36" s="712">
        <f t="shared" si="5"/>
        <v>1.0101010101010102</v>
      </c>
    </row>
    <row r="37" spans="1:31" ht="15">
      <c r="A37" s="430"/>
      <c r="B37" s="380" t="s">
        <v>2516</v>
      </c>
      <c r="C37" s="2060" t="s">
        <v>3427</v>
      </c>
      <c r="D37" s="393">
        <v>100</v>
      </c>
      <c r="E37" s="2060" t="s">
        <v>3427</v>
      </c>
      <c r="F37" s="393">
        <f>SUMIF(114:114,E37,115:115)-SUMIF(114:114,C37,115:115)+100</f>
        <v>100</v>
      </c>
      <c r="G37" s="2060" t="s">
        <v>3427</v>
      </c>
      <c r="H37" s="393">
        <f>SUMIF(114:114,G37,115:115)-SUMIF(114:114,C37,115:115)+100</f>
        <v>100</v>
      </c>
      <c r="I37" s="2060" t="s">
        <v>3427</v>
      </c>
      <c r="J37" s="393">
        <f>SUMIF(114:114,I37,115:115)-SUMIF(114:114,C37,115:115)+100</f>
        <v>100</v>
      </c>
      <c r="K37" s="568">
        <v>2</v>
      </c>
      <c r="L37" s="2919"/>
      <c r="M37" s="2913"/>
      <c r="N37" s="2913"/>
      <c r="O37" s="2971"/>
      <c r="P37" s="3490" t="s">
        <v>2326</v>
      </c>
      <c r="Q37" s="1504" t="str">
        <f t="shared" si="14"/>
        <v>工程地质条件</v>
      </c>
      <c r="R37" s="713" t="s">
        <v>17</v>
      </c>
      <c r="S37" s="714">
        <f t="shared" si="10"/>
        <v>100</v>
      </c>
      <c r="T37" s="713" t="s">
        <v>17</v>
      </c>
      <c r="U37" s="714">
        <f t="shared" si="11"/>
        <v>100</v>
      </c>
      <c r="V37" s="713" t="s">
        <v>17</v>
      </c>
      <c r="W37" s="714">
        <f t="shared" si="12"/>
        <v>100</v>
      </c>
      <c r="X37" s="1507"/>
      <c r="Y37" s="3490" t="s">
        <v>2326</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90"/>
      <c r="Q38" s="1504">
        <f t="shared" si="14"/>
        <v>111</v>
      </c>
      <c r="R38" s="713" t="s">
        <v>17</v>
      </c>
      <c r="S38" s="714">
        <f t="shared" si="10"/>
        <v>100</v>
      </c>
      <c r="T38" s="713" t="s">
        <v>17</v>
      </c>
      <c r="U38" s="714">
        <f t="shared" si="11"/>
        <v>100</v>
      </c>
      <c r="V38" s="713" t="s">
        <v>17</v>
      </c>
      <c r="W38" s="714">
        <f t="shared" si="12"/>
        <v>100</v>
      </c>
      <c r="X38" s="1507"/>
      <c r="Y38" s="3490"/>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90"/>
      <c r="Q39" s="1504">
        <f t="shared" si="14"/>
        <v>111</v>
      </c>
      <c r="R39" s="713" t="s">
        <v>17</v>
      </c>
      <c r="S39" s="714">
        <f t="shared" si="10"/>
        <v>100</v>
      </c>
      <c r="T39" s="713" t="s">
        <v>17</v>
      </c>
      <c r="U39" s="714">
        <f t="shared" si="11"/>
        <v>100</v>
      </c>
      <c r="V39" s="713" t="s">
        <v>17</v>
      </c>
      <c r="W39" s="714">
        <f t="shared" si="12"/>
        <v>100</v>
      </c>
      <c r="X39" s="1507"/>
      <c r="Y39" s="3490"/>
      <c r="Z39" s="1508">
        <f t="shared" si="13"/>
        <v>111</v>
      </c>
      <c r="AA39" s="1505">
        <f t="shared" si="3"/>
        <v>1</v>
      </c>
      <c r="AB39" s="1505">
        <f t="shared" si="4"/>
        <v>1</v>
      </c>
      <c r="AC39" s="1505">
        <f t="shared" si="5"/>
        <v>1</v>
      </c>
    </row>
    <row r="40" spans="1:31" s="429" customFormat="1" ht="15.6" thickBot="1">
      <c r="A40" s="426"/>
      <c r="B40" s="1267">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90"/>
      <c r="Q40" s="1504">
        <f t="shared" si="14"/>
        <v>111</v>
      </c>
      <c r="R40" s="716" t="s">
        <v>17</v>
      </c>
      <c r="S40" s="717">
        <f t="shared" si="10"/>
        <v>100</v>
      </c>
      <c r="T40" s="716" t="s">
        <v>17</v>
      </c>
      <c r="U40" s="717">
        <f t="shared" si="11"/>
        <v>100</v>
      </c>
      <c r="V40" s="716" t="s">
        <v>17</v>
      </c>
      <c r="W40" s="717">
        <f t="shared" si="12"/>
        <v>100</v>
      </c>
      <c r="X40" s="718"/>
      <c r="Y40" s="3490"/>
      <c r="Z40" s="719">
        <f t="shared" si="13"/>
        <v>111</v>
      </c>
      <c r="AA40" s="1505">
        <f t="shared" si="3"/>
        <v>1</v>
      </c>
      <c r="AB40" s="1505">
        <f t="shared" si="4"/>
        <v>1</v>
      </c>
      <c r="AC40" s="1505">
        <f t="shared" si="5"/>
        <v>1</v>
      </c>
    </row>
    <row r="41" spans="1:31" ht="14.4">
      <c r="A41" s="437" t="s">
        <v>2481</v>
      </c>
      <c r="B41" s="2136" t="s">
        <v>3457</v>
      </c>
      <c r="C41" s="637" t="s">
        <v>1</v>
      </c>
      <c r="D41" s="439"/>
      <c r="E41" s="440">
        <v>1221</v>
      </c>
      <c r="F41" s="441"/>
      <c r="G41" s="3253">
        <v>1727</v>
      </c>
      <c r="H41" s="443"/>
      <c r="I41" s="440">
        <v>2049</v>
      </c>
      <c r="J41" s="443"/>
      <c r="K41" s="722"/>
      <c r="L41" s="2921"/>
      <c r="M41" s="2913"/>
      <c r="N41" s="2913"/>
      <c r="O41" s="2922"/>
      <c r="P41" s="3484" t="str">
        <f>A41</f>
        <v>成交单价</v>
      </c>
      <c r="Q41" s="3484"/>
      <c r="R41" s="3486">
        <f>E41</f>
        <v>1221</v>
      </c>
      <c r="S41" s="3486"/>
      <c r="T41" s="3486">
        <f>G41</f>
        <v>1727</v>
      </c>
      <c r="U41" s="3486"/>
      <c r="V41" s="3486">
        <f>I41</f>
        <v>2049</v>
      </c>
      <c r="W41" s="3486"/>
      <c r="X41" s="698"/>
      <c r="Y41" s="720"/>
      <c r="Z41" s="698"/>
      <c r="AA41" s="698"/>
      <c r="AB41" s="698"/>
      <c r="AC41" s="698"/>
    </row>
    <row r="42" spans="1:31" ht="15" thickBot="1">
      <c r="A42" s="444" t="s">
        <v>2430</v>
      </c>
      <c r="B42" s="638"/>
      <c r="C42" s="447">
        <f>R43</f>
        <v>1265</v>
      </c>
      <c r="D42" s="2506" t="s">
        <v>2818</v>
      </c>
      <c r="E42" s="447">
        <f>R42</f>
        <v>922</v>
      </c>
      <c r="F42" s="2507"/>
      <c r="G42" s="446">
        <f>T42</f>
        <v>1297</v>
      </c>
      <c r="H42" s="2507"/>
      <c r="I42" s="447">
        <f>V42</f>
        <v>1576</v>
      </c>
      <c r="J42" s="2507"/>
      <c r="K42" s="2509">
        <f>F42+H42+J42</f>
        <v>0</v>
      </c>
      <c r="L42" s="2921"/>
      <c r="M42" s="2913"/>
      <c r="N42" s="2913"/>
      <c r="O42" s="2922"/>
      <c r="P42" s="3484" t="str">
        <f>A42</f>
        <v>比较价值（元/平方米）</v>
      </c>
      <c r="Q42" s="3484"/>
      <c r="R42" s="3485">
        <f>ROUND(PRODUCT(R41,AA7:AA40),0)</f>
        <v>922</v>
      </c>
      <c r="S42" s="3485"/>
      <c r="T42" s="3485">
        <f>ROUND(PRODUCT(T41,AB7:AB40),0)</f>
        <v>1297</v>
      </c>
      <c r="U42" s="3485"/>
      <c r="V42" s="3485">
        <f>ROUND(PRODUCT(V41,AC7:AC40),0)</f>
        <v>1576</v>
      </c>
      <c r="W42" s="3485"/>
      <c r="X42" s="698"/>
      <c r="Y42" s="698"/>
      <c r="Z42" s="698"/>
      <c r="AA42" s="698"/>
      <c r="AB42" s="698"/>
      <c r="AC42" s="698"/>
    </row>
    <row r="43" spans="1:31" ht="15" thickBot="1">
      <c r="A43" s="448" t="s">
        <v>2431</v>
      </c>
      <c r="B43" s="449"/>
      <c r="C43" s="450">
        <f>R43</f>
        <v>1265</v>
      </c>
      <c r="D43" s="450"/>
      <c r="E43" s="450"/>
      <c r="F43" s="450"/>
      <c r="G43" s="450"/>
      <c r="H43" s="450"/>
      <c r="I43" s="450"/>
      <c r="J43" s="450"/>
      <c r="K43" s="723"/>
      <c r="L43" s="2921"/>
      <c r="M43" s="2913"/>
      <c r="N43" s="2913"/>
      <c r="O43" s="2922"/>
      <c r="P43" s="3481" t="str">
        <f>A43</f>
        <v>估价对象XX用房的比较价值（楼面单价，元/平方米）</v>
      </c>
      <c r="Q43" s="3482"/>
      <c r="R43" s="3483">
        <f>ROUND(IF(D42="简单平均",AVERAGE(R42:W42),R42*F42+T42*H42+V42*J42),0)</f>
        <v>1265</v>
      </c>
      <c r="S43" s="3483"/>
      <c r="T43" s="3483"/>
      <c r="U43" s="3483"/>
      <c r="V43" s="3483"/>
      <c r="W43" s="3483"/>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f>IF(E41&lt;E42,E42/E41-1,E41/E42-1)</f>
        <v>0.324295010845987</v>
      </c>
      <c r="F46" s="456" t="str">
        <f>IF(OR(E46&gt;=0.3,E46&lt;=-0.3),"超过30%","")</f>
        <v>超过30%</v>
      </c>
      <c r="G46" s="455">
        <f>IF(G41&lt;G42,G42/G41-1,G41/G42-1)</f>
        <v>0.33153430994602928</v>
      </c>
      <c r="H46" s="456" t="str">
        <f>IF(OR(G46&gt;=0.3,G46&lt;=-0.3),"超过30%","")</f>
        <v>超过30%</v>
      </c>
      <c r="I46" s="455">
        <f>IF(I41&lt;I42,I42/I41-1,I41/I42-1)</f>
        <v>0.30012690355329941</v>
      </c>
      <c r="J46" s="456" t="str">
        <f>IF(OR(I46&gt;=0.3,I46&lt;=-0.3),"超过30%","")</f>
        <v>超过30%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f>IF(E42&lt;G42,G42/E42-1,E42/G42-1)</f>
        <v>0.40672451193058579</v>
      </c>
      <c r="F47" s="456" t="str">
        <f>IF(OR(E47&gt;=0.2,E47&lt;=-0.2),"超过20%","")</f>
        <v>超过20%</v>
      </c>
      <c r="G47" s="455">
        <f>IF(G42&lt;I42,I42/G42-1,G42/I42-1)</f>
        <v>0.21511179645335399</v>
      </c>
      <c r="H47" s="456" t="str">
        <f>IF(OR(G47&gt;=0.2,G47&lt;=-0.2),"超过20%","")</f>
        <v>超过20%</v>
      </c>
      <c r="I47" s="455">
        <f>IF(I42&lt;E42,E42/I42-1,I42/E42-1)</f>
        <v>0.70932754880694149</v>
      </c>
      <c r="J47" s="456" t="str">
        <f>IF(OR(I47&gt;=0.2,I47&lt;=-0.2),"超过20%","")</f>
        <v>超过20%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f>IF(E41&lt;G41,G41/E41-1,E41/G41-1)</f>
        <v>0.4144144144144144</v>
      </c>
      <c r="F48" s="456" t="str">
        <f>IF(OR(E48&gt;=0.3,E48&lt;=-0.3),"超过30%","")</f>
        <v>超过30%</v>
      </c>
      <c r="G48" s="455">
        <f>IF(G41&lt;I41,I41/G41-1,G41/I41-1)</f>
        <v>0.18645049218297616</v>
      </c>
      <c r="H48" s="456" t="str">
        <f>IF(OR(G48&gt;=0.3,G48&lt;=-0.3),"超过30%","")</f>
        <v/>
      </c>
      <c r="I48" s="455">
        <f>IF(I41&lt;E41,E41/I41-1,I41/E41-1)</f>
        <v>0.67813267813267819</v>
      </c>
      <c r="J48" s="456" t="str">
        <f>IF(OR(I48&gt;=0.3,I48&lt;=-0.3),"超过30%","")</f>
        <v>超过30%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4.4"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39" t="s">
        <v>2519</v>
      </c>
      <c r="B50" s="640" t="s">
        <v>2520</v>
      </c>
      <c r="C50" s="2137" t="s">
        <v>2521</v>
      </c>
      <c r="D50" s="2138" t="s">
        <v>2522</v>
      </c>
      <c r="E50" s="641" t="s">
        <v>2523</v>
      </c>
      <c r="F50" s="642" t="s">
        <v>2524</v>
      </c>
      <c r="G50" s="3494" t="s">
        <v>2525</v>
      </c>
      <c r="H50" s="3508"/>
      <c r="I50" s="1508" t="s">
        <v>2561</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f>C43</f>
        <v>1265</v>
      </c>
      <c r="C51" s="645">
        <v>1</v>
      </c>
      <c r="D51" s="1074">
        <v>1</v>
      </c>
      <c r="E51" s="645">
        <f>'数据-汇总表'!E8+'数据-汇总表'!E9</f>
        <v>23078</v>
      </c>
      <c r="F51" s="646">
        <f t="shared" ref="F51:F60" si="15">ROUND(B51*E51/10000,0)</f>
        <v>2919</v>
      </c>
      <c r="G51" s="3509"/>
      <c r="H51" s="3484"/>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f>ROUND($C$43*C52*D52,0)</f>
        <v>0</v>
      </c>
      <c r="C52" s="175">
        <f t="shared" ref="C52:C60" si="16">IF($C$50="北京市系数",I52,J52)</f>
        <v>0</v>
      </c>
      <c r="D52" s="1075">
        <v>0.25</v>
      </c>
      <c r="E52" s="649"/>
      <c r="F52" s="646">
        <f t="shared" si="15"/>
        <v>0</v>
      </c>
      <c r="G52" s="3510"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f t="shared" ref="B53:B60" si="17">ROUND($C$43*C53*D53,0)</f>
        <v>0</v>
      </c>
      <c r="C53" s="175">
        <f t="shared" si="16"/>
        <v>0</v>
      </c>
      <c r="D53" s="1075">
        <v>0.25</v>
      </c>
      <c r="E53" s="649"/>
      <c r="F53" s="646">
        <f t="shared" si="15"/>
        <v>0</v>
      </c>
      <c r="G53" s="3510"/>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f t="shared" si="17"/>
        <v>0</v>
      </c>
      <c r="C54" s="175">
        <f t="shared" si="16"/>
        <v>0</v>
      </c>
      <c r="D54" s="1075">
        <v>0.25</v>
      </c>
      <c r="E54" s="649"/>
      <c r="F54" s="646">
        <f t="shared" si="15"/>
        <v>0</v>
      </c>
      <c r="G54" s="3510"/>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f t="shared" si="17"/>
        <v>0</v>
      </c>
      <c r="C55" s="175">
        <f t="shared" si="16"/>
        <v>0</v>
      </c>
      <c r="D55" s="1075">
        <v>0.25</v>
      </c>
      <c r="E55" s="649"/>
      <c r="F55" s="646">
        <f t="shared" si="15"/>
        <v>0</v>
      </c>
      <c r="G55" s="3510"/>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f t="shared" si="17"/>
        <v>0</v>
      </c>
      <c r="C56" s="175">
        <f t="shared" si="16"/>
        <v>0</v>
      </c>
      <c r="D56" s="1075">
        <v>0.25</v>
      </c>
      <c r="E56" s="222">
        <f>'数据-汇总表'!E11</f>
        <v>0</v>
      </c>
      <c r="F56" s="646">
        <f t="shared" si="15"/>
        <v>0</v>
      </c>
      <c r="G56" s="2141" t="s">
        <v>2535</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f t="shared" si="17"/>
        <v>63</v>
      </c>
      <c r="C57" s="175">
        <f t="shared" si="16"/>
        <v>0.2</v>
      </c>
      <c r="D57" s="1075">
        <v>0.25</v>
      </c>
      <c r="E57" s="222">
        <f>'数据-汇总表'!E12</f>
        <v>1802.78</v>
      </c>
      <c r="F57" s="646">
        <f t="shared" si="15"/>
        <v>11</v>
      </c>
      <c r="G57" s="1022" t="s">
        <v>6</v>
      </c>
      <c r="H57" s="1017" t="str">
        <f>IF(G57="商业",项目基本情况!B37,IF(G57="办公",项目基本情况!C37,IF(G57="住宅",项目基本情况!D37,项目基本情况!E37)))</f>
        <v>十级</v>
      </c>
      <c r="I57" s="878">
        <f>SUMIF(修正!A45:A56,H57,修正!G45:G56)</f>
        <v>0.2</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f t="shared" si="17"/>
        <v>0</v>
      </c>
      <c r="C58" s="175">
        <f t="shared" si="16"/>
        <v>0</v>
      </c>
      <c r="D58" s="1075">
        <v>0.25</v>
      </c>
      <c r="E58" s="222">
        <f>'数据-汇总表'!E13</f>
        <v>0</v>
      </c>
      <c r="F58" s="646">
        <f t="shared" si="15"/>
        <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f t="shared" si="17"/>
        <v>0</v>
      </c>
      <c r="C59" s="175">
        <f t="shared" si="16"/>
        <v>0</v>
      </c>
      <c r="D59" s="1075">
        <v>0.25</v>
      </c>
      <c r="E59" s="222">
        <f>'数据-汇总表'!E14</f>
        <v>0</v>
      </c>
      <c r="F59" s="646">
        <f t="shared" si="15"/>
        <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4.4" thickBot="1">
      <c r="A60" s="648" t="s">
        <v>2541</v>
      </c>
      <c r="B60" s="223">
        <f t="shared" si="17"/>
        <v>0</v>
      </c>
      <c r="C60" s="175">
        <f t="shared" si="16"/>
        <v>0</v>
      </c>
      <c r="D60" s="1075">
        <v>0.25</v>
      </c>
      <c r="E60" s="222">
        <f>'数据-汇总表'!E15</f>
        <v>0</v>
      </c>
      <c r="F60" s="646">
        <f t="shared" si="15"/>
        <v>0</v>
      </c>
      <c r="G60" s="2142" t="s">
        <v>2535</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4.4" thickBot="1">
      <c r="A61" s="650" t="s">
        <v>2542</v>
      </c>
      <c r="B61" s="651" t="s">
        <v>28</v>
      </c>
      <c r="C61" s="651" t="s">
        <v>29</v>
      </c>
      <c r="D61" s="651" t="s">
        <v>997</v>
      </c>
      <c r="E61" s="651">
        <f>IF(B41="楼面地价",SUM(E51:E60),'数据-汇总表'!D3)</f>
        <v>31250</v>
      </c>
      <c r="F61" s="652">
        <f>IF(B41="楼面地价",SUM(F51:F60),ROUND(C43*E61/10000,0))</f>
        <v>3953</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2.2"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4.4">
      <c r="A65" s="2143" t="s">
        <v>2543</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2" customFormat="1" ht="30.75" customHeight="1">
      <c r="A66" s="2148" t="s">
        <v>2562</v>
      </c>
      <c r="B66" s="293" t="str">
        <f>"北京市平均增长率"&amp;TEXT(基准地价修正!P24,"0.00%")</f>
        <v>北京市平均增长率1.18%</v>
      </c>
      <c r="C66" s="559">
        <v>100</v>
      </c>
      <c r="D66" s="551">
        <f>C66-$C$67</f>
        <v>100</v>
      </c>
      <c r="E66" s="551">
        <f t="shared" ref="E66:O66" si="20">D66-$C$67</f>
        <v>100</v>
      </c>
      <c r="F66" s="551">
        <f t="shared" si="20"/>
        <v>100</v>
      </c>
      <c r="G66" s="551">
        <f t="shared" si="20"/>
        <v>100</v>
      </c>
      <c r="H66" s="551">
        <f t="shared" si="20"/>
        <v>100</v>
      </c>
      <c r="I66" s="551">
        <f t="shared" si="20"/>
        <v>100</v>
      </c>
      <c r="J66" s="551">
        <f t="shared" si="20"/>
        <v>100</v>
      </c>
      <c r="K66" s="551">
        <f t="shared" si="20"/>
        <v>100</v>
      </c>
      <c r="L66" s="551">
        <f t="shared" si="20"/>
        <v>100</v>
      </c>
      <c r="M66" s="551">
        <f t="shared" si="20"/>
        <v>100</v>
      </c>
      <c r="N66" s="551">
        <f>M66-$C$67</f>
        <v>100</v>
      </c>
      <c r="O66" s="551">
        <f t="shared" si="20"/>
        <v>100</v>
      </c>
      <c r="P66" s="2936"/>
      <c r="Q66" s="2856"/>
      <c r="R66" s="2856"/>
      <c r="S66" s="2856"/>
      <c r="T66" s="2856"/>
      <c r="U66" s="2856"/>
      <c r="V66" s="2856"/>
      <c r="W66" s="2856"/>
      <c r="X66" s="2856"/>
      <c r="Y66" s="2856"/>
      <c r="Z66" s="2856"/>
      <c r="AA66" s="2856"/>
      <c r="AB66" s="2856"/>
      <c r="AC66" s="2856"/>
      <c r="AD66" s="2856"/>
      <c r="AE66" s="2856"/>
    </row>
    <row r="67" spans="1:31" s="112" customFormat="1" ht="15" thickBot="1">
      <c r="A67" s="471" t="s">
        <v>2346</v>
      </c>
      <c r="B67" s="472"/>
      <c r="C67" s="473">
        <v>0</v>
      </c>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2" customFormat="1" ht="14.4">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2" customFormat="1" ht="14.4"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ht="14.4">
      <c r="A70" s="483" t="s">
        <v>2349</v>
      </c>
      <c r="B70" s="484" t="s">
        <v>2315</v>
      </c>
      <c r="C70" s="3258" t="s">
        <v>3460</v>
      </c>
      <c r="D70" s="3258" t="s">
        <v>3475</v>
      </c>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90"/>
      <c r="B71" s="491"/>
      <c r="C71" s="492">
        <v>100</v>
      </c>
      <c r="D71" s="492">
        <v>105</v>
      </c>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90"/>
      <c r="B74" s="502" t="s">
        <v>2319</v>
      </c>
      <c r="C74" s="503" t="str">
        <f>C75&amp;"（含）"&amp;"-"&amp;D75</f>
        <v>0（含）-1</v>
      </c>
      <c r="D74" s="503" t="str">
        <f t="shared" ref="D74:L74" si="21">D75&amp;"（含）"&amp;"-"&amp;E75</f>
        <v>1（含）-2</v>
      </c>
      <c r="E74" s="503" t="str">
        <f t="shared" si="21"/>
        <v>2（含）-3</v>
      </c>
      <c r="F74" s="503" t="str">
        <f t="shared" si="21"/>
        <v>3（含）-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90"/>
      <c r="B75" s="504"/>
      <c r="C75" s="505">
        <v>0</v>
      </c>
      <c r="D75" s="505">
        <v>1</v>
      </c>
      <c r="E75" s="505">
        <v>2</v>
      </c>
      <c r="F75" s="505">
        <v>3</v>
      </c>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4.4"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4.4"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4.4"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4.4"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4.4"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4.4"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ht="14.4">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90"/>
      <c r="B84" s="499"/>
      <c r="C84" s="500">
        <v>100</v>
      </c>
      <c r="D84" s="500">
        <f>C84-$K15</f>
        <v>95</v>
      </c>
      <c r="E84" s="500">
        <f>D84-$K15</f>
        <v>90</v>
      </c>
      <c r="F84" s="500">
        <f>E84-$K15</f>
        <v>85</v>
      </c>
      <c r="G84" s="500">
        <f>F84-$K15</f>
        <v>80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90"/>
      <c r="B86" s="499"/>
      <c r="C86" s="500">
        <v>100</v>
      </c>
      <c r="D86" s="500">
        <f>C86-$K17</f>
        <v>97</v>
      </c>
      <c r="E86" s="500">
        <f>D86-$K17</f>
        <v>94</v>
      </c>
      <c r="F86" s="500">
        <f>E86-$K17</f>
        <v>91</v>
      </c>
      <c r="G86" s="500">
        <f>F86-$K17</f>
        <v>88</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2" customFormat="1" ht="29.4"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2" customFormat="1" ht="14.4" thickBot="1">
      <c r="A88" s="535"/>
      <c r="B88" s="499"/>
      <c r="C88" s="538">
        <v>100</v>
      </c>
      <c r="D88" s="500">
        <f>C88-$K19</f>
        <v>98</v>
      </c>
      <c r="E88" s="500">
        <f>D88-$K19</f>
        <v>96</v>
      </c>
      <c r="F88" s="500">
        <f>E88-$K19</f>
        <v>94</v>
      </c>
      <c r="G88" s="500">
        <f>F88-$K19</f>
        <v>92</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2" customFormat="1" ht="29.4"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2" customFormat="1" ht="14.4" thickBot="1">
      <c r="A90" s="535"/>
      <c r="B90" s="499"/>
      <c r="C90" s="500">
        <v>100</v>
      </c>
      <c r="D90" s="500">
        <f>C90-$K21</f>
        <v>97</v>
      </c>
      <c r="E90" s="500">
        <f>D90-$K21</f>
        <v>94</v>
      </c>
      <c r="F90" s="500">
        <f>E90-$K21</f>
        <v>91</v>
      </c>
      <c r="G90" s="500">
        <f>F90-$K21</f>
        <v>88</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4.4" thickBot="1">
      <c r="A92" s="509"/>
      <c r="B92" s="499"/>
      <c r="C92" s="500">
        <v>100</v>
      </c>
      <c r="D92" s="500">
        <f>C92-$K23</f>
        <v>97</v>
      </c>
      <c r="E92" s="500">
        <f>D92-$K23</f>
        <v>94</v>
      </c>
      <c r="F92" s="500">
        <f>E92-$K23</f>
        <v>91</v>
      </c>
      <c r="G92" s="500">
        <f>F92-$K23</f>
        <v>88</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 thickTop="1">
      <c r="A93" s="509"/>
      <c r="B93" s="502" t="s">
        <v>2563</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4.4" thickBot="1">
      <c r="A94" s="509"/>
      <c r="B94" s="502"/>
      <c r="C94" s="500">
        <v>100</v>
      </c>
      <c r="D94" s="500">
        <f>C94-$K25</f>
        <v>99</v>
      </c>
      <c r="E94" s="500">
        <f>D94-$K25</f>
        <v>98</v>
      </c>
      <c r="F94" s="500">
        <f>E94-$K25</f>
        <v>97</v>
      </c>
      <c r="G94" s="500">
        <f>F94-$K25</f>
        <v>96</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4.4"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4.4"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7.6">
      <c r="A107" s="483" t="s">
        <v>2324</v>
      </c>
      <c r="B107" s="484" t="s">
        <v>2552</v>
      </c>
      <c r="C107" s="485" t="str">
        <f t="shared" ref="C107:L107" si="26">C108&amp;"(含)"&amp;"-"&amp;D108</f>
        <v>0(含)-50000</v>
      </c>
      <c r="D107" s="485" t="str">
        <f t="shared" si="26"/>
        <v>50000(含)-100000</v>
      </c>
      <c r="E107" s="485" t="str">
        <f t="shared" si="26"/>
        <v>100000(含)-150000</v>
      </c>
      <c r="F107" s="485" t="str">
        <f t="shared" si="26"/>
        <v>150000(含)-</v>
      </c>
      <c r="G107" s="485" t="str">
        <f t="shared" si="26"/>
        <v>(含)-</v>
      </c>
      <c r="H107" s="485" t="str">
        <f t="shared" si="26"/>
        <v>(含)-</v>
      </c>
      <c r="I107" s="485" t="str">
        <f t="shared" si="26"/>
        <v>(含)-</v>
      </c>
      <c r="J107" s="485" t="str">
        <f t="shared" si="26"/>
        <v>(含)-</v>
      </c>
      <c r="K107" s="1471" t="str">
        <f t="shared" si="26"/>
        <v>(含)-</v>
      </c>
      <c r="L107" s="1471" t="str">
        <f t="shared" si="26"/>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90"/>
      <c r="B108" s="502"/>
      <c r="C108" s="551">
        <v>0</v>
      </c>
      <c r="D108" s="551">
        <v>50000</v>
      </c>
      <c r="E108" s="551">
        <v>100000</v>
      </c>
      <c r="F108" s="551">
        <v>150000</v>
      </c>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90"/>
      <c r="B109" s="499"/>
      <c r="C109" s="526">
        <v>100</v>
      </c>
      <c r="D109" s="547">
        <v>101</v>
      </c>
      <c r="E109" s="547">
        <v>102</v>
      </c>
      <c r="F109" s="547">
        <v>103</v>
      </c>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3261" t="s">
        <v>3479</v>
      </c>
      <c r="D110" s="3261" t="s">
        <v>3481</v>
      </c>
      <c r="E110" s="3261" t="s">
        <v>3482</v>
      </c>
      <c r="F110" s="3261" t="s">
        <v>3483</v>
      </c>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3251" t="s">
        <v>3469</v>
      </c>
      <c r="D112" s="3251" t="s">
        <v>3470</v>
      </c>
      <c r="E112" s="3251" t="s">
        <v>3430</v>
      </c>
      <c r="F112" s="3251" t="s">
        <v>3432</v>
      </c>
      <c r="G112" s="3251" t="s">
        <v>3434</v>
      </c>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4.4" thickBot="1">
      <c r="A113" s="509"/>
      <c r="B113" s="499"/>
      <c r="C113" s="500">
        <v>100</v>
      </c>
      <c r="D113" s="500">
        <f t="shared" ref="D113:M113" si="28">C113-$K36</f>
        <v>99.5</v>
      </c>
      <c r="E113" s="500">
        <f t="shared" si="28"/>
        <v>99</v>
      </c>
      <c r="F113" s="500">
        <f t="shared" si="28"/>
        <v>98.5</v>
      </c>
      <c r="G113" s="500">
        <f t="shared" si="28"/>
        <v>98</v>
      </c>
      <c r="H113" s="500">
        <f t="shared" si="28"/>
        <v>97.5</v>
      </c>
      <c r="I113" s="500">
        <f t="shared" si="28"/>
        <v>97</v>
      </c>
      <c r="J113" s="500">
        <f t="shared" si="28"/>
        <v>96.5</v>
      </c>
      <c r="K113" s="500">
        <f t="shared" si="28"/>
        <v>96</v>
      </c>
      <c r="L113" s="500">
        <f t="shared" si="28"/>
        <v>95.5</v>
      </c>
      <c r="M113" s="501">
        <f t="shared" si="28"/>
        <v>95</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3251" t="s">
        <v>3467</v>
      </c>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4.4"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4.4"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2087</v>
      </c>
      <c r="B1" s="1622"/>
      <c r="C1" s="2013"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5521</v>
      </c>
      <c r="C2" s="204" t="s">
        <v>2089</v>
      </c>
      <c r="D2" s="2007" t="s">
        <v>70</v>
      </c>
      <c r="E2" s="1302"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2219</v>
      </c>
      <c r="C3" s="204" t="s">
        <v>2091</v>
      </c>
      <c r="D3" s="204"/>
      <c r="E3" s="204"/>
      <c r="F3" s="204"/>
      <c r="G3" s="204"/>
    </row>
    <row r="4" spans="1:8" s="213" customFormat="1" ht="16.2">
      <c r="A4" s="210" t="s">
        <v>2092</v>
      </c>
      <c r="B4" s="211"/>
      <c r="C4" s="211"/>
      <c r="D4" s="211"/>
      <c r="E4" s="211"/>
      <c r="F4" s="211"/>
      <c r="G4" s="212"/>
    </row>
    <row r="5" spans="1:8" s="219" customFormat="1" ht="13.5" customHeight="1">
      <c r="A5" s="260" t="s">
        <v>2093</v>
      </c>
      <c r="B5" s="215" t="s">
        <v>2094</v>
      </c>
      <c r="C5" s="216">
        <f ca="1">C6+C7+C8</f>
        <v>4727348</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4727348</v>
      </c>
      <c r="D8" s="227"/>
      <c r="E8" s="225"/>
      <c r="F8" s="226"/>
      <c r="G8" s="2010"/>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4727348</v>
      </c>
      <c r="D10" s="953">
        <f ca="1">IF(B1="",'数据-汇总表'!E6,IF(INDIRECT("'数据-取费表'!c"&amp;$G$1)="住宅",INDIRECT("'数据-取费表'!s"&amp;$G$1),INDIRECT("'数据-取费表'!k"&amp;$G$1)+INDIRECT("'数据-取费表'!s"&amp;$G$1)))</f>
        <v>24880.78</v>
      </c>
      <c r="E10" s="230">
        <f>'数据-取费表'!B28</f>
        <v>190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4976156</v>
      </c>
      <c r="D19" s="957">
        <f ca="1">D9+D10</f>
        <v>24880.78</v>
      </c>
      <c r="E19" s="216">
        <f>'数据-取费表'!B31</f>
        <v>200</v>
      </c>
      <c r="F19" s="236"/>
      <c r="G19" s="2010"/>
    </row>
    <row r="20" spans="1:7" s="219" customFormat="1" ht="13.5" customHeight="1">
      <c r="A20" s="260" t="s">
        <v>2200</v>
      </c>
      <c r="B20" s="215" t="s">
        <v>2201</v>
      </c>
      <c r="C20" s="237">
        <f ca="1">ROUND((C5+C19)*F20,0)</f>
        <v>97035</v>
      </c>
      <c r="D20" s="237"/>
      <c r="E20" s="237"/>
      <c r="F20" s="238">
        <f>'数据-取费表'!B37</f>
        <v>0.01</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643139</v>
      </c>
      <c r="D22" s="240">
        <f ca="1">C26</f>
        <v>2.9999999999999997E-4</v>
      </c>
      <c r="E22" s="241" t="s">
        <v>2205</v>
      </c>
      <c r="F22" s="242">
        <f ca="1">'数据-取费表'!B40</f>
        <v>4.3499999999999997E-2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311790</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328200</v>
      </c>
      <c r="D24" s="243"/>
      <c r="E24" s="243"/>
      <c r="F24" s="244"/>
      <c r="G24" s="245" t="s">
        <v>2212</v>
      </c>
    </row>
    <row r="25" spans="1:7" s="219" customFormat="1" ht="24">
      <c r="A25" s="887" t="s">
        <v>2102</v>
      </c>
      <c r="B25" s="220" t="s">
        <v>2213</v>
      </c>
      <c r="C25" s="1261">
        <f ca="1">ROUND(IF('数据-取费表'!B22&lt;=1,C20*F22*'数据-取费表'!B22/2,C20*(POWER((1+F22),'数据-取费表'!B22/2)-1)),0)</f>
        <v>3149</v>
      </c>
      <c r="D25" s="243"/>
      <c r="E25" s="246"/>
      <c r="F25" s="244"/>
      <c r="G25" s="247" t="s">
        <v>2214</v>
      </c>
    </row>
    <row r="26" spans="1:7" s="219" customFormat="1">
      <c r="A26" s="887" t="s">
        <v>795</v>
      </c>
      <c r="B26" s="220" t="s">
        <v>2137</v>
      </c>
      <c r="C26" s="243">
        <f ca="1">ROUND(IF('数据-取费表'!B22&lt;=1,F21*F22*'数据-取费表'!B22/2,F21*(POWER((1+F22),'数据-取费表'!B22/2)-1)),4)</f>
        <v>2.9999999999999997E-4</v>
      </c>
      <c r="D26" s="243"/>
      <c r="E26" s="246"/>
      <c r="F26" s="244"/>
      <c r="G26" s="248"/>
    </row>
    <row r="27" spans="1:7" s="219" customFormat="1" ht="26.4">
      <c r="A27" s="260" t="s">
        <v>2138</v>
      </c>
      <c r="B27" s="249" t="s">
        <v>2139</v>
      </c>
      <c r="C27" s="250">
        <f ca="1">C28</f>
        <v>980054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980054</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12200931</v>
      </c>
      <c r="D31" s="235"/>
      <c r="E31" s="216"/>
      <c r="F31" s="255"/>
      <c r="G31" s="239" t="s">
        <v>2148</v>
      </c>
    </row>
    <row r="32" spans="1:7" s="213" customFormat="1" ht="16.2">
      <c r="A32" s="257" t="s">
        <v>2215</v>
      </c>
      <c r="B32" s="258"/>
      <c r="C32" s="258"/>
      <c r="D32" s="258"/>
      <c r="E32" s="258"/>
      <c r="F32" s="258"/>
      <c r="G32" s="259"/>
    </row>
    <row r="33" spans="1:7" s="219" customFormat="1" ht="13.5" customHeight="1">
      <c r="A33" s="260" t="s">
        <v>782</v>
      </c>
      <c r="B33" s="215" t="s">
        <v>2216</v>
      </c>
      <c r="C33" s="261">
        <f ca="1">SUM(C34:C38)</f>
        <v>51776903</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44785404</v>
      </c>
      <c r="D34" s="222"/>
      <c r="E34" s="225"/>
      <c r="F34" s="262"/>
      <c r="G34" s="224"/>
    </row>
    <row r="35" spans="1:7" ht="13.5" customHeight="1">
      <c r="A35" s="887" t="s">
        <v>796</v>
      </c>
      <c r="B35" s="220" t="s">
        <v>2153</v>
      </c>
      <c r="C35" s="225">
        <f ca="1">ROUND(C34*F35,0)</f>
        <v>1343562</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4976156</v>
      </c>
      <c r="D37" s="222">
        <f ca="1">D19</f>
        <v>24880.78</v>
      </c>
      <c r="E37" s="254">
        <f>'数据-取费表'!B35</f>
        <v>200</v>
      </c>
      <c r="F37" s="264"/>
      <c r="G37" s="266"/>
    </row>
    <row r="38" spans="1:7" ht="13.5" customHeight="1">
      <c r="A38" s="887" t="s">
        <v>799</v>
      </c>
      <c r="B38" s="220" t="s">
        <v>2159</v>
      </c>
      <c r="C38" s="225">
        <f ca="1">ROUND(C34*F38,0)</f>
        <v>671781</v>
      </c>
      <c r="D38" s="225"/>
      <c r="E38" s="225"/>
      <c r="F38" s="264">
        <f>'数据-取费表'!B36</f>
        <v>1.4999999999999999E-2</v>
      </c>
      <c r="G38" s="224" t="s">
        <v>2154</v>
      </c>
    </row>
    <row r="39" spans="1:7" s="219" customFormat="1" ht="13.5" customHeight="1">
      <c r="A39" s="260" t="s">
        <v>2160</v>
      </c>
      <c r="B39" s="215" t="s">
        <v>2161</v>
      </c>
      <c r="C39" s="237">
        <f ca="1">ROUND(C33*F20,0)</f>
        <v>517769</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1697001</v>
      </c>
      <c r="D41" s="240">
        <f ca="1">C44</f>
        <v>2.9999999999999997E-4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1680199</v>
      </c>
      <c r="D42" s="243"/>
      <c r="E42" s="243"/>
      <c r="F42" s="244"/>
      <c r="G42" s="3452" t="s">
        <v>2217</v>
      </c>
    </row>
    <row r="43" spans="1:7" ht="13.5" customHeight="1">
      <c r="A43" s="887" t="s">
        <v>792</v>
      </c>
      <c r="B43" s="220" t="s">
        <v>2171</v>
      </c>
      <c r="C43" s="243">
        <f ca="1">ROUND(IF('数据-取费表'!B22&lt;=1,C39*F22*'数据-取费表'!B20/2,C39*(POWER((1+F22),'数据-取费表'!B20/2)-1)),0)</f>
        <v>16802</v>
      </c>
      <c r="D43" s="243"/>
      <c r="E43" s="243"/>
      <c r="F43" s="244"/>
      <c r="G43" s="3453"/>
    </row>
    <row r="44" spans="1:7" ht="13.5" customHeight="1">
      <c r="A44" s="887" t="s">
        <v>793</v>
      </c>
      <c r="B44" s="220" t="s">
        <v>2172</v>
      </c>
      <c r="C44" s="243">
        <f ca="1">ROUND(IF('数据-取费表'!B22&lt;=1,C40*F22*'数据-取费表'!B20/2,C40*(POWER((1+F22),'数据-取费表'!B20/2)-1)),4)</f>
        <v>2.9999999999999997E-4</v>
      </c>
      <c r="D44" s="243"/>
      <c r="E44" s="243"/>
      <c r="F44" s="244"/>
      <c r="G44" s="3454"/>
    </row>
    <row r="45" spans="1:7" s="219" customFormat="1" ht="13.5" customHeight="1">
      <c r="A45" s="260" t="s">
        <v>2173</v>
      </c>
      <c r="B45" s="249" t="s">
        <v>2139</v>
      </c>
      <c r="C45" s="250">
        <f ca="1">C46</f>
        <v>5229467</v>
      </c>
      <c r="D45" s="240">
        <f ca="1">C47</f>
        <v>1E-3</v>
      </c>
      <c r="E45" s="241" t="s">
        <v>2165</v>
      </c>
      <c r="F45" s="2505">
        <f ca="1">F27</f>
        <v>0.1</v>
      </c>
      <c r="G45" s="252" t="s">
        <v>2174</v>
      </c>
    </row>
    <row r="46" spans="1:7" s="219" customFormat="1" ht="13.5" customHeight="1">
      <c r="A46" s="887" t="s">
        <v>791</v>
      </c>
      <c r="B46" s="253" t="s">
        <v>2175</v>
      </c>
      <c r="C46" s="254">
        <f ca="1">ROUND((C33+C39)*F27,0)</f>
        <v>5229467</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4">
        <f>F30</f>
        <v>5.5000000000000007E-2</v>
      </c>
      <c r="G48" s="239" t="s">
        <v>2178</v>
      </c>
    </row>
    <row r="49" spans="1:7" ht="16.5" customHeight="1">
      <c r="A49" s="260" t="s">
        <v>2144</v>
      </c>
      <c r="B49" s="215" t="s">
        <v>2218</v>
      </c>
      <c r="C49" s="237">
        <f ca="1">ROUND((C33+C39+C41+C45)/(1-C40-D41-D45-C48),0)</f>
        <v>63250176</v>
      </c>
      <c r="D49" s="237"/>
      <c r="E49" s="237"/>
      <c r="F49" s="269"/>
      <c r="G49" s="239" t="s">
        <v>2180</v>
      </c>
    </row>
    <row r="50" spans="1:7" s="263" customFormat="1">
      <c r="A50" s="260" t="s">
        <v>2181</v>
      </c>
      <c r="B50" s="215" t="s">
        <v>2182</v>
      </c>
      <c r="C50" s="237"/>
      <c r="D50" s="237"/>
      <c r="E50" s="237"/>
      <c r="F50" s="269">
        <f>IF('数据-取费表'!B24=0,'数据-取费表'!N16,1)</f>
        <v>0.68</v>
      </c>
      <c r="G50" s="252"/>
    </row>
    <row r="51" spans="1:7" ht="16.5" customHeight="1">
      <c r="A51" s="260" t="s">
        <v>2184</v>
      </c>
      <c r="B51" s="215" t="s">
        <v>2219</v>
      </c>
      <c r="C51" s="237">
        <f ca="1">ROUND(C49*F50,0)</f>
        <v>43010120</v>
      </c>
      <c r="D51" s="237"/>
      <c r="E51" s="237"/>
      <c r="F51" s="269"/>
      <c r="G51" s="239" t="s">
        <v>2186</v>
      </c>
    </row>
    <row r="52" spans="1:7" s="213" customFormat="1" ht="16.8" thickBot="1">
      <c r="A52" s="270" t="s">
        <v>2187</v>
      </c>
      <c r="B52" s="271"/>
      <c r="C52" s="272">
        <f ca="1">C31+C51</f>
        <v>55211051</v>
      </c>
      <c r="D52" s="271"/>
      <c r="E52" s="271"/>
      <c r="F52" s="271"/>
      <c r="G52" s="273"/>
    </row>
    <row r="55" spans="1:7" ht="15">
      <c r="B55" s="275" t="s">
        <v>2188</v>
      </c>
      <c r="C55" s="276"/>
    </row>
    <row r="56" spans="1:7">
      <c r="B56" s="278" t="s">
        <v>1418</v>
      </c>
      <c r="C56" s="280">
        <f ca="1">1-C57</f>
        <v>0.22099999999999997</v>
      </c>
    </row>
    <row r="57" spans="1:7">
      <c r="B57" s="278" t="s">
        <v>1419</v>
      </c>
      <c r="C57" s="279">
        <f ca="1">ROUND(C51/C52,3)</f>
        <v>0.77900000000000003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1" t="s">
        <v>2220</v>
      </c>
      <c r="B1" s="1323"/>
      <c r="C1" s="1324"/>
      <c r="D1" s="1322"/>
      <c r="E1" s="3005"/>
      <c r="F1" s="3005"/>
      <c r="G1" s="2868"/>
      <c r="H1" s="3005"/>
      <c r="I1" s="3005"/>
      <c r="J1" s="3005"/>
      <c r="K1" s="3006">
        <f>MATCH(C1,'数据-取费表'!A6:A16,0)+5</f>
        <v>7</v>
      </c>
    </row>
    <row r="2" spans="1:33" ht="18" customHeight="1">
      <c r="A2" s="206" t="s">
        <v>2088</v>
      </c>
      <c r="B2" s="209">
        <f ca="1">C32</f>
        <v>0</v>
      </c>
      <c r="C2" s="281" t="s">
        <v>2221</v>
      </c>
      <c r="D2" s="281"/>
      <c r="E2" s="3005"/>
      <c r="F2" s="3005"/>
      <c r="G2" s="3005"/>
      <c r="H2" s="3005"/>
      <c r="I2" s="3005"/>
      <c r="J2" s="3005"/>
      <c r="K2" s="3005"/>
    </row>
    <row r="3" spans="1:33" ht="18" customHeight="1" thickBot="1">
      <c r="A3" s="208" t="s">
        <v>2090</v>
      </c>
      <c r="B3" s="209">
        <f ca="1">ROUND(B2*10000/IF(C1="",'数据-汇总表'!E3,INDIRECT("'数据-取费表'!K"&amp;$K$1)),0)</f>
        <v>0</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5.2">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24880.78</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24880.78</v>
      </c>
      <c r="E17" s="23">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6"/>
      <c r="H18" s="1319"/>
      <c r="I18" s="2017"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1"/>
      <c r="I19" s="917"/>
      <c r="J19" s="917"/>
      <c r="K19" s="918"/>
    </row>
    <row r="20" spans="1:33" s="911" customFormat="1" ht="13.5" customHeight="1">
      <c r="A20" s="907" t="s">
        <v>806</v>
      </c>
      <c r="B20" s="908" t="s">
        <v>2256</v>
      </c>
      <c r="C20" s="23">
        <f ca="1">ROUND(D20*E20/10000,0)</f>
        <v>473</v>
      </c>
      <c r="D20" s="954">
        <f ca="1">IF(C1="",'数据-汇总表'!E6,IF(INDIRECT("'数据-取费表'!c"&amp;$K$1)="住宅",INDIRECT("'数据-取费表'!s"&amp;$K$1),INDIRECT("'数据-取费表'!k"&amp;$K$1)+INDIRECT("'数据-取费表'!s"&amp;$K$1)))</f>
        <v>24880.78</v>
      </c>
      <c r="E20" s="23">
        <f>'数据-取费表'!B28</f>
        <v>190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0.01</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abSelected="1" topLeftCell="A208" zoomScale="90" zoomScaleNormal="90" workbookViewId="0">
      <selection activeCell="A240" sqref="A240"/>
    </sheetView>
  </sheetViews>
  <sheetFormatPr defaultColWidth="9" defaultRowHeight="15.6"/>
  <cols>
    <col min="1" max="1" width="24.88671875" style="3208" customWidth="1"/>
    <col min="2" max="2" width="8.6640625" style="3208" customWidth="1"/>
    <col min="3" max="3" width="6.6640625" style="3208" customWidth="1"/>
    <col min="4" max="4" width="10.77734375" style="3208" customWidth="1"/>
    <col min="5" max="5" width="10.21875" style="3208" customWidth="1"/>
    <col min="6" max="6" width="10.88671875" style="3208" customWidth="1"/>
    <col min="7" max="7" width="9.44140625" style="3208" customWidth="1"/>
    <col min="8" max="8" width="5.77734375" style="3208" customWidth="1"/>
    <col min="9" max="9" width="14.44140625" style="3208" customWidth="1"/>
    <col min="10" max="10" width="5.88671875" style="3208" customWidth="1"/>
    <col min="11" max="11" width="11.109375" style="3208" customWidth="1"/>
    <col min="12" max="12" width="6.44140625" style="3208" customWidth="1"/>
    <col min="13" max="13" width="8.77734375" style="3208" customWidth="1"/>
    <col min="14" max="14" width="9.6640625" style="3208" customWidth="1"/>
    <col min="15" max="15" width="6.6640625" style="3208" customWidth="1"/>
    <col min="16" max="16" width="8.88671875" style="3208" customWidth="1"/>
    <col min="17" max="17" width="9.33203125" style="3208" customWidth="1"/>
    <col min="18" max="18" width="9.21875" style="3208" customWidth="1"/>
    <col min="19" max="19" width="8.109375" style="3208" customWidth="1"/>
    <col min="20" max="20" width="8.21875" style="3208" customWidth="1"/>
    <col min="21" max="21" width="5.77734375" style="3208" customWidth="1"/>
    <col min="22" max="22" width="10.21875" style="3208" customWidth="1"/>
    <col min="23" max="23" width="10.33203125" style="3208" customWidth="1"/>
    <col min="24" max="24" width="12.44140625" style="3208" customWidth="1"/>
    <col min="25" max="16384" width="9" style="3208"/>
  </cols>
  <sheetData>
    <row r="1" spans="1:26">
      <c r="A1" s="3208" t="s">
        <v>3178</v>
      </c>
      <c r="B1" s="3208" t="s">
        <v>3179</v>
      </c>
      <c r="C1" s="3208" t="s">
        <v>3180</v>
      </c>
      <c r="D1" s="3208" t="s">
        <v>3181</v>
      </c>
      <c r="E1" s="3208" t="s">
        <v>3182</v>
      </c>
      <c r="F1" s="3208" t="s">
        <v>3183</v>
      </c>
      <c r="G1" s="3208" t="s">
        <v>3184</v>
      </c>
      <c r="H1" s="3208" t="s">
        <v>3185</v>
      </c>
      <c r="I1" s="3208" t="s">
        <v>3186</v>
      </c>
      <c r="J1" s="3208" t="s">
        <v>3187</v>
      </c>
      <c r="K1" s="3208" t="s">
        <v>3188</v>
      </c>
      <c r="L1" s="3208" t="s">
        <v>3189</v>
      </c>
      <c r="M1" s="3208" t="s">
        <v>3190</v>
      </c>
      <c r="N1" s="3208" t="s">
        <v>3191</v>
      </c>
      <c r="O1" s="3208" t="s">
        <v>3192</v>
      </c>
      <c r="P1" s="3208" t="s">
        <v>3193</v>
      </c>
      <c r="Q1" s="3208" t="s">
        <v>3194</v>
      </c>
      <c r="R1" s="3208" t="s">
        <v>3195</v>
      </c>
      <c r="S1" s="3208" t="s">
        <v>3196</v>
      </c>
      <c r="T1" s="3208" t="s">
        <v>3197</v>
      </c>
      <c r="U1" s="3208" t="s">
        <v>3198</v>
      </c>
      <c r="V1" s="3208" t="s">
        <v>3199</v>
      </c>
      <c r="Y1" s="3208">
        <v>1.35</v>
      </c>
      <c r="Z1" s="3208">
        <v>0.83799999999999997</v>
      </c>
    </row>
    <row r="2" spans="1:26">
      <c r="A2" s="3208" t="s">
        <v>3200</v>
      </c>
      <c r="B2" s="3208" t="s">
        <v>3201</v>
      </c>
      <c r="C2" s="3208" t="s">
        <v>3159</v>
      </c>
      <c r="D2" s="3208" t="s">
        <v>3202</v>
      </c>
      <c r="E2" s="3208">
        <v>95015.4</v>
      </c>
      <c r="F2" s="3208">
        <v>180529.26</v>
      </c>
      <c r="G2" s="3208">
        <v>1.9</v>
      </c>
      <c r="H2" s="3208" t="s">
        <v>3203</v>
      </c>
      <c r="I2" s="3208" t="s">
        <v>3204</v>
      </c>
      <c r="J2" s="3208" t="s">
        <v>3205</v>
      </c>
      <c r="K2" s="3209">
        <v>44554</v>
      </c>
      <c r="L2" s="3208" t="s">
        <v>3206</v>
      </c>
      <c r="M2" s="3208" t="s">
        <v>3207</v>
      </c>
      <c r="N2" s="3208">
        <v>10308.209999999999</v>
      </c>
      <c r="O2" s="3208">
        <v>2577</v>
      </c>
      <c r="P2" s="3208">
        <v>10308.209999999999</v>
      </c>
      <c r="Q2" s="3208">
        <v>72.33</v>
      </c>
      <c r="R2" s="3208">
        <v>72.33</v>
      </c>
      <c r="S2" s="3208">
        <v>571</v>
      </c>
      <c r="T2" s="3208">
        <v>571</v>
      </c>
      <c r="U2" s="3208">
        <v>0</v>
      </c>
      <c r="V2" s="3208">
        <v>20</v>
      </c>
      <c r="W2" s="3208">
        <f>ROUND(T2*年期修正系数!$G$9,0)</f>
        <v>867</v>
      </c>
      <c r="Y2" s="3208">
        <v>1.4</v>
      </c>
      <c r="Z2" s="3208">
        <v>0.82379999999999998</v>
      </c>
    </row>
    <row r="3" spans="1:26" s="3249" customFormat="1">
      <c r="A3" s="3249" t="s">
        <v>3472</v>
      </c>
      <c r="B3" s="3249" t="s">
        <v>3208</v>
      </c>
      <c r="C3" s="3249" t="s">
        <v>3159</v>
      </c>
      <c r="D3" s="3249" t="s">
        <v>3202</v>
      </c>
      <c r="E3" s="3249">
        <v>23200</v>
      </c>
      <c r="F3" s="3249">
        <v>32480</v>
      </c>
      <c r="G3" s="3249">
        <v>1.4</v>
      </c>
      <c r="H3" s="3249" t="s">
        <v>3209</v>
      </c>
      <c r="I3" s="3249" t="s">
        <v>3210</v>
      </c>
      <c r="J3" s="3249" t="s">
        <v>3205</v>
      </c>
      <c r="K3" s="3250">
        <v>44487</v>
      </c>
      <c r="L3" s="3249" t="s">
        <v>3206</v>
      </c>
      <c r="M3" s="3249" t="s">
        <v>3211</v>
      </c>
      <c r="N3" s="3249">
        <v>2150.17</v>
      </c>
      <c r="O3" s="3249">
        <v>440</v>
      </c>
      <c r="P3" s="3249">
        <v>2150.17</v>
      </c>
      <c r="Q3" s="3249">
        <v>61.79</v>
      </c>
      <c r="R3" s="3249">
        <v>61.79</v>
      </c>
      <c r="S3" s="3249">
        <v>662</v>
      </c>
      <c r="T3" s="3249">
        <v>662</v>
      </c>
      <c r="U3" s="3249">
        <v>0</v>
      </c>
      <c r="V3" s="3249" t="s">
        <v>3212</v>
      </c>
      <c r="W3" s="3249">
        <f>ROUND(T3*年期修正系数!$G$9,0)</f>
        <v>1006</v>
      </c>
      <c r="X3" s="3249">
        <f>ROUND(W3/Z2,0)</f>
        <v>1221</v>
      </c>
    </row>
    <row r="4" spans="1:26">
      <c r="A4" s="3208" t="s">
        <v>3213</v>
      </c>
      <c r="B4" s="3208" t="s">
        <v>3214</v>
      </c>
      <c r="C4" s="3208" t="s">
        <v>3159</v>
      </c>
      <c r="D4" s="3208" t="s">
        <v>3202</v>
      </c>
      <c r="E4" s="3208">
        <v>57488.82</v>
      </c>
      <c r="F4" s="3208">
        <v>86233.23</v>
      </c>
      <c r="G4" s="3208" t="s">
        <v>3215</v>
      </c>
      <c r="H4" s="3208" t="s">
        <v>3203</v>
      </c>
      <c r="I4" s="3208" t="s">
        <v>3210</v>
      </c>
      <c r="J4" s="3208" t="s">
        <v>3205</v>
      </c>
      <c r="K4" s="3209">
        <v>44480</v>
      </c>
      <c r="L4" s="3208" t="s">
        <v>3206</v>
      </c>
      <c r="M4" s="3208" t="s">
        <v>3216</v>
      </c>
      <c r="N4" s="3208">
        <v>7835.68</v>
      </c>
      <c r="O4" s="3208">
        <v>1600</v>
      </c>
      <c r="P4" s="3208">
        <v>7835.68</v>
      </c>
      <c r="Q4" s="3208">
        <v>90.87</v>
      </c>
      <c r="R4" s="3208">
        <v>90.87</v>
      </c>
      <c r="S4" s="3208">
        <v>909</v>
      </c>
      <c r="T4" s="3208">
        <v>909</v>
      </c>
      <c r="U4" s="3208">
        <v>0</v>
      </c>
      <c r="V4" s="3208" t="s">
        <v>3217</v>
      </c>
      <c r="W4" s="3208">
        <f>ROUND(T4*年期修正系数!$G$9,0)</f>
        <v>1381</v>
      </c>
    </row>
    <row r="5" spans="1:26">
      <c r="A5" s="3208" t="s">
        <v>3218</v>
      </c>
      <c r="B5" s="3208" t="s">
        <v>3219</v>
      </c>
      <c r="C5" s="3208" t="s">
        <v>3159</v>
      </c>
      <c r="D5" s="3208" t="s">
        <v>3202</v>
      </c>
      <c r="E5" s="3208">
        <v>7422.43</v>
      </c>
      <c r="F5" s="3208">
        <v>5937.95</v>
      </c>
      <c r="G5" s="3208" t="s">
        <v>3220</v>
      </c>
      <c r="H5" s="3208" t="s">
        <v>3203</v>
      </c>
      <c r="I5" s="3208" t="s">
        <v>3210</v>
      </c>
      <c r="J5" s="3208" t="s">
        <v>3205</v>
      </c>
      <c r="K5" s="3209">
        <v>44480</v>
      </c>
      <c r="L5" s="3208" t="s">
        <v>3206</v>
      </c>
      <c r="M5" s="3208" t="s">
        <v>3221</v>
      </c>
      <c r="N5" s="3208">
        <v>844.62</v>
      </c>
      <c r="O5" s="3208">
        <v>170</v>
      </c>
      <c r="P5" s="3208">
        <v>844.62</v>
      </c>
      <c r="Q5" s="3208">
        <v>75.86</v>
      </c>
      <c r="R5" s="3208">
        <v>75.86</v>
      </c>
      <c r="S5" s="3208">
        <v>1422</v>
      </c>
      <c r="T5" s="3208">
        <v>1422</v>
      </c>
      <c r="U5" s="3208">
        <v>0</v>
      </c>
      <c r="V5" s="3208" t="s">
        <v>3217</v>
      </c>
      <c r="W5" s="3208">
        <f>ROUND(T5*年期修正系数!$G$9,0)</f>
        <v>2160</v>
      </c>
    </row>
    <row r="6" spans="1:26" s="3249" customFormat="1">
      <c r="A6" s="3249" t="s">
        <v>3473</v>
      </c>
      <c r="B6" s="3249" t="s">
        <v>3222</v>
      </c>
      <c r="C6" s="3249" t="s">
        <v>3159</v>
      </c>
      <c r="D6" s="3249" t="s">
        <v>3202</v>
      </c>
      <c r="E6" s="3249">
        <v>23652.31</v>
      </c>
      <c r="F6" s="3249">
        <v>23652.31</v>
      </c>
      <c r="G6" s="3249">
        <v>1</v>
      </c>
      <c r="H6" s="3249" t="s">
        <v>3203</v>
      </c>
      <c r="I6" s="3249" t="s">
        <v>3210</v>
      </c>
      <c r="J6" s="3249" t="s">
        <v>3205</v>
      </c>
      <c r="K6" s="3250">
        <v>44480</v>
      </c>
      <c r="L6" s="3249" t="s">
        <v>3206</v>
      </c>
      <c r="M6" s="3249" t="s">
        <v>3223</v>
      </c>
      <c r="N6" s="3249">
        <v>2689.59</v>
      </c>
      <c r="O6" s="3249">
        <v>550</v>
      </c>
      <c r="P6" s="3249">
        <v>2689.59</v>
      </c>
      <c r="Q6" s="3249">
        <v>75.81</v>
      </c>
      <c r="R6" s="3249">
        <v>75.81</v>
      </c>
      <c r="S6" s="3249">
        <v>1137</v>
      </c>
      <c r="T6" s="3249">
        <v>1137</v>
      </c>
      <c r="U6" s="3249">
        <v>0</v>
      </c>
      <c r="V6" s="3249" t="s">
        <v>3217</v>
      </c>
      <c r="W6" s="3249">
        <f>ROUND(T6*年期修正系数!$G$9,0)</f>
        <v>1727</v>
      </c>
      <c r="X6" s="3249">
        <v>1727</v>
      </c>
    </row>
    <row r="7" spans="1:26">
      <c r="A7" s="3208" t="s">
        <v>3224</v>
      </c>
      <c r="B7" s="3208" t="s">
        <v>3225</v>
      </c>
      <c r="C7" s="3208" t="s">
        <v>3159</v>
      </c>
      <c r="D7" s="3208" t="s">
        <v>3202</v>
      </c>
      <c r="E7" s="3208">
        <v>23170.400000000001</v>
      </c>
      <c r="F7" s="3208">
        <v>23170.400000000001</v>
      </c>
      <c r="G7" s="3208">
        <v>1</v>
      </c>
      <c r="H7" s="3208" t="s">
        <v>3203</v>
      </c>
      <c r="I7" s="3208" t="s">
        <v>3210</v>
      </c>
      <c r="J7" s="3208" t="s">
        <v>3205</v>
      </c>
      <c r="K7" s="3209">
        <v>44480</v>
      </c>
      <c r="L7" s="3208" t="s">
        <v>3206</v>
      </c>
      <c r="M7" s="3208" t="s">
        <v>3221</v>
      </c>
      <c r="N7" s="3208">
        <v>2632.78</v>
      </c>
      <c r="O7" s="3208">
        <v>530</v>
      </c>
      <c r="P7" s="3208">
        <v>2632.78</v>
      </c>
      <c r="Q7" s="3208">
        <v>75.75</v>
      </c>
      <c r="R7" s="3208">
        <v>75.75</v>
      </c>
      <c r="S7" s="3208">
        <v>1136</v>
      </c>
      <c r="T7" s="3208">
        <v>1136</v>
      </c>
      <c r="U7" s="3208">
        <v>0</v>
      </c>
      <c r="V7" s="3208" t="s">
        <v>3217</v>
      </c>
      <c r="W7" s="3208">
        <f>ROUND(T7*年期修正系数!$G$9,0)</f>
        <v>1726</v>
      </c>
    </row>
    <row r="8" spans="1:26" s="3210" customFormat="1">
      <c r="A8" s="3210" t="s">
        <v>3226</v>
      </c>
      <c r="B8" s="3210" t="s">
        <v>3227</v>
      </c>
      <c r="C8" s="3210" t="s">
        <v>3159</v>
      </c>
      <c r="D8" s="3210" t="s">
        <v>3202</v>
      </c>
      <c r="E8" s="3210">
        <v>82052.600000000006</v>
      </c>
      <c r="F8" s="3210">
        <v>155899.94</v>
      </c>
      <c r="G8" s="3210">
        <v>1.9</v>
      </c>
      <c r="H8" s="3210" t="s">
        <v>3203</v>
      </c>
      <c r="I8" s="3210" t="s">
        <v>3202</v>
      </c>
      <c r="J8" s="3210" t="s">
        <v>3205</v>
      </c>
      <c r="K8" s="3211">
        <v>44466</v>
      </c>
      <c r="L8" s="3210" t="s">
        <v>3206</v>
      </c>
      <c r="M8" s="3210" t="s">
        <v>3228</v>
      </c>
      <c r="N8" s="3210">
        <v>16837.18</v>
      </c>
      <c r="O8" s="3210">
        <v>3400</v>
      </c>
      <c r="P8" s="3210">
        <v>16837.18</v>
      </c>
      <c r="Q8" s="3210">
        <v>136.80000000000001</v>
      </c>
      <c r="R8" s="3210">
        <v>136.80000000000001</v>
      </c>
      <c r="S8" s="3210">
        <v>1080</v>
      </c>
      <c r="T8" s="3210">
        <v>1080</v>
      </c>
      <c r="U8" s="3210">
        <v>0</v>
      </c>
      <c r="V8" s="3210" t="s">
        <v>3229</v>
      </c>
      <c r="W8" s="3210">
        <f>T8</f>
        <v>1080</v>
      </c>
    </row>
    <row r="9" spans="1:26" s="3210" customFormat="1">
      <c r="A9" s="3210" t="s">
        <v>3230</v>
      </c>
      <c r="B9" s="3210" t="s">
        <v>3231</v>
      </c>
      <c r="C9" s="3210" t="s">
        <v>3159</v>
      </c>
      <c r="D9" s="3210" t="s">
        <v>3202</v>
      </c>
      <c r="E9" s="3210">
        <v>7844</v>
      </c>
      <c r="F9" s="3210">
        <v>11766</v>
      </c>
      <c r="G9" s="3210">
        <v>1.5</v>
      </c>
      <c r="H9" s="3210" t="s">
        <v>3203</v>
      </c>
      <c r="I9" s="3210" t="s">
        <v>3202</v>
      </c>
      <c r="J9" s="3210" t="s">
        <v>3205</v>
      </c>
      <c r="K9" s="3211">
        <v>44466</v>
      </c>
      <c r="L9" s="3210" t="s">
        <v>3206</v>
      </c>
      <c r="M9" s="3210" t="s">
        <v>3232</v>
      </c>
      <c r="N9" s="3210">
        <v>854.21</v>
      </c>
      <c r="O9" s="3210">
        <v>214</v>
      </c>
      <c r="P9" s="3210">
        <v>854.21</v>
      </c>
      <c r="Q9" s="3210">
        <v>72.599999999999994</v>
      </c>
      <c r="R9" s="3210">
        <v>72.599999999999994</v>
      </c>
      <c r="S9" s="3210">
        <v>726</v>
      </c>
      <c r="T9" s="3210">
        <v>726</v>
      </c>
      <c r="U9" s="3210">
        <v>0</v>
      </c>
      <c r="V9" s="3210" t="s">
        <v>3229</v>
      </c>
      <c r="W9" s="3210">
        <f t="shared" ref="W9:W10" si="0">T9</f>
        <v>726</v>
      </c>
    </row>
    <row r="10" spans="1:26" s="3210" customFormat="1">
      <c r="A10" s="3210" t="s">
        <v>3233</v>
      </c>
      <c r="B10" s="3210" t="s">
        <v>3234</v>
      </c>
      <c r="C10" s="3210" t="s">
        <v>3159</v>
      </c>
      <c r="D10" s="3210" t="s">
        <v>3202</v>
      </c>
      <c r="E10" s="3210">
        <v>49454.7</v>
      </c>
      <c r="F10" s="3210">
        <v>98909.1</v>
      </c>
      <c r="G10" s="3210">
        <v>2</v>
      </c>
      <c r="H10" s="3210" t="s">
        <v>3203</v>
      </c>
      <c r="I10" s="3210" t="s">
        <v>3235</v>
      </c>
      <c r="J10" s="3210" t="s">
        <v>3205</v>
      </c>
      <c r="K10" s="3211">
        <v>44454</v>
      </c>
      <c r="L10" s="3210" t="s">
        <v>3206</v>
      </c>
      <c r="M10" s="3210" t="s">
        <v>3236</v>
      </c>
      <c r="N10" s="3210">
        <v>6448.89</v>
      </c>
      <c r="O10" s="3210">
        <v>1612</v>
      </c>
      <c r="P10" s="3210">
        <v>6448.89</v>
      </c>
      <c r="Q10" s="3210">
        <v>86.93</v>
      </c>
      <c r="R10" s="3210">
        <v>86.93</v>
      </c>
      <c r="S10" s="3210">
        <v>652</v>
      </c>
      <c r="T10" s="3210">
        <v>652</v>
      </c>
      <c r="U10" s="3210">
        <v>0</v>
      </c>
      <c r="V10" s="3210">
        <v>50</v>
      </c>
      <c r="W10" s="3210">
        <f t="shared" si="0"/>
        <v>652</v>
      </c>
    </row>
    <row r="11" spans="1:26">
      <c r="A11" s="3208" t="s">
        <v>3237</v>
      </c>
      <c r="B11" s="3208" t="s">
        <v>3238</v>
      </c>
      <c r="C11" s="3208" t="s">
        <v>3159</v>
      </c>
      <c r="D11" s="3208" t="s">
        <v>3202</v>
      </c>
      <c r="E11" s="3208">
        <v>13006.3</v>
      </c>
      <c r="F11" s="3208">
        <v>9104.41</v>
      </c>
      <c r="G11" s="3208" t="s">
        <v>3239</v>
      </c>
      <c r="H11" s="3208" t="s">
        <v>3203</v>
      </c>
      <c r="I11" s="3208" t="s">
        <v>3240</v>
      </c>
      <c r="J11" s="3208" t="s">
        <v>3205</v>
      </c>
      <c r="K11" s="3209">
        <v>44446</v>
      </c>
      <c r="L11" s="3208" t="s">
        <v>3206</v>
      </c>
      <c r="M11" s="3208" t="s">
        <v>3241</v>
      </c>
      <c r="N11" s="3208">
        <v>742.65</v>
      </c>
      <c r="O11" s="3208">
        <v>186</v>
      </c>
      <c r="P11" s="3208">
        <v>742.65</v>
      </c>
      <c r="Q11" s="3208">
        <v>38.07</v>
      </c>
      <c r="R11" s="3208">
        <v>38.07</v>
      </c>
      <c r="S11" s="3208">
        <v>816</v>
      </c>
      <c r="T11" s="3208">
        <v>816</v>
      </c>
      <c r="U11" s="3208">
        <v>0</v>
      </c>
      <c r="V11" s="3208" t="s">
        <v>3217</v>
      </c>
      <c r="W11" s="3208">
        <f>ROUND(T11*年期修正系数!$G$9,0)</f>
        <v>1240</v>
      </c>
    </row>
    <row r="12" spans="1:26">
      <c r="A12" s="3208" t="s">
        <v>3242</v>
      </c>
      <c r="B12" s="3208" t="s">
        <v>3243</v>
      </c>
      <c r="C12" s="3208" t="s">
        <v>3159</v>
      </c>
      <c r="D12" s="3208" t="s">
        <v>3202</v>
      </c>
      <c r="E12" s="3208">
        <v>6782.77</v>
      </c>
      <c r="F12" s="3208">
        <v>10174.16</v>
      </c>
      <c r="G12" s="3208" t="s">
        <v>3215</v>
      </c>
      <c r="H12" s="3208" t="s">
        <v>3203</v>
      </c>
      <c r="I12" s="3208" t="s">
        <v>3202</v>
      </c>
      <c r="J12" s="3208" t="s">
        <v>3205</v>
      </c>
      <c r="K12" s="3209">
        <v>44433</v>
      </c>
      <c r="L12" s="3208" t="s">
        <v>3206</v>
      </c>
      <c r="M12" s="3208" t="s">
        <v>3244</v>
      </c>
      <c r="N12" s="3208">
        <v>768.14</v>
      </c>
      <c r="O12" s="3208">
        <v>160</v>
      </c>
      <c r="P12" s="3208">
        <v>768.14</v>
      </c>
      <c r="Q12" s="3208">
        <v>75.5</v>
      </c>
      <c r="R12" s="3208">
        <v>75.5</v>
      </c>
      <c r="S12" s="3208">
        <v>755</v>
      </c>
      <c r="T12" s="3208">
        <v>755</v>
      </c>
      <c r="U12" s="3208">
        <v>0</v>
      </c>
      <c r="V12" s="3208" t="s">
        <v>3217</v>
      </c>
      <c r="W12" s="3208">
        <f>ROUND(T12*年期修正系数!$G$9,0)</f>
        <v>1147</v>
      </c>
    </row>
    <row r="13" spans="1:26">
      <c r="A13" s="3208" t="s">
        <v>3245</v>
      </c>
      <c r="B13" s="3208" t="s">
        <v>3246</v>
      </c>
      <c r="C13" s="3208" t="s">
        <v>3159</v>
      </c>
      <c r="D13" s="3208" t="s">
        <v>3202</v>
      </c>
      <c r="E13" s="3208">
        <v>106037.9</v>
      </c>
      <c r="F13" s="3208">
        <v>212075.8</v>
      </c>
      <c r="G13" s="3208" t="s">
        <v>3247</v>
      </c>
      <c r="H13" s="3208" t="s">
        <v>3203</v>
      </c>
      <c r="I13" s="3208" t="s">
        <v>3240</v>
      </c>
      <c r="J13" s="3208" t="s">
        <v>3205</v>
      </c>
      <c r="K13" s="3209">
        <v>44424</v>
      </c>
      <c r="L13" s="3208" t="s">
        <v>3206</v>
      </c>
      <c r="M13" s="3208" t="s">
        <v>3248</v>
      </c>
      <c r="N13" s="3208">
        <v>21377.24</v>
      </c>
      <c r="O13" s="3208">
        <v>4300</v>
      </c>
      <c r="P13" s="3208">
        <v>21377.24</v>
      </c>
      <c r="Q13" s="3208">
        <v>134.4</v>
      </c>
      <c r="R13" s="3208">
        <v>134.4</v>
      </c>
      <c r="S13" s="3208">
        <v>1008</v>
      </c>
      <c r="T13" s="3208">
        <v>1008</v>
      </c>
      <c r="U13" s="3208">
        <v>0</v>
      </c>
      <c r="V13" s="3208" t="s">
        <v>3217</v>
      </c>
      <c r="W13" s="3208">
        <f>ROUND(T13*年期修正系数!$G$9,0)</f>
        <v>1531</v>
      </c>
    </row>
    <row r="14" spans="1:26" s="3249" customFormat="1">
      <c r="A14" s="3249" t="s">
        <v>3477</v>
      </c>
      <c r="B14" s="3249" t="s">
        <v>3249</v>
      </c>
      <c r="C14" s="3249" t="s">
        <v>3159</v>
      </c>
      <c r="D14" s="3249" t="s">
        <v>3202</v>
      </c>
      <c r="E14" s="3249">
        <v>132895.59</v>
      </c>
      <c r="F14" s="3249">
        <v>132895.59</v>
      </c>
      <c r="G14" s="3249" t="s">
        <v>3250</v>
      </c>
      <c r="H14" s="3249" t="s">
        <v>3203</v>
      </c>
      <c r="I14" s="3249" t="s">
        <v>3251</v>
      </c>
      <c r="J14" s="3249" t="s">
        <v>3205</v>
      </c>
      <c r="K14" s="3250">
        <v>44350</v>
      </c>
      <c r="L14" s="3249" t="s">
        <v>3206</v>
      </c>
      <c r="M14" s="3249" t="s">
        <v>3478</v>
      </c>
      <c r="N14" s="3249">
        <v>17928.63</v>
      </c>
      <c r="O14" s="3249">
        <v>3600</v>
      </c>
      <c r="P14" s="3249">
        <v>17928.63</v>
      </c>
      <c r="Q14" s="3249">
        <v>89.94</v>
      </c>
      <c r="R14" s="3249">
        <v>89.94</v>
      </c>
      <c r="S14" s="3249">
        <v>1349</v>
      </c>
      <c r="T14" s="3249">
        <v>1349</v>
      </c>
      <c r="U14" s="3249">
        <v>0</v>
      </c>
      <c r="V14" s="3249" t="s">
        <v>3217</v>
      </c>
      <c r="W14" s="3249">
        <f>ROUND(T14*年期修正系数!$G$9,0)</f>
        <v>2049</v>
      </c>
      <c r="X14" s="3249">
        <v>2049</v>
      </c>
    </row>
    <row r="15" spans="1:26">
      <c r="A15" s="3208" t="s">
        <v>3252</v>
      </c>
      <c r="B15" s="3208" t="s">
        <v>3253</v>
      </c>
      <c r="C15" s="3208" t="s">
        <v>3159</v>
      </c>
      <c r="D15" s="3208" t="s">
        <v>3202</v>
      </c>
      <c r="E15" s="3208">
        <v>128009.8</v>
      </c>
      <c r="F15" s="3208">
        <v>256019.6</v>
      </c>
      <c r="G15" s="3208" t="s">
        <v>3254</v>
      </c>
      <c r="H15" s="3208" t="s">
        <v>3203</v>
      </c>
      <c r="I15" s="3208" t="s">
        <v>3240</v>
      </c>
      <c r="J15" s="3208" t="s">
        <v>3205</v>
      </c>
      <c r="K15" s="3209">
        <v>44349</v>
      </c>
      <c r="L15" s="3208" t="s">
        <v>3206</v>
      </c>
      <c r="M15" s="3208" t="s">
        <v>3255</v>
      </c>
      <c r="N15" s="3208">
        <v>14618.7</v>
      </c>
      <c r="O15" s="3208">
        <v>3655</v>
      </c>
      <c r="P15" s="3208">
        <v>14618.71</v>
      </c>
      <c r="Q15" s="3208">
        <v>76.13</v>
      </c>
      <c r="R15" s="3208">
        <v>76.13</v>
      </c>
      <c r="S15" s="3208">
        <v>571</v>
      </c>
      <c r="T15" s="3208">
        <v>571</v>
      </c>
      <c r="U15" s="3208">
        <v>0</v>
      </c>
      <c r="V15" s="3208" t="s">
        <v>3217</v>
      </c>
      <c r="W15" s="3208">
        <f>ROUND(T15*年期修正系数!$G$9,0)</f>
        <v>867</v>
      </c>
    </row>
    <row r="16" spans="1:26">
      <c r="A16" s="3208" t="s">
        <v>3256</v>
      </c>
      <c r="B16" s="3208" t="s">
        <v>3257</v>
      </c>
      <c r="C16" s="3208" t="s">
        <v>3159</v>
      </c>
      <c r="D16" s="3208" t="s">
        <v>3202</v>
      </c>
      <c r="E16" s="3208">
        <v>32265.9</v>
      </c>
      <c r="F16" s="3208">
        <v>38719.08</v>
      </c>
      <c r="G16" s="3208" t="s">
        <v>3258</v>
      </c>
      <c r="H16" s="3208" t="s">
        <v>3203</v>
      </c>
      <c r="I16" s="3208" t="s">
        <v>3259</v>
      </c>
      <c r="J16" s="3208" t="s">
        <v>3205</v>
      </c>
      <c r="K16" s="3209">
        <v>44335</v>
      </c>
      <c r="L16" s="3208" t="s">
        <v>3206</v>
      </c>
      <c r="M16" s="3208" t="s">
        <v>3260</v>
      </c>
      <c r="N16" s="3208">
        <v>2578.69</v>
      </c>
      <c r="O16" s="3208">
        <v>645</v>
      </c>
      <c r="P16" s="3208">
        <v>2578.69</v>
      </c>
      <c r="Q16" s="3208">
        <v>53.28</v>
      </c>
      <c r="R16" s="3208">
        <v>53.28</v>
      </c>
      <c r="S16" s="3208">
        <v>666</v>
      </c>
      <c r="T16" s="3208">
        <v>666</v>
      </c>
      <c r="U16" s="3208">
        <v>0</v>
      </c>
      <c r="V16" s="3208" t="s">
        <v>3217</v>
      </c>
      <c r="W16" s="3208">
        <f>ROUND(T16*年期修正系数!$G$9,0)</f>
        <v>1012</v>
      </c>
    </row>
    <row r="17" spans="1:24" s="3210" customFormat="1">
      <c r="A17" s="3210" t="s">
        <v>3261</v>
      </c>
      <c r="B17" s="3210" t="s">
        <v>3262</v>
      </c>
      <c r="C17" s="3210" t="s">
        <v>3159</v>
      </c>
      <c r="D17" s="3210" t="s">
        <v>3202</v>
      </c>
      <c r="E17" s="3210">
        <v>145654</v>
      </c>
      <c r="F17" s="3210">
        <v>356072.51</v>
      </c>
      <c r="G17" s="3210" t="s">
        <v>3263</v>
      </c>
      <c r="H17" s="3210" t="s">
        <v>3203</v>
      </c>
      <c r="I17" s="3210" t="s">
        <v>3264</v>
      </c>
      <c r="J17" s="3210" t="s">
        <v>3205</v>
      </c>
      <c r="K17" s="3211">
        <v>44329</v>
      </c>
      <c r="L17" s="3210" t="s">
        <v>3206</v>
      </c>
      <c r="M17" s="3210" t="s">
        <v>3228</v>
      </c>
      <c r="N17" s="3210">
        <v>38455.83</v>
      </c>
      <c r="O17" s="3210">
        <v>7700</v>
      </c>
      <c r="P17" s="3210">
        <v>38455.83</v>
      </c>
      <c r="Q17" s="3210">
        <v>176.01</v>
      </c>
      <c r="R17" s="3210">
        <v>176.01</v>
      </c>
      <c r="S17" s="3210">
        <v>1080</v>
      </c>
      <c r="T17" s="3210">
        <v>1080</v>
      </c>
      <c r="U17" s="3210">
        <v>0</v>
      </c>
      <c r="V17" s="3210" t="s">
        <v>3229</v>
      </c>
      <c r="W17" s="3210">
        <f>T17</f>
        <v>1080</v>
      </c>
    </row>
    <row r="18" spans="1:24">
      <c r="A18" s="3208" t="s">
        <v>3265</v>
      </c>
      <c r="B18" s="3208" t="s">
        <v>3266</v>
      </c>
      <c r="C18" s="3208" t="s">
        <v>3159</v>
      </c>
      <c r="D18" s="3208" t="s">
        <v>3202</v>
      </c>
      <c r="E18" s="3208">
        <v>12863.4</v>
      </c>
      <c r="F18" s="3208">
        <v>19295.099999999999</v>
      </c>
      <c r="G18" s="3208" t="s">
        <v>3215</v>
      </c>
      <c r="H18" s="3208" t="s">
        <v>3203</v>
      </c>
      <c r="I18" s="3208" t="s">
        <v>3240</v>
      </c>
      <c r="J18" s="3208" t="s">
        <v>3205</v>
      </c>
      <c r="K18" s="3209">
        <v>44306</v>
      </c>
      <c r="L18" s="3208" t="s">
        <v>3206</v>
      </c>
      <c r="M18" s="3208" t="s">
        <v>3267</v>
      </c>
      <c r="N18" s="3208">
        <v>1132.6099999999999</v>
      </c>
      <c r="O18" s="3208">
        <v>283</v>
      </c>
      <c r="P18" s="3208">
        <v>1132.6099999999999</v>
      </c>
      <c r="Q18" s="3208">
        <v>58.7</v>
      </c>
      <c r="R18" s="3208">
        <v>58.7</v>
      </c>
      <c r="S18" s="3208">
        <v>587</v>
      </c>
      <c r="T18" s="3208">
        <v>587</v>
      </c>
      <c r="U18" s="3208">
        <v>0</v>
      </c>
      <c r="V18" s="3208" t="s">
        <v>3217</v>
      </c>
      <c r="W18" s="3208">
        <f>ROUND(T18*年期修正系数!$G$9,0)</f>
        <v>892</v>
      </c>
    </row>
    <row r="19" spans="1:24">
      <c r="A19" s="3208" t="s">
        <v>3268</v>
      </c>
      <c r="B19" s="3208" t="s">
        <v>3269</v>
      </c>
      <c r="C19" s="3208" t="s">
        <v>3159</v>
      </c>
      <c r="D19" s="3208" t="s">
        <v>3202</v>
      </c>
      <c r="E19" s="3208">
        <v>34162.300000000003</v>
      </c>
      <c r="F19" s="3208">
        <v>68324.600000000006</v>
      </c>
      <c r="G19" s="3208" t="s">
        <v>3247</v>
      </c>
      <c r="H19" s="3208" t="s">
        <v>3203</v>
      </c>
      <c r="I19" s="3208" t="s">
        <v>3264</v>
      </c>
      <c r="J19" s="3208" t="s">
        <v>3205</v>
      </c>
      <c r="K19" s="3209">
        <v>44287</v>
      </c>
      <c r="L19" s="3208" t="s">
        <v>3206</v>
      </c>
      <c r="M19" s="3208" t="s">
        <v>3270</v>
      </c>
      <c r="N19" s="3208">
        <v>4550.42</v>
      </c>
      <c r="O19" s="3208">
        <v>1138</v>
      </c>
      <c r="P19" s="3208">
        <v>4550.42</v>
      </c>
      <c r="Q19" s="3208">
        <v>88.8</v>
      </c>
      <c r="R19" s="3208">
        <v>88.8</v>
      </c>
      <c r="S19" s="3208">
        <v>666</v>
      </c>
      <c r="T19" s="3208">
        <v>666</v>
      </c>
      <c r="U19" s="3208">
        <v>0</v>
      </c>
      <c r="V19" s="3208" t="s">
        <v>3212</v>
      </c>
      <c r="W19" s="3208">
        <f>ROUND(T19*年期修正系数!$G$9,0)</f>
        <v>1012</v>
      </c>
    </row>
    <row r="20" spans="1:24">
      <c r="A20" s="3208" t="s">
        <v>3271</v>
      </c>
      <c r="B20" s="3208" t="s">
        <v>3272</v>
      </c>
      <c r="C20" s="3208" t="s">
        <v>3159</v>
      </c>
      <c r="D20" s="3208" t="s">
        <v>3202</v>
      </c>
      <c r="E20" s="3208">
        <v>23044.5</v>
      </c>
      <c r="F20" s="3208">
        <v>46089</v>
      </c>
      <c r="G20" s="3208" t="s">
        <v>3247</v>
      </c>
      <c r="H20" s="3208" t="s">
        <v>3203</v>
      </c>
      <c r="I20" s="3208" t="s">
        <v>3210</v>
      </c>
      <c r="J20" s="3208" t="s">
        <v>3205</v>
      </c>
      <c r="K20" s="3209">
        <v>44266</v>
      </c>
      <c r="L20" s="3208" t="s">
        <v>3206</v>
      </c>
      <c r="M20" s="3208" t="s">
        <v>3273</v>
      </c>
      <c r="N20" s="3208">
        <v>3346.05</v>
      </c>
      <c r="O20" s="3208">
        <v>837</v>
      </c>
      <c r="P20" s="3208">
        <v>3346.05</v>
      </c>
      <c r="Q20" s="3208">
        <v>96.8</v>
      </c>
      <c r="R20" s="3208">
        <v>96.8</v>
      </c>
      <c r="S20" s="3208">
        <v>726</v>
      </c>
      <c r="T20" s="3208">
        <v>726</v>
      </c>
      <c r="U20" s="3208">
        <v>0</v>
      </c>
      <c r="V20" s="3208" t="s">
        <v>3217</v>
      </c>
      <c r="W20" s="3208">
        <f>ROUND(T20*年期修正系数!$G$9,0)</f>
        <v>1103</v>
      </c>
    </row>
    <row r="21" spans="1:24" s="3210" customFormat="1">
      <c r="A21" s="3210" t="s">
        <v>3474</v>
      </c>
      <c r="B21" s="3210" t="s">
        <v>3274</v>
      </c>
      <c r="C21" s="3210" t="s">
        <v>3159</v>
      </c>
      <c r="D21" s="3210" t="s">
        <v>3202</v>
      </c>
      <c r="E21" s="3210">
        <v>110807.97</v>
      </c>
      <c r="F21" s="3210">
        <v>149590.76</v>
      </c>
      <c r="G21" s="3210" t="s">
        <v>3275</v>
      </c>
      <c r="H21" s="3210" t="s">
        <v>3203</v>
      </c>
      <c r="I21" s="3210" t="s">
        <v>3202</v>
      </c>
      <c r="J21" s="3210" t="s">
        <v>3205</v>
      </c>
      <c r="K21" s="3211">
        <v>44263</v>
      </c>
      <c r="L21" s="3210" t="s">
        <v>3206</v>
      </c>
      <c r="M21" s="3210" t="s">
        <v>3435</v>
      </c>
      <c r="N21" s="3210">
        <v>11293.36</v>
      </c>
      <c r="O21" s="3210">
        <v>2300</v>
      </c>
      <c r="P21" s="3210">
        <v>11293.36</v>
      </c>
      <c r="Q21" s="3210">
        <v>67.95</v>
      </c>
      <c r="R21" s="3210">
        <v>67.95</v>
      </c>
      <c r="S21" s="3210">
        <v>755</v>
      </c>
      <c r="T21" s="3210">
        <v>755</v>
      </c>
      <c r="U21" s="3210">
        <v>0</v>
      </c>
      <c r="V21" s="3210" t="s">
        <v>3217</v>
      </c>
      <c r="W21" s="3210">
        <f>ROUND(T21*年期修正系数!$G$9,0)</f>
        <v>1147</v>
      </c>
      <c r="X21" s="3210">
        <f>ROUND(W21/Z1,0)</f>
        <v>1369</v>
      </c>
    </row>
    <row r="22" spans="1:24">
      <c r="A22" s="3208" t="s">
        <v>3276</v>
      </c>
      <c r="B22" s="3208" t="s">
        <v>3277</v>
      </c>
      <c r="C22" s="3208" t="s">
        <v>3159</v>
      </c>
      <c r="D22" s="3208" t="s">
        <v>3202</v>
      </c>
      <c r="E22" s="3208">
        <v>16922.8</v>
      </c>
      <c r="F22" s="3208">
        <v>33845.599999999999</v>
      </c>
      <c r="G22" s="3208" t="s">
        <v>3247</v>
      </c>
      <c r="H22" s="3208" t="s">
        <v>3203</v>
      </c>
      <c r="I22" s="3208" t="s">
        <v>3210</v>
      </c>
      <c r="J22" s="3208" t="s">
        <v>3205</v>
      </c>
      <c r="K22" s="3209">
        <v>44229</v>
      </c>
      <c r="L22" s="3208" t="s">
        <v>3206</v>
      </c>
      <c r="M22" s="3208" t="s">
        <v>3278</v>
      </c>
      <c r="N22" s="3208">
        <v>2254.11</v>
      </c>
      <c r="O22" s="3208">
        <v>564</v>
      </c>
      <c r="P22" s="3208">
        <v>2254.11</v>
      </c>
      <c r="Q22" s="3208">
        <v>88.8</v>
      </c>
      <c r="R22" s="3208">
        <v>88.8</v>
      </c>
      <c r="S22" s="3208">
        <v>666</v>
      </c>
      <c r="T22" s="3208">
        <v>666</v>
      </c>
      <c r="U22" s="3208">
        <v>0</v>
      </c>
      <c r="V22" s="3208" t="s">
        <v>3217</v>
      </c>
      <c r="W22" s="3208">
        <f>ROUND(T22*年期修正系数!$G$9,0)</f>
        <v>1012</v>
      </c>
    </row>
    <row r="23" spans="1:24">
      <c r="A23" s="3208" t="s">
        <v>3279</v>
      </c>
      <c r="B23" s="3208" t="s">
        <v>3280</v>
      </c>
      <c r="C23" s="3208" t="s">
        <v>3159</v>
      </c>
      <c r="D23" s="3208" t="s">
        <v>3202</v>
      </c>
      <c r="E23" s="3208">
        <v>33333</v>
      </c>
      <c r="F23" s="3208">
        <v>40000</v>
      </c>
      <c r="G23" s="3208" t="s">
        <v>3258</v>
      </c>
      <c r="H23" s="3208" t="s">
        <v>3203</v>
      </c>
      <c r="I23" s="3208" t="s">
        <v>3210</v>
      </c>
      <c r="J23" s="3208" t="s">
        <v>3205</v>
      </c>
      <c r="K23" s="3209">
        <v>44229</v>
      </c>
      <c r="L23" s="3208" t="s">
        <v>3206</v>
      </c>
      <c r="M23" s="3208" t="s">
        <v>3281</v>
      </c>
      <c r="N23" s="3208">
        <v>5935.6</v>
      </c>
      <c r="O23" s="3208">
        <v>1200</v>
      </c>
      <c r="P23" s="3208">
        <v>5935.6</v>
      </c>
      <c r="Q23" s="3208">
        <v>118.71</v>
      </c>
      <c r="R23" s="3208">
        <v>118.71</v>
      </c>
      <c r="S23" s="3208">
        <v>1484</v>
      </c>
      <c r="T23" s="3208">
        <v>1484</v>
      </c>
      <c r="U23" s="3208">
        <v>0</v>
      </c>
      <c r="V23" s="3208" t="s">
        <v>3217</v>
      </c>
      <c r="W23" s="3208">
        <f>ROUND(T23*年期修正系数!$G$9,0)</f>
        <v>2254</v>
      </c>
    </row>
    <row r="24" spans="1:24" s="3210" customFormat="1">
      <c r="A24" s="3210" t="s">
        <v>3282</v>
      </c>
      <c r="B24" s="3210" t="s">
        <v>3283</v>
      </c>
      <c r="C24" s="3210" t="s">
        <v>3159</v>
      </c>
      <c r="D24" s="3210" t="s">
        <v>3202</v>
      </c>
      <c r="E24" s="3210">
        <v>471181.9</v>
      </c>
      <c r="F24" s="3210">
        <v>942363.8</v>
      </c>
      <c r="G24" s="3210" t="s">
        <v>3247</v>
      </c>
      <c r="H24" s="3210" t="s">
        <v>3203</v>
      </c>
      <c r="I24" s="3210" t="s">
        <v>3264</v>
      </c>
      <c r="J24" s="3210" t="s">
        <v>3205</v>
      </c>
      <c r="K24" s="3211">
        <v>44194</v>
      </c>
      <c r="L24" s="3210" t="s">
        <v>3206</v>
      </c>
      <c r="M24" s="3210" t="s">
        <v>3284</v>
      </c>
      <c r="N24" s="3210">
        <v>80100.91</v>
      </c>
      <c r="O24" s="3210">
        <v>16100</v>
      </c>
      <c r="P24" s="3210">
        <v>80100.91</v>
      </c>
      <c r="Q24" s="3210">
        <v>113.33</v>
      </c>
      <c r="R24" s="3210">
        <v>113.33</v>
      </c>
      <c r="S24" s="3210">
        <v>850</v>
      </c>
      <c r="T24" s="3210">
        <v>850</v>
      </c>
      <c r="U24" s="3210">
        <v>0</v>
      </c>
      <c r="V24" s="3210" t="s">
        <v>3229</v>
      </c>
      <c r="W24" s="3210">
        <f>T24</f>
        <v>850</v>
      </c>
    </row>
    <row r="25" spans="1:24">
      <c r="A25" s="3208" t="s">
        <v>3285</v>
      </c>
      <c r="B25" s="3208" t="s">
        <v>3286</v>
      </c>
      <c r="C25" s="3208" t="s">
        <v>3159</v>
      </c>
      <c r="D25" s="3208" t="s">
        <v>3202</v>
      </c>
      <c r="E25" s="3208">
        <v>22695.8</v>
      </c>
      <c r="F25" s="3208">
        <v>40852.44</v>
      </c>
      <c r="G25" s="3208" t="s">
        <v>3287</v>
      </c>
      <c r="H25" s="3208" t="s">
        <v>3203</v>
      </c>
      <c r="I25" s="3208" t="s">
        <v>3210</v>
      </c>
      <c r="J25" s="3208" t="s">
        <v>3205</v>
      </c>
      <c r="K25" s="3209">
        <v>44189</v>
      </c>
      <c r="L25" s="3208" t="s">
        <v>3206</v>
      </c>
      <c r="M25" s="3208" t="s">
        <v>3288</v>
      </c>
      <c r="N25" s="3208">
        <v>4412.0600000000004</v>
      </c>
      <c r="O25" s="3208">
        <v>900</v>
      </c>
      <c r="P25" s="3208">
        <v>4412.0600000000004</v>
      </c>
      <c r="Q25" s="3208">
        <v>129.6</v>
      </c>
      <c r="R25" s="3208">
        <v>129.6</v>
      </c>
      <c r="S25" s="3208">
        <v>1080</v>
      </c>
      <c r="T25" s="3208">
        <v>1080</v>
      </c>
      <c r="U25" s="3208">
        <v>0</v>
      </c>
      <c r="V25" s="3208" t="s">
        <v>3217</v>
      </c>
      <c r="W25" s="3208">
        <f>ROUND(T25*年期修正系数!$G$9,0)</f>
        <v>1641</v>
      </c>
    </row>
    <row r="26" spans="1:24">
      <c r="A26" s="3208" t="s">
        <v>3289</v>
      </c>
      <c r="B26" s="3208" t="s">
        <v>3290</v>
      </c>
      <c r="C26" s="3208" t="s">
        <v>3159</v>
      </c>
      <c r="D26" s="3208" t="s">
        <v>3202</v>
      </c>
      <c r="E26" s="3208">
        <v>14690.2</v>
      </c>
      <c r="F26" s="3208">
        <v>29380.400000000001</v>
      </c>
      <c r="G26" s="3208" t="s">
        <v>3247</v>
      </c>
      <c r="H26" s="3208" t="s">
        <v>3203</v>
      </c>
      <c r="I26" s="3208" t="s">
        <v>3264</v>
      </c>
      <c r="J26" s="3208" t="s">
        <v>3205</v>
      </c>
      <c r="K26" s="3209">
        <v>44173</v>
      </c>
      <c r="L26" s="3208" t="s">
        <v>3206</v>
      </c>
      <c r="M26" s="3208" t="s">
        <v>3291</v>
      </c>
      <c r="N26" s="3208">
        <v>1956.73</v>
      </c>
      <c r="O26" s="3208">
        <v>489</v>
      </c>
      <c r="P26" s="3208">
        <v>1956.73</v>
      </c>
      <c r="Q26" s="3208">
        <v>88.8</v>
      </c>
      <c r="R26" s="3208">
        <v>88.8</v>
      </c>
      <c r="S26" s="3208">
        <v>666</v>
      </c>
      <c r="T26" s="3208">
        <v>666</v>
      </c>
      <c r="U26" s="3208">
        <v>0</v>
      </c>
      <c r="V26" s="3208" t="s">
        <v>3217</v>
      </c>
      <c r="W26" s="3208">
        <f>ROUND(T26*年期修正系数!$G$9,0)</f>
        <v>1012</v>
      </c>
    </row>
    <row r="27" spans="1:24">
      <c r="A27" s="3208" t="s">
        <v>3476</v>
      </c>
      <c r="B27" s="3208" t="s">
        <v>3292</v>
      </c>
      <c r="C27" s="3208" t="s">
        <v>3159</v>
      </c>
      <c r="D27" s="3208" t="s">
        <v>3202</v>
      </c>
      <c r="E27" s="3208">
        <v>20195.2</v>
      </c>
      <c r="F27" s="3208">
        <v>24234.240000000002</v>
      </c>
      <c r="G27" s="3208" t="s">
        <v>3258</v>
      </c>
      <c r="H27" s="3208" t="s">
        <v>3203</v>
      </c>
      <c r="I27" s="3208" t="s">
        <v>3264</v>
      </c>
      <c r="J27" s="3208" t="s">
        <v>3205</v>
      </c>
      <c r="K27" s="3209">
        <v>44173</v>
      </c>
      <c r="L27" s="3208" t="s">
        <v>3206</v>
      </c>
      <c r="M27" s="3208" t="s">
        <v>3293</v>
      </c>
      <c r="N27" s="3208">
        <v>1614</v>
      </c>
      <c r="O27" s="3208">
        <v>404</v>
      </c>
      <c r="P27" s="3208">
        <v>1614</v>
      </c>
      <c r="Q27" s="3208">
        <v>53.28</v>
      </c>
      <c r="R27" s="3208">
        <v>53.28</v>
      </c>
      <c r="S27" s="3208">
        <v>666</v>
      </c>
      <c r="T27" s="3208">
        <v>666</v>
      </c>
      <c r="U27" s="3208">
        <v>0</v>
      </c>
      <c r="V27" s="3208" t="s">
        <v>3217</v>
      </c>
      <c r="W27" s="3208">
        <f>ROUND(T27*年期修正系数!$G$9,0)</f>
        <v>1012</v>
      </c>
    </row>
    <row r="28" spans="1:24">
      <c r="A28" s="3208" t="s">
        <v>3294</v>
      </c>
      <c r="B28" s="3208" t="s">
        <v>3295</v>
      </c>
      <c r="C28" s="3208" t="s">
        <v>3159</v>
      </c>
      <c r="D28" s="3208" t="s">
        <v>3202</v>
      </c>
      <c r="E28" s="3208">
        <v>12168</v>
      </c>
      <c r="F28" s="3208">
        <v>12168</v>
      </c>
      <c r="G28" s="3208" t="s">
        <v>3296</v>
      </c>
      <c r="H28" s="3208" t="s">
        <v>3203</v>
      </c>
      <c r="I28" s="3208" t="s">
        <v>3297</v>
      </c>
      <c r="J28" s="3208" t="s">
        <v>3205</v>
      </c>
      <c r="K28" s="3209">
        <v>44173</v>
      </c>
      <c r="L28" s="3208" t="s">
        <v>3206</v>
      </c>
      <c r="M28" s="3208" t="s">
        <v>3228</v>
      </c>
      <c r="N28" s="3208">
        <v>883.39</v>
      </c>
      <c r="O28" s="3208">
        <v>180</v>
      </c>
      <c r="P28" s="3208">
        <v>883.39</v>
      </c>
      <c r="Q28" s="3208">
        <v>48.4</v>
      </c>
      <c r="R28" s="3208">
        <v>48.4</v>
      </c>
      <c r="S28" s="3208">
        <v>726</v>
      </c>
      <c r="T28" s="3208">
        <v>726</v>
      </c>
      <c r="U28" s="3208">
        <v>0</v>
      </c>
      <c r="V28" s="3208" t="s">
        <v>3217</v>
      </c>
      <c r="W28" s="3208">
        <f>ROUND(T28*年期修正系数!$G$9,0)</f>
        <v>1103</v>
      </c>
    </row>
    <row r="29" spans="1:24">
      <c r="A29" s="3208" t="s">
        <v>3298</v>
      </c>
      <c r="B29" s="3208" t="s">
        <v>3299</v>
      </c>
      <c r="C29" s="3208" t="s">
        <v>3159</v>
      </c>
      <c r="D29" s="3208" t="s">
        <v>3202</v>
      </c>
      <c r="E29" s="3208">
        <v>66050.399999999994</v>
      </c>
      <c r="F29" s="3208">
        <v>99075.6</v>
      </c>
      <c r="G29" s="3208" t="s">
        <v>3215</v>
      </c>
      <c r="H29" s="3208" t="s">
        <v>3203</v>
      </c>
      <c r="I29" s="3208" t="s">
        <v>3264</v>
      </c>
      <c r="J29" s="3208" t="s">
        <v>3205</v>
      </c>
      <c r="K29" s="3209">
        <v>44168</v>
      </c>
      <c r="L29" s="3208" t="s">
        <v>3206</v>
      </c>
      <c r="M29" s="3208" t="s">
        <v>3300</v>
      </c>
      <c r="N29" s="3208">
        <v>5815.73</v>
      </c>
      <c r="O29" s="3208">
        <v>1454</v>
      </c>
      <c r="P29" s="3208">
        <v>5815.73</v>
      </c>
      <c r="Q29" s="3208">
        <v>58.7</v>
      </c>
      <c r="R29" s="3208">
        <v>58.7</v>
      </c>
      <c r="S29" s="3208">
        <v>587</v>
      </c>
      <c r="T29" s="3208">
        <v>587</v>
      </c>
      <c r="U29" s="3208">
        <v>0</v>
      </c>
      <c r="V29" s="3208" t="s">
        <v>3217</v>
      </c>
      <c r="W29" s="3208">
        <f>ROUND(T29*年期修正系数!$G$9,0)</f>
        <v>892</v>
      </c>
    </row>
    <row r="30" spans="1:24">
      <c r="A30" s="3208" t="s">
        <v>3301</v>
      </c>
      <c r="B30" s="3208" t="s">
        <v>3302</v>
      </c>
      <c r="C30" s="3208" t="s">
        <v>3159</v>
      </c>
      <c r="D30" s="3208" t="s">
        <v>3202</v>
      </c>
      <c r="E30" s="3208">
        <v>39596.699999999997</v>
      </c>
      <c r="F30" s="3208">
        <v>59395.05</v>
      </c>
      <c r="G30" s="3208" t="s">
        <v>3215</v>
      </c>
      <c r="H30" s="3208" t="s">
        <v>3203</v>
      </c>
      <c r="I30" s="3208" t="s">
        <v>3264</v>
      </c>
      <c r="J30" s="3208" t="s">
        <v>3205</v>
      </c>
      <c r="K30" s="3209">
        <v>44168</v>
      </c>
      <c r="L30" s="3208" t="s">
        <v>3206</v>
      </c>
      <c r="M30" s="3208" t="s">
        <v>3303</v>
      </c>
      <c r="N30" s="3208">
        <v>3486.48</v>
      </c>
      <c r="O30" s="3208">
        <v>872</v>
      </c>
      <c r="P30" s="3208">
        <v>3486.48</v>
      </c>
      <c r="Q30" s="3208">
        <v>58.7</v>
      </c>
      <c r="R30" s="3208">
        <v>58.7</v>
      </c>
      <c r="S30" s="3208">
        <v>587</v>
      </c>
      <c r="T30" s="3208">
        <v>587</v>
      </c>
      <c r="U30" s="3208">
        <v>0</v>
      </c>
      <c r="V30" s="3208" t="s">
        <v>3217</v>
      </c>
      <c r="W30" s="3208">
        <f>ROUND(T30*年期修正系数!$G$9,0)</f>
        <v>892</v>
      </c>
    </row>
    <row r="31" spans="1:24">
      <c r="A31" s="3208" t="s">
        <v>3304</v>
      </c>
      <c r="B31" s="3208" t="s">
        <v>3305</v>
      </c>
      <c r="C31" s="3208" t="s">
        <v>3159</v>
      </c>
      <c r="D31" s="3208" t="s">
        <v>3202</v>
      </c>
      <c r="E31" s="3208">
        <v>33256</v>
      </c>
      <c r="F31" s="3208">
        <v>49884</v>
      </c>
      <c r="G31" s="3208" t="s">
        <v>3215</v>
      </c>
      <c r="H31" s="3208" t="s">
        <v>3203</v>
      </c>
      <c r="I31" s="3208" t="s">
        <v>3264</v>
      </c>
      <c r="J31" s="3208" t="s">
        <v>3205</v>
      </c>
      <c r="K31" s="3209">
        <v>44168</v>
      </c>
      <c r="L31" s="3208" t="s">
        <v>3206</v>
      </c>
      <c r="M31" s="3208" t="s">
        <v>3306</v>
      </c>
      <c r="N31" s="3208">
        <v>2848.38</v>
      </c>
      <c r="O31" s="3208">
        <v>712</v>
      </c>
      <c r="P31" s="3208">
        <v>2848.38</v>
      </c>
      <c r="Q31" s="3208">
        <v>57.1</v>
      </c>
      <c r="R31" s="3208">
        <v>57.1</v>
      </c>
      <c r="S31" s="3208">
        <v>571</v>
      </c>
      <c r="T31" s="3208">
        <v>571</v>
      </c>
      <c r="U31" s="3208">
        <v>0</v>
      </c>
      <c r="V31" s="3208" t="s">
        <v>3217</v>
      </c>
      <c r="W31" s="3208">
        <f>ROUND(T31*年期修正系数!$G$9,0)</f>
        <v>867</v>
      </c>
    </row>
    <row r="32" spans="1:24">
      <c r="A32" s="3208" t="s">
        <v>3307</v>
      </c>
      <c r="B32" s="3208" t="s">
        <v>3308</v>
      </c>
      <c r="C32" s="3208" t="s">
        <v>3159</v>
      </c>
      <c r="D32" s="3208" t="s">
        <v>3202</v>
      </c>
      <c r="E32" s="3208">
        <v>73285.399999999994</v>
      </c>
      <c r="F32" s="3208">
        <v>109928.1</v>
      </c>
      <c r="G32" s="3208" t="s">
        <v>3215</v>
      </c>
      <c r="H32" s="3208" t="s">
        <v>3203</v>
      </c>
      <c r="I32" s="3208" t="s">
        <v>3264</v>
      </c>
      <c r="J32" s="3208" t="s">
        <v>3205</v>
      </c>
      <c r="K32" s="3209">
        <v>44158</v>
      </c>
      <c r="L32" s="3208" t="s">
        <v>3206</v>
      </c>
      <c r="M32" s="3208" t="s">
        <v>3309</v>
      </c>
      <c r="N32" s="3208">
        <v>6276.89</v>
      </c>
      <c r="O32" s="3208">
        <v>1300</v>
      </c>
      <c r="P32" s="3208">
        <v>6276.89</v>
      </c>
      <c r="Q32" s="3208">
        <v>57.1</v>
      </c>
      <c r="R32" s="3208">
        <v>57.1</v>
      </c>
      <c r="S32" s="3208">
        <v>571</v>
      </c>
      <c r="T32" s="3208">
        <v>571</v>
      </c>
      <c r="U32" s="3208">
        <v>0</v>
      </c>
      <c r="V32" s="3208" t="s">
        <v>3217</v>
      </c>
      <c r="W32" s="3208">
        <f>ROUND(T32*年期修正系数!$G$9,0)</f>
        <v>867</v>
      </c>
    </row>
    <row r="33" spans="1:23">
      <c r="A33" s="3208" t="s">
        <v>3310</v>
      </c>
      <c r="B33" s="3208" t="s">
        <v>3311</v>
      </c>
      <c r="C33" s="3208" t="s">
        <v>3159</v>
      </c>
      <c r="D33" s="3208" t="s">
        <v>3202</v>
      </c>
      <c r="E33" s="3208">
        <v>40148.6</v>
      </c>
      <c r="F33" s="3208">
        <v>60222.9</v>
      </c>
      <c r="G33" s="3208" t="s">
        <v>3215</v>
      </c>
      <c r="H33" s="3208" t="s">
        <v>3203</v>
      </c>
      <c r="I33" s="3208" t="s">
        <v>3264</v>
      </c>
      <c r="J33" s="3208" t="s">
        <v>3205</v>
      </c>
      <c r="K33" s="3209">
        <v>44158</v>
      </c>
      <c r="L33" s="3208" t="s">
        <v>3206</v>
      </c>
      <c r="M33" s="3208" t="s">
        <v>3312</v>
      </c>
      <c r="N33" s="3208">
        <v>3438.73</v>
      </c>
      <c r="O33" s="3208">
        <v>860</v>
      </c>
      <c r="P33" s="3208">
        <v>3438.73</v>
      </c>
      <c r="Q33" s="3208">
        <v>57.1</v>
      </c>
      <c r="R33" s="3208">
        <v>57.1</v>
      </c>
      <c r="S33" s="3208">
        <v>571</v>
      </c>
      <c r="T33" s="3208">
        <v>571</v>
      </c>
      <c r="U33" s="3208">
        <v>0</v>
      </c>
      <c r="V33" s="3208" t="s">
        <v>3217</v>
      </c>
      <c r="W33" s="3208">
        <f>ROUND(T33*年期修正系数!$G$9,0)</f>
        <v>867</v>
      </c>
    </row>
    <row r="34" spans="1:23">
      <c r="A34" s="3208" t="s">
        <v>3313</v>
      </c>
      <c r="B34" s="3208" t="s">
        <v>3314</v>
      </c>
      <c r="C34" s="3208" t="s">
        <v>3159</v>
      </c>
      <c r="D34" s="3208" t="s">
        <v>3202</v>
      </c>
      <c r="E34" s="3208">
        <v>25694.7</v>
      </c>
      <c r="F34" s="3208">
        <v>38542.050000000003</v>
      </c>
      <c r="G34" s="3208" t="s">
        <v>3215</v>
      </c>
      <c r="H34" s="3208" t="s">
        <v>3203</v>
      </c>
      <c r="I34" s="3208" t="s">
        <v>3264</v>
      </c>
      <c r="J34" s="3208" t="s">
        <v>3205</v>
      </c>
      <c r="K34" s="3209">
        <v>44158</v>
      </c>
      <c r="L34" s="3208" t="s">
        <v>3206</v>
      </c>
      <c r="M34" s="3208" t="s">
        <v>3315</v>
      </c>
      <c r="N34" s="3208">
        <v>2200.75</v>
      </c>
      <c r="O34" s="3208">
        <v>550</v>
      </c>
      <c r="P34" s="3208">
        <v>2200.75</v>
      </c>
      <c r="Q34" s="3208">
        <v>57.1</v>
      </c>
      <c r="R34" s="3208">
        <v>57.1</v>
      </c>
      <c r="S34" s="3208">
        <v>571</v>
      </c>
      <c r="T34" s="3208">
        <v>571</v>
      </c>
      <c r="U34" s="3208">
        <v>0</v>
      </c>
      <c r="V34" s="3208" t="s">
        <v>3217</v>
      </c>
      <c r="W34" s="3208">
        <f>ROUND(T34*年期修正系数!$G$9,0)</f>
        <v>867</v>
      </c>
    </row>
    <row r="35" spans="1:23">
      <c r="A35" s="3208" t="s">
        <v>3316</v>
      </c>
      <c r="B35" s="3208" t="s">
        <v>3317</v>
      </c>
      <c r="C35" s="3208" t="s">
        <v>3159</v>
      </c>
      <c r="D35" s="3208" t="s">
        <v>3202</v>
      </c>
      <c r="E35" s="3208">
        <v>30589.9</v>
      </c>
      <c r="F35" s="3208">
        <v>45884.85</v>
      </c>
      <c r="G35" s="3208" t="s">
        <v>3215</v>
      </c>
      <c r="H35" s="3208" t="s">
        <v>3203</v>
      </c>
      <c r="I35" s="3208" t="s">
        <v>3264</v>
      </c>
      <c r="J35" s="3208" t="s">
        <v>3205</v>
      </c>
      <c r="K35" s="3209">
        <v>44158</v>
      </c>
      <c r="L35" s="3208" t="s">
        <v>3206</v>
      </c>
      <c r="M35" s="3208" t="s">
        <v>3318</v>
      </c>
      <c r="N35" s="3208">
        <v>2620.0100000000002</v>
      </c>
      <c r="O35" s="3208">
        <v>655</v>
      </c>
      <c r="P35" s="3208">
        <v>2620.0100000000002</v>
      </c>
      <c r="Q35" s="3208">
        <v>57.1</v>
      </c>
      <c r="R35" s="3208">
        <v>57.1</v>
      </c>
      <c r="S35" s="3208">
        <v>571</v>
      </c>
      <c r="T35" s="3208">
        <v>571</v>
      </c>
      <c r="U35" s="3208">
        <v>0</v>
      </c>
      <c r="V35" s="3208" t="s">
        <v>3217</v>
      </c>
      <c r="W35" s="3208">
        <f>ROUND(T35*年期修正系数!$G$9,0)</f>
        <v>867</v>
      </c>
    </row>
    <row r="36" spans="1:23">
      <c r="A36" s="3208" t="s">
        <v>3319</v>
      </c>
      <c r="B36" s="3208" t="s">
        <v>3320</v>
      </c>
      <c r="C36" s="3208" t="s">
        <v>3159</v>
      </c>
      <c r="D36" s="3208" t="s">
        <v>3202</v>
      </c>
      <c r="E36" s="3208">
        <v>26644.98</v>
      </c>
      <c r="F36" s="3208">
        <v>53289.96</v>
      </c>
      <c r="G36" s="3208" t="s">
        <v>3247</v>
      </c>
      <c r="H36" s="3208" t="s">
        <v>3203</v>
      </c>
      <c r="I36" s="3208" t="s">
        <v>3321</v>
      </c>
      <c r="J36" s="3208" t="s">
        <v>3205</v>
      </c>
      <c r="K36" s="3209">
        <v>44139</v>
      </c>
      <c r="L36" s="3208" t="s">
        <v>3206</v>
      </c>
      <c r="M36" s="3208" t="s">
        <v>3322</v>
      </c>
      <c r="N36" s="3208">
        <v>3744.23</v>
      </c>
      <c r="O36" s="3208">
        <v>800</v>
      </c>
      <c r="P36" s="3208">
        <v>3744.23</v>
      </c>
      <c r="Q36" s="3208">
        <v>93.68</v>
      </c>
      <c r="R36" s="3208">
        <v>93.68</v>
      </c>
      <c r="S36" s="3208">
        <v>703</v>
      </c>
      <c r="T36" s="3208">
        <v>703</v>
      </c>
      <c r="U36" s="3208">
        <v>0</v>
      </c>
      <c r="V36" s="3208" t="s">
        <v>3217</v>
      </c>
      <c r="W36" s="3208">
        <f>ROUND(T36*年期修正系数!$G$9,0)</f>
        <v>1068</v>
      </c>
    </row>
    <row r="37" spans="1:23">
      <c r="A37" s="3208" t="s">
        <v>3323</v>
      </c>
      <c r="B37" s="3208" t="s">
        <v>3324</v>
      </c>
      <c r="C37" s="3208" t="s">
        <v>3159</v>
      </c>
      <c r="D37" s="3208" t="s">
        <v>3202</v>
      </c>
      <c r="E37" s="3208">
        <v>67532.14</v>
      </c>
      <c r="F37" s="3208">
        <v>101298</v>
      </c>
      <c r="G37" s="3208" t="s">
        <v>3215</v>
      </c>
      <c r="H37" s="3208" t="s">
        <v>3203</v>
      </c>
      <c r="I37" s="3208" t="s">
        <v>3321</v>
      </c>
      <c r="J37" s="3208" t="s">
        <v>3205</v>
      </c>
      <c r="K37" s="3209">
        <v>44139</v>
      </c>
      <c r="L37" s="3208" t="s">
        <v>3206</v>
      </c>
      <c r="M37" s="3208" t="s">
        <v>3325</v>
      </c>
      <c r="N37" s="3208">
        <v>7574.06</v>
      </c>
      <c r="O37" s="3208">
        <v>1600</v>
      </c>
      <c r="P37" s="3208">
        <v>7574.06</v>
      </c>
      <c r="Q37" s="3208">
        <v>74.77</v>
      </c>
      <c r="R37" s="3208">
        <v>74.77</v>
      </c>
      <c r="S37" s="3208">
        <v>748</v>
      </c>
      <c r="T37" s="3208">
        <v>748</v>
      </c>
      <c r="U37" s="3208">
        <v>0</v>
      </c>
      <c r="V37" s="3208" t="s">
        <v>3217</v>
      </c>
      <c r="W37" s="3208">
        <f>ROUND(T37*年期修正系数!$G$9,0)</f>
        <v>1136</v>
      </c>
    </row>
    <row r="38" spans="1:23">
      <c r="A38" s="3208" t="s">
        <v>3326</v>
      </c>
      <c r="B38" s="3208" t="s">
        <v>3327</v>
      </c>
      <c r="C38" s="3208" t="s">
        <v>3159</v>
      </c>
      <c r="D38" s="3208" t="s">
        <v>3202</v>
      </c>
      <c r="E38" s="3208">
        <v>14671.1</v>
      </c>
      <c r="F38" s="3208">
        <v>22006.65</v>
      </c>
      <c r="G38" s="3208" t="s">
        <v>3215</v>
      </c>
      <c r="H38" s="3208" t="s">
        <v>3203</v>
      </c>
      <c r="I38" s="3208" t="s">
        <v>3202</v>
      </c>
      <c r="J38" s="3208" t="s">
        <v>3205</v>
      </c>
      <c r="K38" s="3209">
        <v>44138</v>
      </c>
      <c r="L38" s="3208" t="s">
        <v>3206</v>
      </c>
      <c r="M38" s="3208" t="s">
        <v>3328</v>
      </c>
      <c r="N38" s="3208">
        <v>1256.57</v>
      </c>
      <c r="O38" s="3208">
        <v>314</v>
      </c>
      <c r="P38" s="3208">
        <v>1256.57</v>
      </c>
      <c r="Q38" s="3208">
        <v>57.1</v>
      </c>
      <c r="R38" s="3208">
        <v>57.1</v>
      </c>
      <c r="S38" s="3208">
        <v>571</v>
      </c>
      <c r="T38" s="3208">
        <v>571</v>
      </c>
      <c r="U38" s="3208">
        <v>0</v>
      </c>
      <c r="V38" s="3208" t="s">
        <v>3217</v>
      </c>
      <c r="W38" s="3208">
        <f>ROUND(T38*年期修正系数!$G$9,0)</f>
        <v>867</v>
      </c>
    </row>
    <row r="39" spans="1:23">
      <c r="A39" s="3208" t="s">
        <v>3329</v>
      </c>
      <c r="B39" s="3208" t="s">
        <v>3330</v>
      </c>
      <c r="C39" s="3208" t="s">
        <v>3159</v>
      </c>
      <c r="D39" s="3208" t="s">
        <v>3202</v>
      </c>
      <c r="E39" s="3208">
        <v>13606.6</v>
      </c>
      <c r="F39" s="3208">
        <v>27213.200000000001</v>
      </c>
      <c r="G39" s="3208" t="s">
        <v>3254</v>
      </c>
      <c r="H39" s="3208" t="s">
        <v>3203</v>
      </c>
      <c r="I39" s="3208" t="s">
        <v>3202</v>
      </c>
      <c r="J39" s="3208" t="s">
        <v>3205</v>
      </c>
      <c r="K39" s="3209">
        <v>44084</v>
      </c>
      <c r="L39" s="3208" t="s">
        <v>3206</v>
      </c>
      <c r="M39" s="3208" t="s">
        <v>3331</v>
      </c>
      <c r="N39" s="3208">
        <v>1975.68</v>
      </c>
      <c r="O39" s="3208">
        <v>400</v>
      </c>
      <c r="P39" s="3208">
        <v>1975.68</v>
      </c>
      <c r="Q39" s="3208">
        <v>96.8</v>
      </c>
      <c r="R39" s="3208">
        <v>96.8</v>
      </c>
      <c r="S39" s="3208">
        <v>726</v>
      </c>
      <c r="T39" s="3208">
        <v>726</v>
      </c>
      <c r="U39" s="3208">
        <v>0</v>
      </c>
      <c r="V39" s="3208" t="s">
        <v>3217</v>
      </c>
      <c r="W39" s="3208">
        <f>ROUND(T39*年期修正系数!$G$9,0)</f>
        <v>1103</v>
      </c>
    </row>
    <row r="40" spans="1:23">
      <c r="A40" s="3208" t="s">
        <v>3332</v>
      </c>
      <c r="B40" s="3208" t="s">
        <v>3333</v>
      </c>
      <c r="C40" s="3208" t="s">
        <v>3159</v>
      </c>
      <c r="D40" s="3208" t="s">
        <v>3202</v>
      </c>
      <c r="E40" s="3208">
        <v>13949.3</v>
      </c>
      <c r="F40" s="3208">
        <v>27898.6</v>
      </c>
      <c r="G40" s="3208" t="s">
        <v>3254</v>
      </c>
      <c r="H40" s="3208" t="s">
        <v>3203</v>
      </c>
      <c r="I40" s="3208" t="s">
        <v>3202</v>
      </c>
      <c r="J40" s="3208" t="s">
        <v>3205</v>
      </c>
      <c r="K40" s="3209">
        <v>44084</v>
      </c>
      <c r="L40" s="3208" t="s">
        <v>3206</v>
      </c>
      <c r="M40" s="3208" t="s">
        <v>3331</v>
      </c>
      <c r="N40" s="3208">
        <v>2025.44</v>
      </c>
      <c r="O40" s="3208">
        <v>410</v>
      </c>
      <c r="P40" s="3208">
        <v>2025.44</v>
      </c>
      <c r="Q40" s="3208">
        <v>96.8</v>
      </c>
      <c r="R40" s="3208">
        <v>96.8</v>
      </c>
      <c r="S40" s="3208">
        <v>726</v>
      </c>
      <c r="T40" s="3208">
        <v>726</v>
      </c>
      <c r="U40" s="3208">
        <v>0</v>
      </c>
      <c r="V40" s="3208" t="s">
        <v>3217</v>
      </c>
      <c r="W40" s="3208">
        <f>ROUND(T40*年期修正系数!$G$9,0)</f>
        <v>1103</v>
      </c>
    </row>
    <row r="41" spans="1:23">
      <c r="A41" s="3208" t="s">
        <v>3334</v>
      </c>
      <c r="B41" s="3208" t="s">
        <v>3335</v>
      </c>
      <c r="C41" s="3208" t="s">
        <v>3159</v>
      </c>
      <c r="D41" s="3208" t="s">
        <v>3202</v>
      </c>
      <c r="E41" s="3208">
        <v>19983.72</v>
      </c>
      <c r="F41" s="3208">
        <v>39967.440000000002</v>
      </c>
      <c r="G41" s="3208" t="s">
        <v>3247</v>
      </c>
      <c r="H41" s="3208" t="s">
        <v>3203</v>
      </c>
      <c r="I41" s="3208" t="s">
        <v>3297</v>
      </c>
      <c r="J41" s="3208" t="s">
        <v>3205</v>
      </c>
      <c r="K41" s="3209">
        <v>44041</v>
      </c>
      <c r="L41" s="3208" t="s">
        <v>3206</v>
      </c>
      <c r="M41" s="3208" t="s">
        <v>3336</v>
      </c>
      <c r="N41" s="3208">
        <v>2805.96</v>
      </c>
      <c r="O41" s="3208">
        <v>600</v>
      </c>
      <c r="P41" s="3208">
        <v>2805.96</v>
      </c>
      <c r="Q41" s="3208">
        <v>93.61</v>
      </c>
      <c r="R41" s="3208">
        <v>93.61</v>
      </c>
      <c r="S41" s="3208">
        <v>702</v>
      </c>
      <c r="T41" s="3208">
        <v>702</v>
      </c>
      <c r="U41" s="3208">
        <v>0</v>
      </c>
      <c r="V41" s="3208" t="s">
        <v>3217</v>
      </c>
      <c r="W41" s="3208">
        <f>ROUND(T41*年期修正系数!$G$9,0)</f>
        <v>1066</v>
      </c>
    </row>
    <row r="42" spans="1:23">
      <c r="A42" s="3208" t="s">
        <v>3337</v>
      </c>
      <c r="B42" s="3208" t="s">
        <v>3338</v>
      </c>
      <c r="C42" s="3208" t="s">
        <v>3159</v>
      </c>
      <c r="D42" s="3208" t="s">
        <v>3202</v>
      </c>
      <c r="E42" s="3208">
        <v>19983.72</v>
      </c>
      <c r="F42" s="3208">
        <v>39967.440000000002</v>
      </c>
      <c r="G42" s="3208" t="s">
        <v>3247</v>
      </c>
      <c r="H42" s="3208" t="s">
        <v>3203</v>
      </c>
      <c r="I42" s="3208" t="s">
        <v>3321</v>
      </c>
      <c r="J42" s="3208" t="s">
        <v>3205</v>
      </c>
      <c r="K42" s="3209">
        <v>43972</v>
      </c>
      <c r="L42" s="3208" t="s">
        <v>3206</v>
      </c>
      <c r="M42" s="3208" t="s">
        <v>3339</v>
      </c>
      <c r="N42" s="3208">
        <v>2801.11</v>
      </c>
      <c r="O42" s="3208">
        <v>600</v>
      </c>
      <c r="P42" s="3208">
        <v>2801.11</v>
      </c>
      <c r="Q42" s="3208">
        <v>93.45</v>
      </c>
      <c r="R42" s="3208">
        <v>93.45</v>
      </c>
      <c r="S42" s="3208">
        <v>701</v>
      </c>
      <c r="T42" s="3208">
        <v>701</v>
      </c>
      <c r="U42" s="3208">
        <v>0</v>
      </c>
      <c r="V42" s="3208" t="s">
        <v>3217</v>
      </c>
      <c r="W42" s="3208">
        <f>ROUND(T42*年期修正系数!$G$9,0)</f>
        <v>1065</v>
      </c>
    </row>
    <row r="43" spans="1:23">
      <c r="A43" s="3208" t="s">
        <v>3340</v>
      </c>
      <c r="B43" s="3208" t="s">
        <v>3341</v>
      </c>
      <c r="C43" s="3208" t="s">
        <v>3159</v>
      </c>
      <c r="D43" s="3208" t="s">
        <v>3202</v>
      </c>
      <c r="E43" s="3208">
        <v>11276.71</v>
      </c>
      <c r="F43" s="3208">
        <v>16915</v>
      </c>
      <c r="G43" s="3208" t="s">
        <v>3215</v>
      </c>
      <c r="H43" s="3208" t="s">
        <v>3203</v>
      </c>
      <c r="I43" s="3208" t="s">
        <v>3342</v>
      </c>
      <c r="J43" s="3208" t="s">
        <v>3205</v>
      </c>
      <c r="K43" s="3209">
        <v>43927</v>
      </c>
      <c r="L43" s="3208" t="s">
        <v>3206</v>
      </c>
      <c r="M43" s="3208" t="s">
        <v>3343</v>
      </c>
      <c r="N43" s="3208">
        <v>1211.81</v>
      </c>
      <c r="O43" s="3208">
        <v>250</v>
      </c>
      <c r="P43" s="3208">
        <v>1211.81</v>
      </c>
      <c r="Q43" s="3208">
        <v>71.64</v>
      </c>
      <c r="R43" s="3208">
        <v>71.64</v>
      </c>
      <c r="S43" s="3208">
        <v>716</v>
      </c>
      <c r="T43" s="3208">
        <v>716</v>
      </c>
      <c r="U43" s="3208">
        <v>0</v>
      </c>
      <c r="V43" s="3208">
        <v>20</v>
      </c>
      <c r="W43" s="3208">
        <f>ROUND(T43*年期修正系数!$G$9,0)</f>
        <v>1088</v>
      </c>
    </row>
    <row r="44" spans="1:23">
      <c r="A44" s="3208" t="s">
        <v>3344</v>
      </c>
      <c r="B44" s="3208" t="s">
        <v>3345</v>
      </c>
      <c r="C44" s="3208" t="s">
        <v>3159</v>
      </c>
      <c r="D44" s="3208" t="s">
        <v>3202</v>
      </c>
      <c r="E44" s="3208">
        <v>34995.919999999998</v>
      </c>
      <c r="F44" s="3208">
        <v>82940.33</v>
      </c>
      <c r="G44" s="3208" t="s">
        <v>3346</v>
      </c>
      <c r="H44" s="3208" t="s">
        <v>3203</v>
      </c>
      <c r="I44" s="3208" t="s">
        <v>3251</v>
      </c>
      <c r="J44" s="3208" t="s">
        <v>3205</v>
      </c>
      <c r="K44" s="3209">
        <v>43927</v>
      </c>
      <c r="L44" s="3208" t="s">
        <v>3206</v>
      </c>
      <c r="M44" s="3208" t="s">
        <v>3347</v>
      </c>
      <c r="N44" s="3208">
        <v>4868.6000000000004</v>
      </c>
      <c r="O44" s="3208">
        <v>1000</v>
      </c>
      <c r="P44" s="3208">
        <v>4868.6000000000004</v>
      </c>
      <c r="Q44" s="3208">
        <v>92.75</v>
      </c>
      <c r="R44" s="3208">
        <v>92.75</v>
      </c>
      <c r="S44" s="3208">
        <v>587</v>
      </c>
      <c r="T44" s="3208">
        <v>587</v>
      </c>
      <c r="U44" s="3208">
        <v>0</v>
      </c>
      <c r="V44" s="3208" t="s">
        <v>3217</v>
      </c>
      <c r="W44" s="3208">
        <f>ROUND(T44*年期修正系数!$G$9,0)</f>
        <v>892</v>
      </c>
    </row>
    <row r="45" spans="1:23">
      <c r="A45" s="3208" t="s">
        <v>3348</v>
      </c>
      <c r="B45" s="3208" t="s">
        <v>3349</v>
      </c>
      <c r="C45" s="3208" t="s">
        <v>3159</v>
      </c>
      <c r="D45" s="3208" t="s">
        <v>3202</v>
      </c>
      <c r="E45" s="3208">
        <v>30911.9</v>
      </c>
      <c r="F45" s="3208">
        <v>52550.23</v>
      </c>
      <c r="G45" s="3208" t="s">
        <v>3350</v>
      </c>
      <c r="H45" s="3208" t="s">
        <v>3203</v>
      </c>
      <c r="I45" s="3208" t="s">
        <v>3321</v>
      </c>
      <c r="J45" s="3208" t="s">
        <v>3205</v>
      </c>
      <c r="K45" s="3209">
        <v>43916</v>
      </c>
      <c r="L45" s="3208" t="s">
        <v>3206</v>
      </c>
      <c r="M45" s="3208" t="s">
        <v>3351</v>
      </c>
      <c r="N45" s="3208">
        <v>3815.15</v>
      </c>
      <c r="O45" s="3208">
        <v>800</v>
      </c>
      <c r="P45" s="3208">
        <v>3815.15</v>
      </c>
      <c r="Q45" s="3208">
        <v>82.28</v>
      </c>
      <c r="R45" s="3208">
        <v>82.28</v>
      </c>
      <c r="S45" s="3208">
        <v>726</v>
      </c>
      <c r="T45" s="3208">
        <v>726</v>
      </c>
      <c r="U45" s="3208">
        <v>0</v>
      </c>
      <c r="V45" s="3208" t="s">
        <v>3217</v>
      </c>
      <c r="W45" s="3208">
        <f>ROUND(T45*年期修正系数!$G$9,0)</f>
        <v>1103</v>
      </c>
    </row>
    <row r="46" spans="1:23">
      <c r="A46" s="3208" t="s">
        <v>3352</v>
      </c>
      <c r="B46" s="3208" t="s">
        <v>3353</v>
      </c>
      <c r="C46" s="3208" t="s">
        <v>3159</v>
      </c>
      <c r="D46" s="3208" t="s">
        <v>3202</v>
      </c>
      <c r="E46" s="3208">
        <v>10730.4</v>
      </c>
      <c r="F46" s="3208">
        <v>21460.799999999999</v>
      </c>
      <c r="G46" s="3208" t="s">
        <v>3247</v>
      </c>
      <c r="H46" s="3208" t="s">
        <v>3203</v>
      </c>
      <c r="I46" s="3208" t="s">
        <v>3202</v>
      </c>
      <c r="J46" s="3208" t="s">
        <v>3205</v>
      </c>
      <c r="K46" s="3209">
        <v>43824</v>
      </c>
      <c r="L46" s="3208" t="s">
        <v>3206</v>
      </c>
      <c r="M46" s="3208" t="s">
        <v>3354</v>
      </c>
      <c r="N46" s="3208">
        <v>1558.04</v>
      </c>
      <c r="O46" s="3208">
        <v>320</v>
      </c>
      <c r="P46" s="3208">
        <v>1558.04</v>
      </c>
      <c r="Q46" s="3208">
        <v>96.8</v>
      </c>
      <c r="R46" s="3208">
        <v>96.8</v>
      </c>
      <c r="S46" s="3208">
        <v>726</v>
      </c>
      <c r="T46" s="3208">
        <v>726</v>
      </c>
      <c r="U46" s="3208">
        <v>0</v>
      </c>
      <c r="V46" s="3208" t="s">
        <v>3217</v>
      </c>
      <c r="W46" s="3208">
        <f>ROUND(T46*年期修正系数!$G$9,0)</f>
        <v>1103</v>
      </c>
    </row>
    <row r="47" spans="1:23">
      <c r="A47" s="3208" t="s">
        <v>3355</v>
      </c>
      <c r="B47" s="3208" t="s">
        <v>3356</v>
      </c>
      <c r="C47" s="3208" t="s">
        <v>3159</v>
      </c>
      <c r="D47" s="3208" t="s">
        <v>3202</v>
      </c>
      <c r="E47" s="3208">
        <v>74765.8</v>
      </c>
      <c r="F47" s="3208">
        <v>112148.7</v>
      </c>
      <c r="G47" s="3208" t="s">
        <v>3215</v>
      </c>
      <c r="H47" s="3208" t="s">
        <v>3203</v>
      </c>
      <c r="I47" s="3208" t="s">
        <v>3202</v>
      </c>
      <c r="J47" s="3208" t="s">
        <v>3205</v>
      </c>
      <c r="K47" s="3209">
        <v>43824</v>
      </c>
      <c r="L47" s="3208" t="s">
        <v>3206</v>
      </c>
      <c r="M47" s="3208" t="s">
        <v>3357</v>
      </c>
      <c r="N47" s="3208">
        <v>6583.13</v>
      </c>
      <c r="O47" s="3208">
        <v>1400</v>
      </c>
      <c r="P47" s="3208">
        <v>6583.13</v>
      </c>
      <c r="Q47" s="3208">
        <v>58.7</v>
      </c>
      <c r="R47" s="3208">
        <v>58.7</v>
      </c>
      <c r="S47" s="3208">
        <v>587</v>
      </c>
      <c r="T47" s="3208">
        <v>587</v>
      </c>
      <c r="U47" s="3208">
        <v>0</v>
      </c>
      <c r="V47" s="3208" t="s">
        <v>3217</v>
      </c>
      <c r="W47" s="3208">
        <f>ROUND(T47*年期修正系数!$G$9,0)</f>
        <v>892</v>
      </c>
    </row>
    <row r="48" spans="1:23">
      <c r="A48" s="3208" t="s">
        <v>3358</v>
      </c>
      <c r="B48" s="3208" t="s">
        <v>3359</v>
      </c>
      <c r="C48" s="3208" t="s">
        <v>3159</v>
      </c>
      <c r="D48" s="3208" t="s">
        <v>3202</v>
      </c>
      <c r="E48" s="3208">
        <v>32677.200000000001</v>
      </c>
      <c r="F48" s="3208">
        <v>49015.8</v>
      </c>
      <c r="G48" s="3208" t="s">
        <v>3215</v>
      </c>
      <c r="H48" s="3208" t="s">
        <v>3203</v>
      </c>
      <c r="I48" s="3208" t="s">
        <v>3202</v>
      </c>
      <c r="J48" s="3208" t="s">
        <v>3205</v>
      </c>
      <c r="K48" s="3209">
        <v>43824</v>
      </c>
      <c r="L48" s="3208" t="s">
        <v>3206</v>
      </c>
      <c r="M48" s="3208" t="s">
        <v>3357</v>
      </c>
      <c r="N48" s="3208">
        <v>2877.23</v>
      </c>
      <c r="O48" s="3208">
        <v>600</v>
      </c>
      <c r="P48" s="3208">
        <v>2877.23</v>
      </c>
      <c r="Q48" s="3208">
        <v>58.7</v>
      </c>
      <c r="R48" s="3208">
        <v>58.7</v>
      </c>
      <c r="S48" s="3208">
        <v>587</v>
      </c>
      <c r="T48" s="3208">
        <v>587</v>
      </c>
      <c r="U48" s="3208">
        <v>0</v>
      </c>
      <c r="V48" s="3208" t="s">
        <v>3217</v>
      </c>
      <c r="W48" s="3208">
        <f>ROUND(T48*年期修正系数!$G$9,0)</f>
        <v>892</v>
      </c>
    </row>
    <row r="49" spans="1:23">
      <c r="A49" s="3208" t="s">
        <v>3360</v>
      </c>
      <c r="B49" s="3208" t="s">
        <v>3361</v>
      </c>
      <c r="C49" s="3208" t="s">
        <v>3159</v>
      </c>
      <c r="D49" s="3208" t="s">
        <v>3202</v>
      </c>
      <c r="E49" s="3208">
        <v>22695.8</v>
      </c>
      <c r="F49" s="3208">
        <v>40852.44</v>
      </c>
      <c r="G49" s="3208" t="s">
        <v>3287</v>
      </c>
      <c r="H49" s="3208" t="s">
        <v>3203</v>
      </c>
      <c r="I49" s="3208" t="s">
        <v>3202</v>
      </c>
      <c r="J49" s="3208" t="s">
        <v>3205</v>
      </c>
      <c r="K49" s="3209">
        <v>43824</v>
      </c>
      <c r="L49" s="3208" t="s">
        <v>3206</v>
      </c>
      <c r="M49" s="3208" t="s">
        <v>3362</v>
      </c>
      <c r="N49" s="3208">
        <v>4412.0600000000004</v>
      </c>
      <c r="O49" s="3208">
        <v>900</v>
      </c>
      <c r="P49" s="3208">
        <v>4412.0600000000004</v>
      </c>
      <c r="Q49" s="3208">
        <v>129.6</v>
      </c>
      <c r="R49" s="3208">
        <v>129.6</v>
      </c>
      <c r="S49" s="3208">
        <v>1080</v>
      </c>
      <c r="T49" s="3208">
        <v>1080</v>
      </c>
      <c r="U49" s="3208">
        <v>0</v>
      </c>
      <c r="V49" s="3208" t="s">
        <v>3217</v>
      </c>
      <c r="W49" s="3208">
        <f>ROUND(T49*年期修正系数!$G$9,0)</f>
        <v>1641</v>
      </c>
    </row>
    <row r="50" spans="1:23" s="3210" customFormat="1">
      <c r="A50" s="3210" t="s">
        <v>3363</v>
      </c>
      <c r="B50" s="3210" t="s">
        <v>3364</v>
      </c>
      <c r="C50" s="3210" t="s">
        <v>3159</v>
      </c>
      <c r="D50" s="3210" t="s">
        <v>3202</v>
      </c>
      <c r="E50" s="3210">
        <v>18959.82</v>
      </c>
      <c r="F50" s="3210">
        <v>28440</v>
      </c>
      <c r="G50" s="3210" t="s">
        <v>3215</v>
      </c>
      <c r="H50" s="3210" t="s">
        <v>3203</v>
      </c>
      <c r="I50" s="3210" t="s">
        <v>3321</v>
      </c>
      <c r="J50" s="3210" t="s">
        <v>3205</v>
      </c>
      <c r="K50" s="3211">
        <v>43821</v>
      </c>
      <c r="L50" s="3210" t="s">
        <v>3206</v>
      </c>
      <c r="M50" s="3210" t="s">
        <v>3365</v>
      </c>
      <c r="N50" s="3210">
        <v>3118.96</v>
      </c>
      <c r="O50" s="3210">
        <v>630</v>
      </c>
      <c r="P50" s="3210">
        <v>3118.96</v>
      </c>
      <c r="Q50" s="3210">
        <v>109.67</v>
      </c>
      <c r="R50" s="3210">
        <v>109.67</v>
      </c>
      <c r="S50" s="3210">
        <v>1097</v>
      </c>
      <c r="T50" s="3210">
        <v>1097</v>
      </c>
      <c r="U50" s="3210">
        <v>0</v>
      </c>
      <c r="V50" s="3210" t="s">
        <v>3229</v>
      </c>
      <c r="W50" s="3210">
        <f>T50</f>
        <v>1097</v>
      </c>
    </row>
    <row r="51" spans="1:23">
      <c r="A51" s="3208" t="s">
        <v>3366</v>
      </c>
      <c r="B51" s="3208" t="s">
        <v>3367</v>
      </c>
      <c r="C51" s="3208" t="s">
        <v>3159</v>
      </c>
      <c r="D51" s="3208" t="s">
        <v>3202</v>
      </c>
      <c r="E51" s="3208">
        <v>10922.9</v>
      </c>
      <c r="F51" s="3208">
        <v>16384.349999999999</v>
      </c>
      <c r="G51" s="3208" t="s">
        <v>3215</v>
      </c>
      <c r="H51" s="3208" t="s">
        <v>3203</v>
      </c>
      <c r="I51" s="3208" t="s">
        <v>3202</v>
      </c>
      <c r="J51" s="3208" t="s">
        <v>3205</v>
      </c>
      <c r="K51" s="3209">
        <v>43796</v>
      </c>
      <c r="L51" s="3208" t="s">
        <v>3206</v>
      </c>
      <c r="M51" s="3208" t="s">
        <v>3368</v>
      </c>
      <c r="N51" s="3208">
        <v>1651.53</v>
      </c>
      <c r="O51" s="3208">
        <v>350</v>
      </c>
      <c r="P51" s="3208">
        <v>1651.53</v>
      </c>
      <c r="Q51" s="3208">
        <v>100.8</v>
      </c>
      <c r="R51" s="3208">
        <v>100.8</v>
      </c>
      <c r="S51" s="3208">
        <v>1008</v>
      </c>
      <c r="T51" s="3208">
        <v>1008</v>
      </c>
      <c r="U51" s="3208">
        <v>0</v>
      </c>
      <c r="V51" s="3208" t="s">
        <v>3217</v>
      </c>
      <c r="W51" s="3208">
        <f>ROUND(T51*年期修正系数!$G$9,0)</f>
        <v>1531</v>
      </c>
    </row>
    <row r="52" spans="1:23">
      <c r="A52" s="3208" t="s">
        <v>3369</v>
      </c>
      <c r="B52" s="3208" t="s">
        <v>3370</v>
      </c>
      <c r="C52" s="3208" t="s">
        <v>3159</v>
      </c>
      <c r="D52" s="3208" t="s">
        <v>3202</v>
      </c>
      <c r="E52" s="3208">
        <v>40936.25</v>
      </c>
      <c r="F52" s="3208">
        <v>73685.25</v>
      </c>
      <c r="G52" s="3208" t="s">
        <v>3287</v>
      </c>
      <c r="H52" s="3208" t="s">
        <v>3203</v>
      </c>
      <c r="I52" s="3208" t="s">
        <v>3202</v>
      </c>
      <c r="J52" s="3208" t="s">
        <v>3205</v>
      </c>
      <c r="K52" s="3209">
        <v>43796</v>
      </c>
      <c r="L52" s="3208" t="s">
        <v>3206</v>
      </c>
      <c r="M52" s="3208" t="s">
        <v>3371</v>
      </c>
      <c r="N52" s="3208">
        <v>5349.55</v>
      </c>
      <c r="O52" s="3208">
        <v>1100</v>
      </c>
      <c r="P52" s="3208">
        <v>5349.55</v>
      </c>
      <c r="Q52" s="3208">
        <v>87.12</v>
      </c>
      <c r="R52" s="3208">
        <v>87.12</v>
      </c>
      <c r="S52" s="3208">
        <v>726</v>
      </c>
      <c r="T52" s="3208">
        <v>726</v>
      </c>
      <c r="U52" s="3208">
        <v>0</v>
      </c>
      <c r="V52" s="3208" t="s">
        <v>3217</v>
      </c>
      <c r="W52" s="3208">
        <f>ROUND(T52*年期修正系数!$G$9,0)</f>
        <v>1103</v>
      </c>
    </row>
    <row r="53" spans="1:23">
      <c r="A53" s="3208" t="s">
        <v>3372</v>
      </c>
      <c r="B53" s="3208" t="s">
        <v>3373</v>
      </c>
      <c r="C53" s="3208" t="s">
        <v>3159</v>
      </c>
      <c r="D53" s="3208" t="s">
        <v>3202</v>
      </c>
      <c r="E53" s="3208">
        <v>17789.3</v>
      </c>
      <c r="F53" s="3208">
        <v>26683.95</v>
      </c>
      <c r="G53" s="3208" t="s">
        <v>3215</v>
      </c>
      <c r="H53" s="3208" t="s">
        <v>3203</v>
      </c>
      <c r="I53" s="3208" t="s">
        <v>3202</v>
      </c>
      <c r="J53" s="3208" t="s">
        <v>3205</v>
      </c>
      <c r="K53" s="3209">
        <v>43734</v>
      </c>
      <c r="L53" s="3208" t="s">
        <v>3206</v>
      </c>
      <c r="M53" s="3208" t="s">
        <v>3374</v>
      </c>
      <c r="N53" s="3208">
        <v>1566.34</v>
      </c>
      <c r="O53" s="3208">
        <v>320</v>
      </c>
      <c r="P53" s="3208">
        <v>1566.34</v>
      </c>
      <c r="Q53" s="3208">
        <v>58.7</v>
      </c>
      <c r="R53" s="3208">
        <v>58.7</v>
      </c>
      <c r="S53" s="3208">
        <v>587</v>
      </c>
      <c r="T53" s="3208">
        <v>587</v>
      </c>
      <c r="U53" s="3208">
        <v>0</v>
      </c>
      <c r="V53" s="3208" t="s">
        <v>3217</v>
      </c>
      <c r="W53" s="3208">
        <f>ROUND(T53*年期修正系数!$G$9,0)</f>
        <v>892</v>
      </c>
    </row>
    <row r="54" spans="1:23">
      <c r="A54" s="3208" t="s">
        <v>3375</v>
      </c>
      <c r="B54" s="3208" t="s">
        <v>3376</v>
      </c>
      <c r="C54" s="3208" t="s">
        <v>3159</v>
      </c>
      <c r="D54" s="3208" t="s">
        <v>3202</v>
      </c>
      <c r="E54" s="3208">
        <v>16585.7</v>
      </c>
      <c r="F54" s="3208">
        <v>24878.55</v>
      </c>
      <c r="G54" s="3208" t="s">
        <v>3215</v>
      </c>
      <c r="H54" s="3208" t="s">
        <v>3203</v>
      </c>
      <c r="I54" s="3208" t="s">
        <v>3202</v>
      </c>
      <c r="J54" s="3208" t="s">
        <v>3205</v>
      </c>
      <c r="K54" s="3209">
        <v>43652</v>
      </c>
      <c r="L54" s="3208" t="s">
        <v>3206</v>
      </c>
      <c r="M54" s="3208" t="s">
        <v>3377</v>
      </c>
      <c r="N54" s="3208">
        <v>1460.36</v>
      </c>
      <c r="O54" s="3208">
        <v>300</v>
      </c>
      <c r="P54" s="3208">
        <v>1460.36</v>
      </c>
      <c r="Q54" s="3208">
        <v>58.7</v>
      </c>
      <c r="R54" s="3208">
        <v>58.7</v>
      </c>
      <c r="S54" s="3208">
        <v>587</v>
      </c>
      <c r="T54" s="3208">
        <v>587</v>
      </c>
      <c r="U54" s="3208">
        <v>0</v>
      </c>
      <c r="V54" s="3208" t="s">
        <v>3217</v>
      </c>
      <c r="W54" s="3208">
        <f>ROUND(T54*年期修正系数!$G$9,0)</f>
        <v>892</v>
      </c>
    </row>
    <row r="55" spans="1:23" s="3210" customFormat="1">
      <c r="A55" s="3210" t="s">
        <v>3378</v>
      </c>
      <c r="B55" s="3210" t="s">
        <v>3379</v>
      </c>
      <c r="C55" s="3210" t="s">
        <v>3159</v>
      </c>
      <c r="D55" s="3210" t="s">
        <v>3202</v>
      </c>
      <c r="E55" s="3210">
        <v>33687.910000000003</v>
      </c>
      <c r="F55" s="3210">
        <v>50532</v>
      </c>
      <c r="G55" s="3210" t="s">
        <v>3215</v>
      </c>
      <c r="H55" s="3210" t="s">
        <v>3203</v>
      </c>
      <c r="I55" s="3210" t="s">
        <v>3380</v>
      </c>
      <c r="J55" s="3210" t="s">
        <v>3205</v>
      </c>
      <c r="K55" s="3211">
        <v>43644</v>
      </c>
      <c r="L55" s="3210" t="s">
        <v>3206</v>
      </c>
      <c r="M55" s="3210" t="s">
        <v>3381</v>
      </c>
      <c r="N55" s="3210">
        <v>6324.09</v>
      </c>
      <c r="O55" s="3210">
        <v>1300</v>
      </c>
      <c r="P55" s="3210">
        <v>6324.09</v>
      </c>
      <c r="Q55" s="3210">
        <v>125.15</v>
      </c>
      <c r="R55" s="3210">
        <v>125.15</v>
      </c>
      <c r="S55" s="3210">
        <v>1252</v>
      </c>
      <c r="T55" s="3210">
        <v>1252</v>
      </c>
      <c r="U55" s="3210">
        <v>0</v>
      </c>
      <c r="V55" s="3210" t="s">
        <v>3229</v>
      </c>
      <c r="W55" s="3210">
        <f>T55</f>
        <v>1252</v>
      </c>
    </row>
    <row r="56" spans="1:23">
      <c r="A56" s="3208" t="s">
        <v>3382</v>
      </c>
      <c r="B56" s="3208" t="s">
        <v>3383</v>
      </c>
      <c r="C56" s="3208" t="s">
        <v>3159</v>
      </c>
      <c r="D56" s="3208" t="s">
        <v>3202</v>
      </c>
      <c r="E56" s="3208">
        <v>26114.2</v>
      </c>
      <c r="F56" s="3208">
        <v>39171.300000000003</v>
      </c>
      <c r="G56" s="3208">
        <v>1.5</v>
      </c>
      <c r="H56" s="3208" t="s">
        <v>3203</v>
      </c>
      <c r="I56" s="3208" t="s">
        <v>3210</v>
      </c>
      <c r="J56" s="3208" t="s">
        <v>3205</v>
      </c>
      <c r="K56" s="3209">
        <v>43577</v>
      </c>
      <c r="L56" s="3208" t="s">
        <v>3206</v>
      </c>
      <c r="M56" s="3208" t="s">
        <v>3371</v>
      </c>
      <c r="N56" s="3208">
        <v>4230.5</v>
      </c>
      <c r="O56" s="3208">
        <v>900</v>
      </c>
      <c r="P56" s="3208">
        <v>4230.5</v>
      </c>
      <c r="Q56" s="3208">
        <v>108</v>
      </c>
      <c r="R56" s="3208">
        <v>108</v>
      </c>
      <c r="S56" s="3208">
        <v>1080</v>
      </c>
      <c r="T56" s="3208">
        <v>1080</v>
      </c>
      <c r="U56" s="3208">
        <v>0</v>
      </c>
      <c r="V56" s="3208">
        <v>20</v>
      </c>
      <c r="W56" s="3208">
        <f>ROUND(T56*年期修正系数!$G$9,0)</f>
        <v>1641</v>
      </c>
    </row>
    <row r="57" spans="1:23">
      <c r="A57" s="3208" t="s">
        <v>3384</v>
      </c>
      <c r="B57" s="3208" t="s">
        <v>3385</v>
      </c>
      <c r="C57" s="3208" t="s">
        <v>3159</v>
      </c>
      <c r="D57" s="3208" t="s">
        <v>3202</v>
      </c>
      <c r="E57" s="3208">
        <v>6828.9</v>
      </c>
      <c r="F57" s="3208">
        <v>10243.35</v>
      </c>
      <c r="G57" s="3208" t="s">
        <v>3215</v>
      </c>
      <c r="H57" s="3208" t="s">
        <v>3203</v>
      </c>
      <c r="I57" s="3208" t="s">
        <v>3202</v>
      </c>
      <c r="J57" s="3208" t="s">
        <v>3205</v>
      </c>
      <c r="K57" s="3209">
        <v>43565</v>
      </c>
      <c r="L57" s="3208" t="s">
        <v>3206</v>
      </c>
      <c r="M57" s="3208" t="s">
        <v>3386</v>
      </c>
      <c r="N57" s="3208">
        <v>743.66</v>
      </c>
      <c r="O57" s="3208">
        <v>150</v>
      </c>
      <c r="P57" s="3208">
        <v>743.66</v>
      </c>
      <c r="Q57" s="3208">
        <v>72.599999999999994</v>
      </c>
      <c r="R57" s="3208">
        <v>72.599999999999994</v>
      </c>
      <c r="S57" s="3208">
        <v>726</v>
      </c>
      <c r="T57" s="3208">
        <v>726</v>
      </c>
      <c r="U57" s="3208">
        <v>0</v>
      </c>
      <c r="V57" s="3208" t="s">
        <v>3217</v>
      </c>
      <c r="W57" s="3208">
        <f>ROUND(T57*年期修正系数!$G$9,0)</f>
        <v>1103</v>
      </c>
    </row>
    <row r="58" spans="1:23">
      <c r="A58" s="3208" t="s">
        <v>3387</v>
      </c>
      <c r="B58" s="3208" t="s">
        <v>3388</v>
      </c>
      <c r="C58" s="3208" t="s">
        <v>3159</v>
      </c>
      <c r="D58" s="3208" t="s">
        <v>3202</v>
      </c>
      <c r="E58" s="3208">
        <v>47662.6</v>
      </c>
      <c r="F58" s="3208">
        <v>95325.2</v>
      </c>
      <c r="G58" s="3208" t="s">
        <v>3254</v>
      </c>
      <c r="H58" s="3208" t="s">
        <v>3203</v>
      </c>
      <c r="I58" s="3208" t="s">
        <v>3202</v>
      </c>
      <c r="J58" s="3208" t="s">
        <v>3205</v>
      </c>
      <c r="K58" s="3209">
        <v>43558</v>
      </c>
      <c r="L58" s="3208" t="s">
        <v>3206</v>
      </c>
      <c r="M58" s="3208" t="s">
        <v>3371</v>
      </c>
      <c r="N58" s="3208">
        <v>5595.59</v>
      </c>
      <c r="O58" s="3208">
        <v>1200</v>
      </c>
      <c r="P58" s="3208">
        <v>5595.59</v>
      </c>
      <c r="Q58" s="3208">
        <v>78.27</v>
      </c>
      <c r="R58" s="3208">
        <v>78.27</v>
      </c>
      <c r="S58" s="3208">
        <v>587</v>
      </c>
      <c r="T58" s="3208">
        <v>587</v>
      </c>
      <c r="U58" s="3208">
        <v>0</v>
      </c>
      <c r="V58" s="3208" t="s">
        <v>3217</v>
      </c>
      <c r="W58" s="3208">
        <f>ROUND(T58*年期修正系数!$G$9,0)</f>
        <v>892</v>
      </c>
    </row>
    <row r="59" spans="1:23">
      <c r="A59" s="3208" t="s">
        <v>3389</v>
      </c>
      <c r="B59" s="3208" t="s">
        <v>3390</v>
      </c>
      <c r="C59" s="3208" t="s">
        <v>3159</v>
      </c>
      <c r="D59" s="3208" t="s">
        <v>3202</v>
      </c>
      <c r="E59" s="3208">
        <v>35138.400000000001</v>
      </c>
      <c r="F59" s="3208">
        <v>59735.28</v>
      </c>
      <c r="G59" s="3208" t="s">
        <v>3350</v>
      </c>
      <c r="H59" s="3208" t="s">
        <v>3203</v>
      </c>
      <c r="I59" s="3208" t="s">
        <v>3202</v>
      </c>
      <c r="J59" s="3208" t="s">
        <v>3205</v>
      </c>
      <c r="K59" s="3209">
        <v>43558</v>
      </c>
      <c r="L59" s="3208" t="s">
        <v>3206</v>
      </c>
      <c r="M59" s="3208" t="s">
        <v>3391</v>
      </c>
      <c r="N59" s="3208">
        <v>4336.7700000000004</v>
      </c>
      <c r="O59" s="3208">
        <v>900</v>
      </c>
      <c r="P59" s="3208">
        <v>4336.7700000000004</v>
      </c>
      <c r="Q59" s="3208">
        <v>82.28</v>
      </c>
      <c r="R59" s="3208">
        <v>82.28</v>
      </c>
      <c r="S59" s="3208">
        <v>726</v>
      </c>
      <c r="T59" s="3208">
        <v>726</v>
      </c>
      <c r="U59" s="3208">
        <v>0</v>
      </c>
      <c r="V59" s="3208" t="s">
        <v>3217</v>
      </c>
      <c r="W59" s="3208">
        <f>ROUND(T59*年期修正系数!$G$9,0)</f>
        <v>1103</v>
      </c>
    </row>
    <row r="60" spans="1:23">
      <c r="A60" s="3208" t="s">
        <v>3389</v>
      </c>
      <c r="B60" s="3208" t="s">
        <v>3392</v>
      </c>
      <c r="C60" s="3208" t="s">
        <v>3159</v>
      </c>
      <c r="D60" s="3208" t="s">
        <v>3202</v>
      </c>
      <c r="E60" s="3208">
        <v>47778.8</v>
      </c>
      <c r="F60" s="3208">
        <v>95557.6</v>
      </c>
      <c r="G60" s="3208" t="s">
        <v>3247</v>
      </c>
      <c r="H60" s="3208" t="s">
        <v>3203</v>
      </c>
      <c r="I60" s="3208" t="s">
        <v>3202</v>
      </c>
      <c r="J60" s="3208" t="s">
        <v>3205</v>
      </c>
      <c r="K60" s="3209">
        <v>43558</v>
      </c>
      <c r="L60" s="3208" t="s">
        <v>3206</v>
      </c>
      <c r="M60" s="3208" t="s">
        <v>3393</v>
      </c>
      <c r="N60" s="3208">
        <v>5609.22</v>
      </c>
      <c r="O60" s="3208">
        <v>1200</v>
      </c>
      <c r="P60" s="3208">
        <v>5609.22</v>
      </c>
      <c r="Q60" s="3208">
        <v>78.27</v>
      </c>
      <c r="R60" s="3208">
        <v>78.27</v>
      </c>
      <c r="S60" s="3208">
        <v>587</v>
      </c>
      <c r="T60" s="3208">
        <v>587</v>
      </c>
      <c r="U60" s="3208">
        <v>0</v>
      </c>
      <c r="V60" s="3208" t="s">
        <v>3217</v>
      </c>
      <c r="W60" s="3208">
        <f>ROUND(T60*年期修正系数!$G$9,0)</f>
        <v>892</v>
      </c>
    </row>
    <row r="61" spans="1:23">
      <c r="A61" s="3208" t="s">
        <v>3394</v>
      </c>
      <c r="B61" s="3208" t="s">
        <v>3395</v>
      </c>
      <c r="C61" s="3208" t="s">
        <v>3159</v>
      </c>
      <c r="D61" s="3208" t="s">
        <v>3202</v>
      </c>
      <c r="E61" s="3208">
        <v>82980.600000000006</v>
      </c>
      <c r="F61" s="3208">
        <v>132769</v>
      </c>
      <c r="G61" s="3208" t="s">
        <v>3396</v>
      </c>
      <c r="H61" s="3208" t="s">
        <v>3203</v>
      </c>
      <c r="I61" s="3208" t="s">
        <v>3202</v>
      </c>
      <c r="J61" s="3208" t="s">
        <v>3205</v>
      </c>
      <c r="K61" s="3209">
        <v>43558</v>
      </c>
      <c r="L61" s="3208" t="s">
        <v>3206</v>
      </c>
      <c r="M61" s="3208" t="s">
        <v>3397</v>
      </c>
      <c r="N61" s="3208">
        <v>7793.53</v>
      </c>
      <c r="O61" s="3208">
        <v>1600</v>
      </c>
      <c r="P61" s="3208">
        <v>7793.53</v>
      </c>
      <c r="Q61" s="3208">
        <v>62.61</v>
      </c>
      <c r="R61" s="3208">
        <v>62.61</v>
      </c>
      <c r="S61" s="3208">
        <v>587</v>
      </c>
      <c r="T61" s="3208">
        <v>587</v>
      </c>
      <c r="U61" s="3208">
        <v>0</v>
      </c>
      <c r="V61" s="3208" t="s">
        <v>3217</v>
      </c>
      <c r="W61" s="3208">
        <f>ROUND(T61*年期修正系数!$G$9,0)</f>
        <v>892</v>
      </c>
    </row>
    <row r="62" spans="1:23" s="3210" customFormat="1">
      <c r="A62" s="3210" t="s">
        <v>3398</v>
      </c>
      <c r="B62" s="3210" t="s">
        <v>3399</v>
      </c>
      <c r="C62" s="3210" t="s">
        <v>3159</v>
      </c>
      <c r="D62" s="3210" t="s">
        <v>3202</v>
      </c>
      <c r="E62" s="3210">
        <v>104438.5</v>
      </c>
      <c r="F62" s="3210">
        <v>156658</v>
      </c>
      <c r="G62" s="3210">
        <v>1.5</v>
      </c>
      <c r="H62" s="3210" t="s">
        <v>3203</v>
      </c>
      <c r="I62" s="3210" t="s">
        <v>3342</v>
      </c>
      <c r="J62" s="3210" t="s">
        <v>3205</v>
      </c>
      <c r="K62" s="3211">
        <v>43482</v>
      </c>
      <c r="L62" s="3210" t="s">
        <v>3206</v>
      </c>
      <c r="M62" s="3210" t="s">
        <v>3400</v>
      </c>
      <c r="N62" s="3210">
        <v>16825.060000000001</v>
      </c>
      <c r="O62" s="3210">
        <v>4000</v>
      </c>
      <c r="P62" s="3210">
        <v>16825.060000000001</v>
      </c>
      <c r="Q62" s="3210">
        <v>107.4</v>
      </c>
      <c r="R62" s="3210">
        <v>107.4</v>
      </c>
      <c r="S62" s="3210">
        <v>1074</v>
      </c>
      <c r="T62" s="3210">
        <v>1074</v>
      </c>
      <c r="U62" s="3210">
        <v>0</v>
      </c>
      <c r="V62" s="3210" t="s">
        <v>3229</v>
      </c>
      <c r="W62" s="3210">
        <f>T62</f>
        <v>1074</v>
      </c>
    </row>
    <row r="63" spans="1:23" s="3210" customFormat="1">
      <c r="A63" s="3210" t="s">
        <v>3401</v>
      </c>
      <c r="B63" s="3210" t="s">
        <v>3402</v>
      </c>
      <c r="C63" s="3210" t="s">
        <v>3159</v>
      </c>
      <c r="D63" s="3210" t="s">
        <v>3202</v>
      </c>
      <c r="E63" s="3210">
        <v>90013.22</v>
      </c>
      <c r="F63" s="3210">
        <v>135020</v>
      </c>
      <c r="G63" s="3210">
        <v>1.5</v>
      </c>
      <c r="H63" s="3210" t="s">
        <v>3203</v>
      </c>
      <c r="I63" s="3210" t="s">
        <v>3342</v>
      </c>
      <c r="J63" s="3210" t="s">
        <v>3205</v>
      </c>
      <c r="K63" s="3211">
        <v>43482</v>
      </c>
      <c r="L63" s="3210" t="s">
        <v>3206</v>
      </c>
      <c r="M63" s="3210" t="s">
        <v>3403</v>
      </c>
      <c r="N63" s="3210">
        <v>13936.72</v>
      </c>
      <c r="O63" s="3210">
        <v>2800</v>
      </c>
      <c r="P63" s="3210">
        <v>13936.72</v>
      </c>
      <c r="Q63" s="3210">
        <v>103.22</v>
      </c>
      <c r="R63" s="3210">
        <v>103.22</v>
      </c>
      <c r="S63" s="3210">
        <v>1032</v>
      </c>
      <c r="T63" s="3210">
        <v>1032</v>
      </c>
      <c r="U63" s="3210">
        <v>0</v>
      </c>
      <c r="V63" s="3210" t="s">
        <v>3229</v>
      </c>
      <c r="W63" s="3210">
        <f>T63</f>
        <v>1032</v>
      </c>
    </row>
    <row r="64" spans="1:23">
      <c r="A64" s="3208" t="s">
        <v>3404</v>
      </c>
      <c r="B64" s="3208" t="s">
        <v>3405</v>
      </c>
      <c r="C64" s="3208" t="s">
        <v>3159</v>
      </c>
      <c r="D64" s="3208" t="s">
        <v>3202</v>
      </c>
      <c r="E64" s="3208">
        <v>181625.8</v>
      </c>
      <c r="F64" s="3208">
        <v>181625.8</v>
      </c>
      <c r="G64" s="3208">
        <v>1</v>
      </c>
      <c r="H64" s="3208" t="s">
        <v>3203</v>
      </c>
      <c r="I64" s="3208" t="s">
        <v>3210</v>
      </c>
      <c r="J64" s="3208" t="s">
        <v>3205</v>
      </c>
      <c r="K64" s="3209">
        <v>43481</v>
      </c>
      <c r="L64" s="3208" t="s">
        <v>3206</v>
      </c>
      <c r="M64" s="3208" t="s">
        <v>3371</v>
      </c>
      <c r="N64" s="3208">
        <v>10661.43</v>
      </c>
      <c r="O64" s="3208">
        <v>2200</v>
      </c>
      <c r="P64" s="3208">
        <v>10661.43</v>
      </c>
      <c r="Q64" s="3208">
        <v>39.130000000000003</v>
      </c>
      <c r="R64" s="3208">
        <v>39.130000000000003</v>
      </c>
      <c r="S64" s="3208">
        <v>587</v>
      </c>
      <c r="T64" s="3208">
        <v>587</v>
      </c>
      <c r="U64" s="3208">
        <v>0</v>
      </c>
      <c r="V64" s="3208" t="s">
        <v>3217</v>
      </c>
      <c r="W64" s="3208">
        <f>ROUND(T64*年期修正系数!$G$9,0)</f>
        <v>892</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9" sqref="G9"/>
    </sheetView>
  </sheetViews>
  <sheetFormatPr defaultColWidth="9" defaultRowHeight="20.25" customHeight="1"/>
  <cols>
    <col min="1" max="1" width="14.21875" style="3212" customWidth="1"/>
    <col min="2" max="2" width="18.77734375" style="3212" customWidth="1"/>
    <col min="3" max="5" width="14.21875" style="3212" customWidth="1"/>
    <col min="6" max="6" width="11" style="3212" customWidth="1"/>
    <col min="7" max="7" width="9" style="3212"/>
    <col min="8" max="8" width="13.77734375" style="3212" customWidth="1"/>
    <col min="9" max="256" width="9" style="3212"/>
    <col min="257" max="257" width="14.21875" style="3212" customWidth="1"/>
    <col min="258" max="258" width="18.77734375" style="3212" customWidth="1"/>
    <col min="259" max="261" width="14.21875" style="3212" customWidth="1"/>
    <col min="262" max="262" width="11" style="3212" customWidth="1"/>
    <col min="263" max="263" width="9" style="3212"/>
    <col min="264" max="264" width="13.77734375" style="3212" customWidth="1"/>
    <col min="265" max="512" width="9" style="3212"/>
    <col min="513" max="513" width="14.21875" style="3212" customWidth="1"/>
    <col min="514" max="514" width="18.77734375" style="3212" customWidth="1"/>
    <col min="515" max="517" width="14.21875" style="3212" customWidth="1"/>
    <col min="518" max="518" width="11" style="3212" customWidth="1"/>
    <col min="519" max="519" width="9" style="3212"/>
    <col min="520" max="520" width="13.77734375" style="3212" customWidth="1"/>
    <col min="521" max="768" width="9" style="3212"/>
    <col min="769" max="769" width="14.21875" style="3212" customWidth="1"/>
    <col min="770" max="770" width="18.77734375" style="3212" customWidth="1"/>
    <col min="771" max="773" width="14.21875" style="3212" customWidth="1"/>
    <col min="774" max="774" width="11" style="3212" customWidth="1"/>
    <col min="775" max="775" width="9" style="3212"/>
    <col min="776" max="776" width="13.77734375" style="3212" customWidth="1"/>
    <col min="777" max="1024" width="9" style="3212"/>
    <col min="1025" max="1025" width="14.21875" style="3212" customWidth="1"/>
    <col min="1026" max="1026" width="18.77734375" style="3212" customWidth="1"/>
    <col min="1027" max="1029" width="14.21875" style="3212" customWidth="1"/>
    <col min="1030" max="1030" width="11" style="3212" customWidth="1"/>
    <col min="1031" max="1031" width="9" style="3212"/>
    <col min="1032" max="1032" width="13.77734375" style="3212" customWidth="1"/>
    <col min="1033" max="1280" width="9" style="3212"/>
    <col min="1281" max="1281" width="14.21875" style="3212" customWidth="1"/>
    <col min="1282" max="1282" width="18.77734375" style="3212" customWidth="1"/>
    <col min="1283" max="1285" width="14.21875" style="3212" customWidth="1"/>
    <col min="1286" max="1286" width="11" style="3212" customWidth="1"/>
    <col min="1287" max="1287" width="9" style="3212"/>
    <col min="1288" max="1288" width="13.77734375" style="3212" customWidth="1"/>
    <col min="1289" max="1536" width="9" style="3212"/>
    <col min="1537" max="1537" width="14.21875" style="3212" customWidth="1"/>
    <col min="1538" max="1538" width="18.77734375" style="3212" customWidth="1"/>
    <col min="1539" max="1541" width="14.21875" style="3212" customWidth="1"/>
    <col min="1542" max="1542" width="11" style="3212" customWidth="1"/>
    <col min="1543" max="1543" width="9" style="3212"/>
    <col min="1544" max="1544" width="13.77734375" style="3212" customWidth="1"/>
    <col min="1545" max="1792" width="9" style="3212"/>
    <col min="1793" max="1793" width="14.21875" style="3212" customWidth="1"/>
    <col min="1794" max="1794" width="18.77734375" style="3212" customWidth="1"/>
    <col min="1795" max="1797" width="14.21875" style="3212" customWidth="1"/>
    <col min="1798" max="1798" width="11" style="3212" customWidth="1"/>
    <col min="1799" max="1799" width="9" style="3212"/>
    <col min="1800" max="1800" width="13.77734375" style="3212" customWidth="1"/>
    <col min="1801" max="2048" width="9" style="3212"/>
    <col min="2049" max="2049" width="14.21875" style="3212" customWidth="1"/>
    <col min="2050" max="2050" width="18.77734375" style="3212" customWidth="1"/>
    <col min="2051" max="2053" width="14.21875" style="3212" customWidth="1"/>
    <col min="2054" max="2054" width="11" style="3212" customWidth="1"/>
    <col min="2055" max="2055" width="9" style="3212"/>
    <col min="2056" max="2056" width="13.77734375" style="3212" customWidth="1"/>
    <col min="2057" max="2304" width="9" style="3212"/>
    <col min="2305" max="2305" width="14.21875" style="3212" customWidth="1"/>
    <col min="2306" max="2306" width="18.77734375" style="3212" customWidth="1"/>
    <col min="2307" max="2309" width="14.21875" style="3212" customWidth="1"/>
    <col min="2310" max="2310" width="11" style="3212" customWidth="1"/>
    <col min="2311" max="2311" width="9" style="3212"/>
    <col min="2312" max="2312" width="13.77734375" style="3212" customWidth="1"/>
    <col min="2313" max="2560" width="9" style="3212"/>
    <col min="2561" max="2561" width="14.21875" style="3212" customWidth="1"/>
    <col min="2562" max="2562" width="18.77734375" style="3212" customWidth="1"/>
    <col min="2563" max="2565" width="14.21875" style="3212" customWidth="1"/>
    <col min="2566" max="2566" width="11" style="3212" customWidth="1"/>
    <col min="2567" max="2567" width="9" style="3212"/>
    <col min="2568" max="2568" width="13.77734375" style="3212" customWidth="1"/>
    <col min="2569" max="2816" width="9" style="3212"/>
    <col min="2817" max="2817" width="14.21875" style="3212" customWidth="1"/>
    <col min="2818" max="2818" width="18.77734375" style="3212" customWidth="1"/>
    <col min="2819" max="2821" width="14.21875" style="3212" customWidth="1"/>
    <col min="2822" max="2822" width="11" style="3212" customWidth="1"/>
    <col min="2823" max="2823" width="9" style="3212"/>
    <col min="2824" max="2824" width="13.77734375" style="3212" customWidth="1"/>
    <col min="2825" max="3072" width="9" style="3212"/>
    <col min="3073" max="3073" width="14.21875" style="3212" customWidth="1"/>
    <col min="3074" max="3074" width="18.77734375" style="3212" customWidth="1"/>
    <col min="3075" max="3077" width="14.21875" style="3212" customWidth="1"/>
    <col min="3078" max="3078" width="11" style="3212" customWidth="1"/>
    <col min="3079" max="3079" width="9" style="3212"/>
    <col min="3080" max="3080" width="13.77734375" style="3212" customWidth="1"/>
    <col min="3081" max="3328" width="9" style="3212"/>
    <col min="3329" max="3329" width="14.21875" style="3212" customWidth="1"/>
    <col min="3330" max="3330" width="18.77734375" style="3212" customWidth="1"/>
    <col min="3331" max="3333" width="14.21875" style="3212" customWidth="1"/>
    <col min="3334" max="3334" width="11" style="3212" customWidth="1"/>
    <col min="3335" max="3335" width="9" style="3212"/>
    <col min="3336" max="3336" width="13.77734375" style="3212" customWidth="1"/>
    <col min="3337" max="3584" width="9" style="3212"/>
    <col min="3585" max="3585" width="14.21875" style="3212" customWidth="1"/>
    <col min="3586" max="3586" width="18.77734375" style="3212" customWidth="1"/>
    <col min="3587" max="3589" width="14.21875" style="3212" customWidth="1"/>
    <col min="3590" max="3590" width="11" style="3212" customWidth="1"/>
    <col min="3591" max="3591" width="9" style="3212"/>
    <col min="3592" max="3592" width="13.77734375" style="3212" customWidth="1"/>
    <col min="3593" max="3840" width="9" style="3212"/>
    <col min="3841" max="3841" width="14.21875" style="3212" customWidth="1"/>
    <col min="3842" max="3842" width="18.77734375" style="3212" customWidth="1"/>
    <col min="3843" max="3845" width="14.21875" style="3212" customWidth="1"/>
    <col min="3846" max="3846" width="11" style="3212" customWidth="1"/>
    <col min="3847" max="3847" width="9" style="3212"/>
    <col min="3848" max="3848" width="13.77734375" style="3212" customWidth="1"/>
    <col min="3849" max="4096" width="9" style="3212"/>
    <col min="4097" max="4097" width="14.21875" style="3212" customWidth="1"/>
    <col min="4098" max="4098" width="18.77734375" style="3212" customWidth="1"/>
    <col min="4099" max="4101" width="14.21875" style="3212" customWidth="1"/>
    <col min="4102" max="4102" width="11" style="3212" customWidth="1"/>
    <col min="4103" max="4103" width="9" style="3212"/>
    <col min="4104" max="4104" width="13.77734375" style="3212" customWidth="1"/>
    <col min="4105" max="4352" width="9" style="3212"/>
    <col min="4353" max="4353" width="14.21875" style="3212" customWidth="1"/>
    <col min="4354" max="4354" width="18.77734375" style="3212" customWidth="1"/>
    <col min="4355" max="4357" width="14.21875" style="3212" customWidth="1"/>
    <col min="4358" max="4358" width="11" style="3212" customWidth="1"/>
    <col min="4359" max="4359" width="9" style="3212"/>
    <col min="4360" max="4360" width="13.77734375" style="3212" customWidth="1"/>
    <col min="4361" max="4608" width="9" style="3212"/>
    <col min="4609" max="4609" width="14.21875" style="3212" customWidth="1"/>
    <col min="4610" max="4610" width="18.77734375" style="3212" customWidth="1"/>
    <col min="4611" max="4613" width="14.21875" style="3212" customWidth="1"/>
    <col min="4614" max="4614" width="11" style="3212" customWidth="1"/>
    <col min="4615" max="4615" width="9" style="3212"/>
    <col min="4616" max="4616" width="13.77734375" style="3212" customWidth="1"/>
    <col min="4617" max="4864" width="9" style="3212"/>
    <col min="4865" max="4865" width="14.21875" style="3212" customWidth="1"/>
    <col min="4866" max="4866" width="18.77734375" style="3212" customWidth="1"/>
    <col min="4867" max="4869" width="14.21875" style="3212" customWidth="1"/>
    <col min="4870" max="4870" width="11" style="3212" customWidth="1"/>
    <col min="4871" max="4871" width="9" style="3212"/>
    <col min="4872" max="4872" width="13.77734375" style="3212" customWidth="1"/>
    <col min="4873" max="5120" width="9" style="3212"/>
    <col min="5121" max="5121" width="14.21875" style="3212" customWidth="1"/>
    <col min="5122" max="5122" width="18.77734375" style="3212" customWidth="1"/>
    <col min="5123" max="5125" width="14.21875" style="3212" customWidth="1"/>
    <col min="5126" max="5126" width="11" style="3212" customWidth="1"/>
    <col min="5127" max="5127" width="9" style="3212"/>
    <col min="5128" max="5128" width="13.77734375" style="3212" customWidth="1"/>
    <col min="5129" max="5376" width="9" style="3212"/>
    <col min="5377" max="5377" width="14.21875" style="3212" customWidth="1"/>
    <col min="5378" max="5378" width="18.77734375" style="3212" customWidth="1"/>
    <col min="5379" max="5381" width="14.21875" style="3212" customWidth="1"/>
    <col min="5382" max="5382" width="11" style="3212" customWidth="1"/>
    <col min="5383" max="5383" width="9" style="3212"/>
    <col min="5384" max="5384" width="13.77734375" style="3212" customWidth="1"/>
    <col min="5385" max="5632" width="9" style="3212"/>
    <col min="5633" max="5633" width="14.21875" style="3212" customWidth="1"/>
    <col min="5634" max="5634" width="18.77734375" style="3212" customWidth="1"/>
    <col min="5635" max="5637" width="14.21875" style="3212" customWidth="1"/>
    <col min="5638" max="5638" width="11" style="3212" customWidth="1"/>
    <col min="5639" max="5639" width="9" style="3212"/>
    <col min="5640" max="5640" width="13.77734375" style="3212" customWidth="1"/>
    <col min="5641" max="5888" width="9" style="3212"/>
    <col min="5889" max="5889" width="14.21875" style="3212" customWidth="1"/>
    <col min="5890" max="5890" width="18.77734375" style="3212" customWidth="1"/>
    <col min="5891" max="5893" width="14.21875" style="3212" customWidth="1"/>
    <col min="5894" max="5894" width="11" style="3212" customWidth="1"/>
    <col min="5895" max="5895" width="9" style="3212"/>
    <col min="5896" max="5896" width="13.77734375" style="3212" customWidth="1"/>
    <col min="5897" max="6144" width="9" style="3212"/>
    <col min="6145" max="6145" width="14.21875" style="3212" customWidth="1"/>
    <col min="6146" max="6146" width="18.77734375" style="3212" customWidth="1"/>
    <col min="6147" max="6149" width="14.21875" style="3212" customWidth="1"/>
    <col min="6150" max="6150" width="11" style="3212" customWidth="1"/>
    <col min="6151" max="6151" width="9" style="3212"/>
    <col min="6152" max="6152" width="13.77734375" style="3212" customWidth="1"/>
    <col min="6153" max="6400" width="9" style="3212"/>
    <col min="6401" max="6401" width="14.21875" style="3212" customWidth="1"/>
    <col min="6402" max="6402" width="18.77734375" style="3212" customWidth="1"/>
    <col min="6403" max="6405" width="14.21875" style="3212" customWidth="1"/>
    <col min="6406" max="6406" width="11" style="3212" customWidth="1"/>
    <col min="6407" max="6407" width="9" style="3212"/>
    <col min="6408" max="6408" width="13.77734375" style="3212" customWidth="1"/>
    <col min="6409" max="6656" width="9" style="3212"/>
    <col min="6657" max="6657" width="14.21875" style="3212" customWidth="1"/>
    <col min="6658" max="6658" width="18.77734375" style="3212" customWidth="1"/>
    <col min="6659" max="6661" width="14.21875" style="3212" customWidth="1"/>
    <col min="6662" max="6662" width="11" style="3212" customWidth="1"/>
    <col min="6663" max="6663" width="9" style="3212"/>
    <col min="6664" max="6664" width="13.77734375" style="3212" customWidth="1"/>
    <col min="6665" max="6912" width="9" style="3212"/>
    <col min="6913" max="6913" width="14.21875" style="3212" customWidth="1"/>
    <col min="6914" max="6914" width="18.77734375" style="3212" customWidth="1"/>
    <col min="6915" max="6917" width="14.21875" style="3212" customWidth="1"/>
    <col min="6918" max="6918" width="11" style="3212" customWidth="1"/>
    <col min="6919" max="6919" width="9" style="3212"/>
    <col min="6920" max="6920" width="13.77734375" style="3212" customWidth="1"/>
    <col min="6921" max="7168" width="9" style="3212"/>
    <col min="7169" max="7169" width="14.21875" style="3212" customWidth="1"/>
    <col min="7170" max="7170" width="18.77734375" style="3212" customWidth="1"/>
    <col min="7171" max="7173" width="14.21875" style="3212" customWidth="1"/>
    <col min="7174" max="7174" width="11" style="3212" customWidth="1"/>
    <col min="7175" max="7175" width="9" style="3212"/>
    <col min="7176" max="7176" width="13.77734375" style="3212" customWidth="1"/>
    <col min="7177" max="7424" width="9" style="3212"/>
    <col min="7425" max="7425" width="14.21875" style="3212" customWidth="1"/>
    <col min="7426" max="7426" width="18.77734375" style="3212" customWidth="1"/>
    <col min="7427" max="7429" width="14.21875" style="3212" customWidth="1"/>
    <col min="7430" max="7430" width="11" style="3212" customWidth="1"/>
    <col min="7431" max="7431" width="9" style="3212"/>
    <col min="7432" max="7432" width="13.77734375" style="3212" customWidth="1"/>
    <col min="7433" max="7680" width="9" style="3212"/>
    <col min="7681" max="7681" width="14.21875" style="3212" customWidth="1"/>
    <col min="7682" max="7682" width="18.77734375" style="3212" customWidth="1"/>
    <col min="7683" max="7685" width="14.21875" style="3212" customWidth="1"/>
    <col min="7686" max="7686" width="11" style="3212" customWidth="1"/>
    <col min="7687" max="7687" width="9" style="3212"/>
    <col min="7688" max="7688" width="13.77734375" style="3212" customWidth="1"/>
    <col min="7689" max="7936" width="9" style="3212"/>
    <col min="7937" max="7937" width="14.21875" style="3212" customWidth="1"/>
    <col min="7938" max="7938" width="18.77734375" style="3212" customWidth="1"/>
    <col min="7939" max="7941" width="14.21875" style="3212" customWidth="1"/>
    <col min="7942" max="7942" width="11" style="3212" customWidth="1"/>
    <col min="7943" max="7943" width="9" style="3212"/>
    <col min="7944" max="7944" width="13.77734375" style="3212" customWidth="1"/>
    <col min="7945" max="8192" width="9" style="3212"/>
    <col min="8193" max="8193" width="14.21875" style="3212" customWidth="1"/>
    <col min="8194" max="8194" width="18.77734375" style="3212" customWidth="1"/>
    <col min="8195" max="8197" width="14.21875" style="3212" customWidth="1"/>
    <col min="8198" max="8198" width="11" style="3212" customWidth="1"/>
    <col min="8199" max="8199" width="9" style="3212"/>
    <col min="8200" max="8200" width="13.77734375" style="3212" customWidth="1"/>
    <col min="8201" max="8448" width="9" style="3212"/>
    <col min="8449" max="8449" width="14.21875" style="3212" customWidth="1"/>
    <col min="8450" max="8450" width="18.77734375" style="3212" customWidth="1"/>
    <col min="8451" max="8453" width="14.21875" style="3212" customWidth="1"/>
    <col min="8454" max="8454" width="11" style="3212" customWidth="1"/>
    <col min="8455" max="8455" width="9" style="3212"/>
    <col min="8456" max="8456" width="13.77734375" style="3212" customWidth="1"/>
    <col min="8457" max="8704" width="9" style="3212"/>
    <col min="8705" max="8705" width="14.21875" style="3212" customWidth="1"/>
    <col min="8706" max="8706" width="18.77734375" style="3212" customWidth="1"/>
    <col min="8707" max="8709" width="14.21875" style="3212" customWidth="1"/>
    <col min="8710" max="8710" width="11" style="3212" customWidth="1"/>
    <col min="8711" max="8711" width="9" style="3212"/>
    <col min="8712" max="8712" width="13.77734375" style="3212" customWidth="1"/>
    <col min="8713" max="8960" width="9" style="3212"/>
    <col min="8961" max="8961" width="14.21875" style="3212" customWidth="1"/>
    <col min="8962" max="8962" width="18.77734375" style="3212" customWidth="1"/>
    <col min="8963" max="8965" width="14.21875" style="3212" customWidth="1"/>
    <col min="8966" max="8966" width="11" style="3212" customWidth="1"/>
    <col min="8967" max="8967" width="9" style="3212"/>
    <col min="8968" max="8968" width="13.77734375" style="3212" customWidth="1"/>
    <col min="8969" max="9216" width="9" style="3212"/>
    <col min="9217" max="9217" width="14.21875" style="3212" customWidth="1"/>
    <col min="9218" max="9218" width="18.77734375" style="3212" customWidth="1"/>
    <col min="9219" max="9221" width="14.21875" style="3212" customWidth="1"/>
    <col min="9222" max="9222" width="11" style="3212" customWidth="1"/>
    <col min="9223" max="9223" width="9" style="3212"/>
    <col min="9224" max="9224" width="13.77734375" style="3212" customWidth="1"/>
    <col min="9225" max="9472" width="9" style="3212"/>
    <col min="9473" max="9473" width="14.21875" style="3212" customWidth="1"/>
    <col min="9474" max="9474" width="18.77734375" style="3212" customWidth="1"/>
    <col min="9475" max="9477" width="14.21875" style="3212" customWidth="1"/>
    <col min="9478" max="9478" width="11" style="3212" customWidth="1"/>
    <col min="9479" max="9479" width="9" style="3212"/>
    <col min="9480" max="9480" width="13.77734375" style="3212" customWidth="1"/>
    <col min="9481" max="9728" width="9" style="3212"/>
    <col min="9729" max="9729" width="14.21875" style="3212" customWidth="1"/>
    <col min="9730" max="9730" width="18.77734375" style="3212" customWidth="1"/>
    <col min="9731" max="9733" width="14.21875" style="3212" customWidth="1"/>
    <col min="9734" max="9734" width="11" style="3212" customWidth="1"/>
    <col min="9735" max="9735" width="9" style="3212"/>
    <col min="9736" max="9736" width="13.77734375" style="3212" customWidth="1"/>
    <col min="9737" max="9984" width="9" style="3212"/>
    <col min="9985" max="9985" width="14.21875" style="3212" customWidth="1"/>
    <col min="9986" max="9986" width="18.77734375" style="3212" customWidth="1"/>
    <col min="9987" max="9989" width="14.21875" style="3212" customWidth="1"/>
    <col min="9990" max="9990" width="11" style="3212" customWidth="1"/>
    <col min="9991" max="9991" width="9" style="3212"/>
    <col min="9992" max="9992" width="13.77734375" style="3212" customWidth="1"/>
    <col min="9993" max="10240" width="9" style="3212"/>
    <col min="10241" max="10241" width="14.21875" style="3212" customWidth="1"/>
    <col min="10242" max="10242" width="18.77734375" style="3212" customWidth="1"/>
    <col min="10243" max="10245" width="14.21875" style="3212" customWidth="1"/>
    <col min="10246" max="10246" width="11" style="3212" customWidth="1"/>
    <col min="10247" max="10247" width="9" style="3212"/>
    <col min="10248" max="10248" width="13.77734375" style="3212" customWidth="1"/>
    <col min="10249" max="10496" width="9" style="3212"/>
    <col min="10497" max="10497" width="14.21875" style="3212" customWidth="1"/>
    <col min="10498" max="10498" width="18.77734375" style="3212" customWidth="1"/>
    <col min="10499" max="10501" width="14.21875" style="3212" customWidth="1"/>
    <col min="10502" max="10502" width="11" style="3212" customWidth="1"/>
    <col min="10503" max="10503" width="9" style="3212"/>
    <col min="10504" max="10504" width="13.77734375" style="3212" customWidth="1"/>
    <col min="10505" max="10752" width="9" style="3212"/>
    <col min="10753" max="10753" width="14.21875" style="3212" customWidth="1"/>
    <col min="10754" max="10754" width="18.77734375" style="3212" customWidth="1"/>
    <col min="10755" max="10757" width="14.21875" style="3212" customWidth="1"/>
    <col min="10758" max="10758" width="11" style="3212" customWidth="1"/>
    <col min="10759" max="10759" width="9" style="3212"/>
    <col min="10760" max="10760" width="13.77734375" style="3212" customWidth="1"/>
    <col min="10761" max="11008" width="9" style="3212"/>
    <col min="11009" max="11009" width="14.21875" style="3212" customWidth="1"/>
    <col min="11010" max="11010" width="18.77734375" style="3212" customWidth="1"/>
    <col min="11011" max="11013" width="14.21875" style="3212" customWidth="1"/>
    <col min="11014" max="11014" width="11" style="3212" customWidth="1"/>
    <col min="11015" max="11015" width="9" style="3212"/>
    <col min="11016" max="11016" width="13.77734375" style="3212" customWidth="1"/>
    <col min="11017" max="11264" width="9" style="3212"/>
    <col min="11265" max="11265" width="14.21875" style="3212" customWidth="1"/>
    <col min="11266" max="11266" width="18.77734375" style="3212" customWidth="1"/>
    <col min="11267" max="11269" width="14.21875" style="3212" customWidth="1"/>
    <col min="11270" max="11270" width="11" style="3212" customWidth="1"/>
    <col min="11271" max="11271" width="9" style="3212"/>
    <col min="11272" max="11272" width="13.77734375" style="3212" customWidth="1"/>
    <col min="11273" max="11520" width="9" style="3212"/>
    <col min="11521" max="11521" width="14.21875" style="3212" customWidth="1"/>
    <col min="11522" max="11522" width="18.77734375" style="3212" customWidth="1"/>
    <col min="11523" max="11525" width="14.21875" style="3212" customWidth="1"/>
    <col min="11526" max="11526" width="11" style="3212" customWidth="1"/>
    <col min="11527" max="11527" width="9" style="3212"/>
    <col min="11528" max="11528" width="13.77734375" style="3212" customWidth="1"/>
    <col min="11529" max="11776" width="9" style="3212"/>
    <col min="11777" max="11777" width="14.21875" style="3212" customWidth="1"/>
    <col min="11778" max="11778" width="18.77734375" style="3212" customWidth="1"/>
    <col min="11779" max="11781" width="14.21875" style="3212" customWidth="1"/>
    <col min="11782" max="11782" width="11" style="3212" customWidth="1"/>
    <col min="11783" max="11783" width="9" style="3212"/>
    <col min="11784" max="11784" width="13.77734375" style="3212" customWidth="1"/>
    <col min="11785" max="12032" width="9" style="3212"/>
    <col min="12033" max="12033" width="14.21875" style="3212" customWidth="1"/>
    <col min="12034" max="12034" width="18.77734375" style="3212" customWidth="1"/>
    <col min="12035" max="12037" width="14.21875" style="3212" customWidth="1"/>
    <col min="12038" max="12038" width="11" style="3212" customWidth="1"/>
    <col min="12039" max="12039" width="9" style="3212"/>
    <col min="12040" max="12040" width="13.77734375" style="3212" customWidth="1"/>
    <col min="12041" max="12288" width="9" style="3212"/>
    <col min="12289" max="12289" width="14.21875" style="3212" customWidth="1"/>
    <col min="12290" max="12290" width="18.77734375" style="3212" customWidth="1"/>
    <col min="12291" max="12293" width="14.21875" style="3212" customWidth="1"/>
    <col min="12294" max="12294" width="11" style="3212" customWidth="1"/>
    <col min="12295" max="12295" width="9" style="3212"/>
    <col min="12296" max="12296" width="13.77734375" style="3212" customWidth="1"/>
    <col min="12297" max="12544" width="9" style="3212"/>
    <col min="12545" max="12545" width="14.21875" style="3212" customWidth="1"/>
    <col min="12546" max="12546" width="18.77734375" style="3212" customWidth="1"/>
    <col min="12547" max="12549" width="14.21875" style="3212" customWidth="1"/>
    <col min="12550" max="12550" width="11" style="3212" customWidth="1"/>
    <col min="12551" max="12551" width="9" style="3212"/>
    <col min="12552" max="12552" width="13.77734375" style="3212" customWidth="1"/>
    <col min="12553" max="12800" width="9" style="3212"/>
    <col min="12801" max="12801" width="14.21875" style="3212" customWidth="1"/>
    <col min="12802" max="12802" width="18.77734375" style="3212" customWidth="1"/>
    <col min="12803" max="12805" width="14.21875" style="3212" customWidth="1"/>
    <col min="12806" max="12806" width="11" style="3212" customWidth="1"/>
    <col min="12807" max="12807" width="9" style="3212"/>
    <col min="12808" max="12808" width="13.77734375" style="3212" customWidth="1"/>
    <col min="12809" max="13056" width="9" style="3212"/>
    <col min="13057" max="13057" width="14.21875" style="3212" customWidth="1"/>
    <col min="13058" max="13058" width="18.77734375" style="3212" customWidth="1"/>
    <col min="13059" max="13061" width="14.21875" style="3212" customWidth="1"/>
    <col min="13062" max="13062" width="11" style="3212" customWidth="1"/>
    <col min="13063" max="13063" width="9" style="3212"/>
    <col min="13064" max="13064" width="13.77734375" style="3212" customWidth="1"/>
    <col min="13065" max="13312" width="9" style="3212"/>
    <col min="13313" max="13313" width="14.21875" style="3212" customWidth="1"/>
    <col min="13314" max="13314" width="18.77734375" style="3212" customWidth="1"/>
    <col min="13315" max="13317" width="14.21875" style="3212" customWidth="1"/>
    <col min="13318" max="13318" width="11" style="3212" customWidth="1"/>
    <col min="13319" max="13319" width="9" style="3212"/>
    <col min="13320" max="13320" width="13.77734375" style="3212" customWidth="1"/>
    <col min="13321" max="13568" width="9" style="3212"/>
    <col min="13569" max="13569" width="14.21875" style="3212" customWidth="1"/>
    <col min="13570" max="13570" width="18.77734375" style="3212" customWidth="1"/>
    <col min="13571" max="13573" width="14.21875" style="3212" customWidth="1"/>
    <col min="13574" max="13574" width="11" style="3212" customWidth="1"/>
    <col min="13575" max="13575" width="9" style="3212"/>
    <col min="13576" max="13576" width="13.77734375" style="3212" customWidth="1"/>
    <col min="13577" max="13824" width="9" style="3212"/>
    <col min="13825" max="13825" width="14.21875" style="3212" customWidth="1"/>
    <col min="13826" max="13826" width="18.77734375" style="3212" customWidth="1"/>
    <col min="13827" max="13829" width="14.21875" style="3212" customWidth="1"/>
    <col min="13830" max="13830" width="11" style="3212" customWidth="1"/>
    <col min="13831" max="13831" width="9" style="3212"/>
    <col min="13832" max="13832" width="13.77734375" style="3212" customWidth="1"/>
    <col min="13833" max="14080" width="9" style="3212"/>
    <col min="14081" max="14081" width="14.21875" style="3212" customWidth="1"/>
    <col min="14082" max="14082" width="18.77734375" style="3212" customWidth="1"/>
    <col min="14083" max="14085" width="14.21875" style="3212" customWidth="1"/>
    <col min="14086" max="14086" width="11" style="3212" customWidth="1"/>
    <col min="14087" max="14087" width="9" style="3212"/>
    <col min="14088" max="14088" width="13.77734375" style="3212" customWidth="1"/>
    <col min="14089" max="14336" width="9" style="3212"/>
    <col min="14337" max="14337" width="14.21875" style="3212" customWidth="1"/>
    <col min="14338" max="14338" width="18.77734375" style="3212" customWidth="1"/>
    <col min="14339" max="14341" width="14.21875" style="3212" customWidth="1"/>
    <col min="14342" max="14342" width="11" style="3212" customWidth="1"/>
    <col min="14343" max="14343" width="9" style="3212"/>
    <col min="14344" max="14344" width="13.77734375" style="3212" customWidth="1"/>
    <col min="14345" max="14592" width="9" style="3212"/>
    <col min="14593" max="14593" width="14.21875" style="3212" customWidth="1"/>
    <col min="14594" max="14594" width="18.77734375" style="3212" customWidth="1"/>
    <col min="14595" max="14597" width="14.21875" style="3212" customWidth="1"/>
    <col min="14598" max="14598" width="11" style="3212" customWidth="1"/>
    <col min="14599" max="14599" width="9" style="3212"/>
    <col min="14600" max="14600" width="13.77734375" style="3212" customWidth="1"/>
    <col min="14601" max="14848" width="9" style="3212"/>
    <col min="14849" max="14849" width="14.21875" style="3212" customWidth="1"/>
    <col min="14850" max="14850" width="18.77734375" style="3212" customWidth="1"/>
    <col min="14851" max="14853" width="14.21875" style="3212" customWidth="1"/>
    <col min="14854" max="14854" width="11" style="3212" customWidth="1"/>
    <col min="14855" max="14855" width="9" style="3212"/>
    <col min="14856" max="14856" width="13.77734375" style="3212" customWidth="1"/>
    <col min="14857" max="15104" width="9" style="3212"/>
    <col min="15105" max="15105" width="14.21875" style="3212" customWidth="1"/>
    <col min="15106" max="15106" width="18.77734375" style="3212" customWidth="1"/>
    <col min="15107" max="15109" width="14.21875" style="3212" customWidth="1"/>
    <col min="15110" max="15110" width="11" style="3212" customWidth="1"/>
    <col min="15111" max="15111" width="9" style="3212"/>
    <col min="15112" max="15112" width="13.77734375" style="3212" customWidth="1"/>
    <col min="15113" max="15360" width="9" style="3212"/>
    <col min="15361" max="15361" width="14.21875" style="3212" customWidth="1"/>
    <col min="15362" max="15362" width="18.77734375" style="3212" customWidth="1"/>
    <col min="15363" max="15365" width="14.21875" style="3212" customWidth="1"/>
    <col min="15366" max="15366" width="11" style="3212" customWidth="1"/>
    <col min="15367" max="15367" width="9" style="3212"/>
    <col min="15368" max="15368" width="13.77734375" style="3212" customWidth="1"/>
    <col min="15369" max="15616" width="9" style="3212"/>
    <col min="15617" max="15617" width="14.21875" style="3212" customWidth="1"/>
    <col min="15618" max="15618" width="18.77734375" style="3212" customWidth="1"/>
    <col min="15619" max="15621" width="14.21875" style="3212" customWidth="1"/>
    <col min="15622" max="15622" width="11" style="3212" customWidth="1"/>
    <col min="15623" max="15623" width="9" style="3212"/>
    <col min="15624" max="15624" width="13.77734375" style="3212" customWidth="1"/>
    <col min="15625" max="15872" width="9" style="3212"/>
    <col min="15873" max="15873" width="14.21875" style="3212" customWidth="1"/>
    <col min="15874" max="15874" width="18.77734375" style="3212" customWidth="1"/>
    <col min="15875" max="15877" width="14.21875" style="3212" customWidth="1"/>
    <col min="15878" max="15878" width="11" style="3212" customWidth="1"/>
    <col min="15879" max="15879" width="9" style="3212"/>
    <col min="15880" max="15880" width="13.77734375" style="3212" customWidth="1"/>
    <col min="15881" max="16128" width="9" style="3212"/>
    <col min="16129" max="16129" width="14.21875" style="3212" customWidth="1"/>
    <col min="16130" max="16130" width="18.77734375" style="3212" customWidth="1"/>
    <col min="16131" max="16133" width="14.21875" style="3212" customWidth="1"/>
    <col min="16134" max="16134" width="11" style="3212" customWidth="1"/>
    <col min="16135" max="16135" width="9" style="3212"/>
    <col min="16136" max="16136" width="13.77734375" style="3212" customWidth="1"/>
    <col min="16137" max="16384" width="9" style="3212"/>
  </cols>
  <sheetData>
    <row r="1" spans="1:7" ht="20.25" customHeight="1" thickBot="1">
      <c r="A1" s="3248" t="s">
        <v>3425</v>
      </c>
      <c r="B1" s="3247">
        <v>44565</v>
      </c>
    </row>
    <row r="2" spans="1:7" ht="33" customHeight="1">
      <c r="A2" s="3246" t="s">
        <v>3424</v>
      </c>
      <c r="B2" s="3244" t="s">
        <v>3132</v>
      </c>
      <c r="C2" s="3245" t="s">
        <v>3423</v>
      </c>
      <c r="D2" s="3244" t="s">
        <v>3419</v>
      </c>
      <c r="E2" s="3243" t="s">
        <v>3420</v>
      </c>
    </row>
    <row r="3" spans="1:7" ht="20.25" customHeight="1">
      <c r="A3" s="3242">
        <v>40</v>
      </c>
      <c r="B3" s="3241"/>
      <c r="C3" s="67">
        <f>ROUNDDOWN(MIN((B3-$B$1)/365,A3),2)</f>
        <v>-122.09</v>
      </c>
      <c r="D3" s="68">
        <f>IF(ISERROR(ROUND(POWER(1+E3,A3-C3)*(POWER(1+E3,C3)-1)/(POWER(1+E3,A3)-1),3)),0,ROUND(POWER(1+E3,A3-C3)*(POWER(1+E3,C3)-1)/(POWER(1+E3,A3)-1),3))</f>
        <v>0</v>
      </c>
      <c r="E3" s="3240"/>
    </row>
    <row r="4" spans="1:7" ht="20.25" customHeight="1">
      <c r="A4" s="3242">
        <v>50</v>
      </c>
      <c r="B4" s="3241">
        <v>54887</v>
      </c>
      <c r="C4" s="67">
        <f>ROUNDDOWN(MIN((B4-$B$1)/365,A4),2)</f>
        <v>28.27</v>
      </c>
      <c r="D4" s="68">
        <f>IF(ISERROR(ROUND(POWER(1+E4,A4-C4)*(POWER(1+E4,C4)-1)/(POWER(1+E4,A4)-1),3)),0,ROUND(POWER(1+E4,A4-C4)*(POWER(1+E4,C4)-1)/(POWER(1+E4,A4)-1),3))</f>
        <v>0.8</v>
      </c>
      <c r="E4" s="3240">
        <f>'[5]数据-取费表'!H6</f>
        <v>4.4999999999999998E-2</v>
      </c>
    </row>
    <row r="5" spans="1:7" ht="20.25" customHeight="1" thickBot="1">
      <c r="A5" s="3239">
        <v>70</v>
      </c>
      <c r="B5" s="3238"/>
      <c r="C5" s="3237">
        <f>ROUNDDOWN(MIN((B5-$B$1)/365,A5),2)</f>
        <v>-122.09</v>
      </c>
      <c r="D5" s="3236">
        <f>IF(ISERROR(ROUND(POWER(1+E5,A5-C5)*(POWER(1+E5,C5)-1)/(POWER(1+E5,A5)-1),3)),0,ROUND(POWER(1+E5,A5-C5)*(POWER(1+E5,C5)-1)/(POWER(1+E5,A5)-1),3))</f>
        <v>0</v>
      </c>
      <c r="E5" s="3235"/>
    </row>
    <row r="7" spans="1:7" s="3232" customFormat="1" ht="20.25" customHeight="1" thickBot="1">
      <c r="A7" s="3234" t="s">
        <v>3422</v>
      </c>
      <c r="B7" s="3233"/>
    </row>
    <row r="8" spans="1:7" ht="20.25" customHeight="1" thickBot="1">
      <c r="A8" s="3524" t="s">
        <v>3421</v>
      </c>
      <c r="B8" s="3525"/>
      <c r="C8" s="3230"/>
      <c r="D8" s="3231" t="s">
        <v>3420</v>
      </c>
      <c r="E8" s="3230"/>
      <c r="F8" s="3229" t="s">
        <v>3419</v>
      </c>
    </row>
    <row r="9" spans="1:7" ht="20.25" customHeight="1" thickBot="1">
      <c r="A9" s="3223" t="s">
        <v>3418</v>
      </c>
      <c r="B9" s="3222">
        <v>50</v>
      </c>
      <c r="C9" s="3216" t="s">
        <v>3417</v>
      </c>
      <c r="D9" s="3226">
        <f>E4</f>
        <v>4.4999999999999998E-2</v>
      </c>
      <c r="E9" s="3216" t="s">
        <v>3416</v>
      </c>
      <c r="F9" s="3228">
        <f>1-(1/(POWER(1+D9,B9)))</f>
        <v>0.88929035003434787</v>
      </c>
      <c r="G9" s="3212">
        <f>ROUND(F9/F10,3)</f>
        <v>1.5189999999999999</v>
      </c>
    </row>
    <row r="10" spans="1:7" ht="20.25" customHeight="1" thickBot="1">
      <c r="A10" s="3221" t="s">
        <v>3415</v>
      </c>
      <c r="B10" s="3227">
        <v>20</v>
      </c>
      <c r="C10" s="3214" t="s">
        <v>3414</v>
      </c>
      <c r="D10" s="3226">
        <f>E4</f>
        <v>4.4999999999999998E-2</v>
      </c>
      <c r="E10" s="3214" t="s">
        <v>3413</v>
      </c>
      <c r="F10" s="3225">
        <f>1-(1/(POWER(1+D10,B10)))</f>
        <v>0.58535714031541541</v>
      </c>
      <c r="G10" s="3212">
        <f>ROUND(F10/F9,3)</f>
        <v>0.65800000000000003</v>
      </c>
    </row>
    <row r="11" spans="1:7" ht="20.25" customHeight="1" thickBot="1">
      <c r="A11" s="3218" t="s">
        <v>3412</v>
      </c>
      <c r="B11" s="3224"/>
      <c r="C11" s="3224"/>
      <c r="D11" s="3224"/>
      <c r="E11" s="3224"/>
      <c r="F11" s="3224"/>
    </row>
    <row r="12" spans="1:7" ht="20.25" customHeight="1">
      <c r="A12" s="3223" t="s">
        <v>3409</v>
      </c>
      <c r="B12" s="3222"/>
      <c r="E12" s="3219"/>
      <c r="F12" s="3219"/>
    </row>
    <row r="13" spans="1:7" ht="20.25" customHeight="1" thickBot="1">
      <c r="A13" s="3221" t="s">
        <v>3410</v>
      </c>
      <c r="B13" s="3220">
        <f>ROUND(B12*F10/F9,2)</f>
        <v>0</v>
      </c>
      <c r="E13" s="3219"/>
      <c r="F13" s="3219"/>
    </row>
    <row r="14" spans="1:7" ht="20.25" customHeight="1" thickBot="1">
      <c r="A14" s="3218" t="s">
        <v>3411</v>
      </c>
      <c r="B14" s="3217"/>
    </row>
    <row r="15" spans="1:7" ht="20.25" customHeight="1">
      <c r="A15" s="3216" t="s">
        <v>3410</v>
      </c>
      <c r="B15" s="3215"/>
    </row>
    <row r="16" spans="1:7" ht="20.25" customHeight="1" thickBot="1">
      <c r="A16" s="3214" t="s">
        <v>3409</v>
      </c>
      <c r="B16" s="3213">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45" sqref="G4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6" t="s">
        <v>183</v>
      </c>
      <c r="B18" s="820" t="s">
        <v>560</v>
      </c>
      <c r="C18" s="821" t="s">
        <v>561</v>
      </c>
      <c r="D18" s="822"/>
      <c r="E18" s="820">
        <v>1</v>
      </c>
      <c r="F18" s="823" t="s">
        <v>562</v>
      </c>
      <c r="G18" s="824"/>
      <c r="H18" s="816"/>
      <c r="I18" s="816"/>
    </row>
    <row r="19" spans="1:9" s="825" customFormat="1" ht="19.5" customHeight="1">
      <c r="A19" s="3526"/>
      <c r="B19" s="3526" t="s">
        <v>563</v>
      </c>
      <c r="C19" s="821" t="s">
        <v>564</v>
      </c>
      <c r="D19" s="822"/>
      <c r="E19" s="820">
        <v>0.9</v>
      </c>
      <c r="F19" s="823" t="s">
        <v>565</v>
      </c>
      <c r="G19" s="824"/>
      <c r="H19" s="816"/>
      <c r="I19" s="816"/>
    </row>
    <row r="20" spans="1:9" s="825" customFormat="1" ht="19.5" customHeight="1">
      <c r="A20" s="3526"/>
      <c r="B20" s="3526"/>
      <c r="C20" s="821" t="s">
        <v>566</v>
      </c>
      <c r="D20" s="822"/>
      <c r="E20" s="820">
        <v>1.1000000000000001</v>
      </c>
      <c r="F20" s="823" t="s">
        <v>567</v>
      </c>
      <c r="G20" s="824"/>
      <c r="H20" s="816"/>
      <c r="I20" s="816"/>
    </row>
    <row r="21" spans="1:9" s="825" customFormat="1" ht="19.5" customHeight="1">
      <c r="A21" s="3526"/>
      <c r="B21" s="3526"/>
      <c r="C21" s="821" t="s">
        <v>568</v>
      </c>
      <c r="D21" s="822"/>
      <c r="E21" s="820">
        <v>0.8</v>
      </c>
      <c r="F21" s="823" t="s">
        <v>569</v>
      </c>
      <c r="G21" s="824"/>
      <c r="H21" s="816"/>
      <c r="I21" s="816"/>
    </row>
    <row r="22" spans="1:9" s="825" customFormat="1" ht="19.5" customHeight="1">
      <c r="A22" s="3526"/>
      <c r="B22" s="3526"/>
      <c r="C22" s="821" t="s">
        <v>570</v>
      </c>
      <c r="D22" s="822"/>
      <c r="E22" s="820">
        <v>0.5</v>
      </c>
      <c r="F22" s="823"/>
      <c r="G22" s="824"/>
      <c r="H22" s="816"/>
      <c r="I22" s="816"/>
    </row>
    <row r="23" spans="1:9" s="825" customFormat="1" ht="19.5" customHeight="1">
      <c r="A23" s="3526" t="s">
        <v>184</v>
      </c>
      <c r="B23" s="820" t="s">
        <v>560</v>
      </c>
      <c r="C23" s="821" t="s">
        <v>571</v>
      </c>
      <c r="D23" s="822"/>
      <c r="E23" s="820">
        <v>1</v>
      </c>
      <c r="F23" s="823" t="s">
        <v>572</v>
      </c>
      <c r="G23" s="824"/>
      <c r="H23" s="816"/>
      <c r="I23" s="816"/>
    </row>
    <row r="24" spans="1:9" s="825" customFormat="1" ht="19.5" customHeight="1">
      <c r="A24" s="3526"/>
      <c r="B24" s="3526" t="s">
        <v>563</v>
      </c>
      <c r="C24" s="821" t="s">
        <v>573</v>
      </c>
      <c r="D24" s="822"/>
      <c r="E24" s="820">
        <v>0.5</v>
      </c>
      <c r="F24" s="823"/>
      <c r="G24" s="824"/>
      <c r="H24" s="816"/>
      <c r="I24" s="816"/>
    </row>
    <row r="25" spans="1:9" s="825" customFormat="1" ht="19.5" customHeight="1">
      <c r="A25" s="3526"/>
      <c r="B25" s="3526"/>
      <c r="C25" s="821" t="s">
        <v>574</v>
      </c>
      <c r="D25" s="822"/>
      <c r="E25" s="820">
        <v>1.1000000000000001</v>
      </c>
      <c r="F25" s="823"/>
      <c r="G25" s="824"/>
      <c r="H25" s="816"/>
      <c r="I25" s="816"/>
    </row>
    <row r="26" spans="1:9" s="825" customFormat="1" ht="19.5" customHeight="1">
      <c r="A26" s="3526"/>
      <c r="B26" s="3526"/>
      <c r="C26" s="821" t="s">
        <v>575</v>
      </c>
      <c r="D26" s="822"/>
      <c r="E26" s="820">
        <v>1.1000000000000001</v>
      </c>
      <c r="F26" s="823"/>
      <c r="G26" s="824"/>
      <c r="H26" s="816"/>
      <c r="I26" s="816"/>
    </row>
    <row r="27" spans="1:9" s="825" customFormat="1" ht="19.5" customHeight="1">
      <c r="A27" s="3526"/>
      <c r="B27" s="3526"/>
      <c r="C27" s="821" t="s">
        <v>576</v>
      </c>
      <c r="D27" s="822"/>
      <c r="E27" s="820">
        <v>0.9</v>
      </c>
      <c r="F27" s="823" t="s">
        <v>577</v>
      </c>
      <c r="G27" s="824"/>
      <c r="H27" s="816"/>
      <c r="I27" s="816"/>
    </row>
    <row r="28" spans="1:9" s="825" customFormat="1" ht="19.5" customHeight="1">
      <c r="A28" s="3526"/>
      <c r="B28" s="3526"/>
      <c r="C28" s="821" t="s">
        <v>578</v>
      </c>
      <c r="D28" s="822"/>
      <c r="E28" s="820">
        <v>0.9</v>
      </c>
      <c r="F28" s="823" t="s">
        <v>579</v>
      </c>
      <c r="G28" s="824"/>
      <c r="H28" s="816"/>
      <c r="I28" s="816"/>
    </row>
    <row r="29" spans="1:9" s="825" customFormat="1" ht="19.5" customHeight="1">
      <c r="A29" s="3526"/>
      <c r="B29" s="3526"/>
      <c r="C29" s="821" t="s">
        <v>580</v>
      </c>
      <c r="D29" s="822"/>
      <c r="E29" s="820">
        <v>0.9</v>
      </c>
      <c r="F29" s="823" t="s">
        <v>581</v>
      </c>
      <c r="G29" s="824"/>
      <c r="H29" s="816"/>
      <c r="I29" s="816"/>
    </row>
    <row r="30" spans="1:9" s="825" customFormat="1" ht="19.5" customHeight="1">
      <c r="A30" s="3526"/>
      <c r="B30" s="3526"/>
      <c r="C30" s="821" t="s">
        <v>582</v>
      </c>
      <c r="D30" s="822"/>
      <c r="E30" s="820">
        <v>0.9</v>
      </c>
      <c r="F30" s="823" t="s">
        <v>583</v>
      </c>
      <c r="G30" s="824"/>
      <c r="H30" s="816"/>
      <c r="I30" s="816"/>
    </row>
    <row r="31" spans="1:9" s="825" customFormat="1" ht="19.5" customHeight="1">
      <c r="A31" s="3526"/>
      <c r="B31" s="3526"/>
      <c r="C31" s="821" t="s">
        <v>584</v>
      </c>
      <c r="D31" s="822"/>
      <c r="E31" s="820">
        <v>0.8</v>
      </c>
      <c r="F31" s="823" t="s">
        <v>585</v>
      </c>
      <c r="G31" s="824"/>
      <c r="H31" s="816"/>
      <c r="I31" s="816"/>
    </row>
    <row r="32" spans="1:9" s="825" customFormat="1" ht="19.5" customHeight="1">
      <c r="A32" s="3526"/>
      <c r="B32" s="3526"/>
      <c r="C32" s="821" t="s">
        <v>586</v>
      </c>
      <c r="D32" s="822"/>
      <c r="E32" s="820">
        <v>0.8</v>
      </c>
      <c r="F32" s="823" t="s">
        <v>587</v>
      </c>
      <c r="G32" s="824"/>
      <c r="H32" s="816"/>
      <c r="I32" s="816"/>
    </row>
    <row r="33" spans="1:9" s="825" customFormat="1" ht="19.5" customHeight="1">
      <c r="A33" s="3526" t="s">
        <v>185</v>
      </c>
      <c r="B33" s="820" t="s">
        <v>560</v>
      </c>
      <c r="C33" s="821" t="s">
        <v>588</v>
      </c>
      <c r="D33" s="822"/>
      <c r="E33" s="820">
        <v>1</v>
      </c>
      <c r="F33" s="823" t="s">
        <v>589</v>
      </c>
      <c r="G33" s="824"/>
      <c r="H33" s="816"/>
      <c r="I33" s="816"/>
    </row>
    <row r="34" spans="1:9" s="825" customFormat="1" ht="19.5" customHeight="1">
      <c r="A34" s="3526"/>
      <c r="B34" s="820" t="s">
        <v>563</v>
      </c>
      <c r="C34" s="821" t="s">
        <v>590</v>
      </c>
      <c r="D34" s="822"/>
      <c r="E34" s="820">
        <v>1.5</v>
      </c>
      <c r="F34" s="823" t="s">
        <v>591</v>
      </c>
      <c r="G34" s="824"/>
      <c r="H34" s="816"/>
      <c r="I34" s="816"/>
    </row>
    <row r="35" spans="1:9" s="825" customFormat="1" ht="19.5" customHeight="1">
      <c r="A35" s="3526" t="s">
        <v>186</v>
      </c>
      <c r="B35" s="820" t="s">
        <v>560</v>
      </c>
      <c r="C35" s="821" t="s">
        <v>592</v>
      </c>
      <c r="D35" s="822"/>
      <c r="E35" s="820">
        <v>1</v>
      </c>
      <c r="F35" s="823" t="s">
        <v>593</v>
      </c>
      <c r="G35" s="824"/>
      <c r="H35" s="816"/>
      <c r="I35" s="816"/>
    </row>
    <row r="36" spans="1:9" s="825" customFormat="1" ht="19.5" customHeight="1">
      <c r="A36" s="3526"/>
      <c r="B36" s="3526" t="s">
        <v>563</v>
      </c>
      <c r="C36" s="821" t="s">
        <v>594</v>
      </c>
      <c r="D36" s="822"/>
      <c r="E36" s="820">
        <v>1</v>
      </c>
      <c r="F36" s="823" t="s">
        <v>595</v>
      </c>
      <c r="G36" s="824"/>
      <c r="H36" s="816"/>
      <c r="I36" s="816"/>
    </row>
    <row r="37" spans="1:9" s="825" customFormat="1" ht="19.5" customHeight="1">
      <c r="A37" s="3526"/>
      <c r="B37" s="3526"/>
      <c r="C37" s="821" t="s">
        <v>596</v>
      </c>
      <c r="D37" s="822"/>
      <c r="E37" s="820">
        <v>1.5</v>
      </c>
      <c r="F37" s="823" t="s">
        <v>597</v>
      </c>
      <c r="G37" s="824"/>
      <c r="H37" s="816"/>
      <c r="I37" s="816"/>
    </row>
    <row r="38" spans="1:9" s="825" customFormat="1" ht="19.5" customHeight="1">
      <c r="A38" s="3526"/>
      <c r="B38" s="3526"/>
      <c r="C38" s="821" t="s">
        <v>598</v>
      </c>
      <c r="D38" s="822"/>
      <c r="E38" s="820">
        <v>1</v>
      </c>
      <c r="F38" s="823" t="s">
        <v>599</v>
      </c>
      <c r="G38" s="824"/>
      <c r="H38" s="816"/>
      <c r="I38" s="816"/>
    </row>
    <row r="39" spans="1:9" s="825" customFormat="1" ht="19.5" customHeight="1">
      <c r="A39" s="3526"/>
      <c r="B39" s="352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526" t="s">
        <v>614</v>
      </c>
      <c r="C61" s="756" t="s">
        <v>615</v>
      </c>
      <c r="D61" s="756" t="s">
        <v>616</v>
      </c>
      <c r="E61" s="833">
        <v>0.5</v>
      </c>
      <c r="F61" s="820">
        <v>80</v>
      </c>
    </row>
    <row r="62" spans="1:8" s="816" customFormat="1" ht="36">
      <c r="A62" s="820">
        <v>2</v>
      </c>
      <c r="B62" s="3526"/>
      <c r="C62" s="756" t="s">
        <v>617</v>
      </c>
      <c r="D62" s="756" t="s">
        <v>618</v>
      </c>
      <c r="E62" s="833">
        <v>0.5</v>
      </c>
      <c r="F62" s="820">
        <v>80</v>
      </c>
    </row>
    <row r="63" spans="1:8" s="816" customFormat="1" ht="48">
      <c r="A63" s="820">
        <v>3</v>
      </c>
      <c r="B63" s="3526"/>
      <c r="C63" s="756" t="s">
        <v>619</v>
      </c>
      <c r="D63" s="756" t="s">
        <v>620</v>
      </c>
      <c r="E63" s="833">
        <v>0.5</v>
      </c>
      <c r="F63" s="820">
        <v>80</v>
      </c>
    </row>
    <row r="64" spans="1:8" s="816" customFormat="1" ht="48">
      <c r="A64" s="820">
        <v>4</v>
      </c>
      <c r="B64" s="3526"/>
      <c r="C64" s="756" t="s">
        <v>621</v>
      </c>
      <c r="D64" s="756" t="s">
        <v>622</v>
      </c>
      <c r="E64" s="833">
        <v>0.4</v>
      </c>
      <c r="F64" s="820">
        <v>60</v>
      </c>
    </row>
    <row r="65" spans="1:6" s="816" customFormat="1" ht="48">
      <c r="A65" s="820">
        <v>5</v>
      </c>
      <c r="B65" s="3526"/>
      <c r="C65" s="756" t="s">
        <v>623</v>
      </c>
      <c r="D65" s="756" t="s">
        <v>624</v>
      </c>
      <c r="E65" s="833">
        <v>0.2</v>
      </c>
      <c r="F65" s="820">
        <v>30</v>
      </c>
    </row>
    <row r="66" spans="1:6" s="816" customFormat="1" ht="48">
      <c r="A66" s="820">
        <v>6</v>
      </c>
      <c r="B66" s="3526"/>
      <c r="C66" s="756" t="s">
        <v>625</v>
      </c>
      <c r="D66" s="756" t="s">
        <v>626</v>
      </c>
      <c r="E66" s="833">
        <v>0.3</v>
      </c>
      <c r="F66" s="820">
        <v>50</v>
      </c>
    </row>
    <row r="67" spans="1:6" s="816" customFormat="1" ht="48">
      <c r="A67" s="820">
        <v>7</v>
      </c>
      <c r="B67" s="3526"/>
      <c r="C67" s="756" t="s">
        <v>627</v>
      </c>
      <c r="D67" s="756" t="s">
        <v>628</v>
      </c>
      <c r="E67" s="833">
        <v>0.2</v>
      </c>
      <c r="F67" s="820">
        <v>30</v>
      </c>
    </row>
    <row r="68" spans="1:6" s="816" customFormat="1" ht="48">
      <c r="A68" s="820">
        <v>8</v>
      </c>
      <c r="B68" s="3526"/>
      <c r="C68" s="756" t="s">
        <v>629</v>
      </c>
      <c r="D68" s="756" t="s">
        <v>630</v>
      </c>
      <c r="E68" s="833">
        <v>0.2</v>
      </c>
      <c r="F68" s="820">
        <v>30</v>
      </c>
    </row>
    <row r="69" spans="1:6" s="816" customFormat="1" ht="48">
      <c r="A69" s="820">
        <v>9</v>
      </c>
      <c r="B69" s="3526"/>
      <c r="C69" s="756" t="s">
        <v>631</v>
      </c>
      <c r="D69" s="756" t="s">
        <v>632</v>
      </c>
      <c r="E69" s="833">
        <v>0.2</v>
      </c>
      <c r="F69" s="820">
        <v>30</v>
      </c>
    </row>
    <row r="70" spans="1:6" s="816" customFormat="1" ht="60">
      <c r="A70" s="820">
        <v>10</v>
      </c>
      <c r="B70" s="3526"/>
      <c r="C70" s="756" t="s">
        <v>633</v>
      </c>
      <c r="D70" s="756" t="s">
        <v>634</v>
      </c>
      <c r="E70" s="833">
        <v>0.2</v>
      </c>
      <c r="F70" s="820">
        <v>30</v>
      </c>
    </row>
    <row r="71" spans="1:6" s="816" customFormat="1" ht="60">
      <c r="A71" s="820">
        <v>11</v>
      </c>
      <c r="B71" s="3526"/>
      <c r="C71" s="756" t="s">
        <v>635</v>
      </c>
      <c r="D71" s="756" t="s">
        <v>636</v>
      </c>
      <c r="E71" s="833">
        <v>0.2</v>
      </c>
      <c r="F71" s="820">
        <v>30</v>
      </c>
    </row>
    <row r="72" spans="1:6" s="816" customFormat="1" ht="36">
      <c r="A72" s="820">
        <v>12</v>
      </c>
      <c r="B72" s="3526"/>
      <c r="C72" s="756" t="s">
        <v>637</v>
      </c>
      <c r="D72" s="756" t="s">
        <v>638</v>
      </c>
      <c r="E72" s="833">
        <v>0.5</v>
      </c>
      <c r="F72" s="820">
        <v>80</v>
      </c>
    </row>
    <row r="73" spans="1:6" s="816" customFormat="1" ht="36">
      <c r="A73" s="820">
        <v>13</v>
      </c>
      <c r="B73" s="3526"/>
      <c r="C73" s="756" t="s">
        <v>639</v>
      </c>
      <c r="D73" s="756" t="s">
        <v>640</v>
      </c>
      <c r="E73" s="833">
        <v>0.4</v>
      </c>
      <c r="F73" s="820">
        <v>60</v>
      </c>
    </row>
    <row r="74" spans="1:6" s="816" customFormat="1" ht="36">
      <c r="A74" s="820">
        <v>14</v>
      </c>
      <c r="B74" s="3526"/>
      <c r="C74" s="756" t="s">
        <v>641</v>
      </c>
      <c r="D74" s="756" t="s">
        <v>642</v>
      </c>
      <c r="E74" s="833">
        <v>0.2</v>
      </c>
      <c r="F74" s="820">
        <v>30</v>
      </c>
    </row>
    <row r="75" spans="1:6" s="816" customFormat="1" ht="36">
      <c r="A75" s="820">
        <v>15</v>
      </c>
      <c r="B75" s="3526"/>
      <c r="C75" s="756" t="s">
        <v>643</v>
      </c>
      <c r="D75" s="756" t="s">
        <v>644</v>
      </c>
      <c r="E75" s="833">
        <v>0.2</v>
      </c>
      <c r="F75" s="820">
        <v>30</v>
      </c>
    </row>
    <row r="76" spans="1:6" s="816" customFormat="1" ht="36">
      <c r="A76" s="820">
        <v>16</v>
      </c>
      <c r="B76" s="3526" t="s">
        <v>645</v>
      </c>
      <c r="C76" s="756" t="s">
        <v>646</v>
      </c>
      <c r="D76" s="756" t="s">
        <v>647</v>
      </c>
      <c r="E76" s="833">
        <v>0.5</v>
      </c>
      <c r="F76" s="820">
        <v>80</v>
      </c>
    </row>
    <row r="77" spans="1:6" s="816" customFormat="1" ht="36">
      <c r="A77" s="820">
        <v>17</v>
      </c>
      <c r="B77" s="3526"/>
      <c r="C77" s="756" t="s">
        <v>648</v>
      </c>
      <c r="D77" s="756" t="s">
        <v>649</v>
      </c>
      <c r="E77" s="833">
        <v>0.5</v>
      </c>
      <c r="F77" s="820">
        <v>80</v>
      </c>
    </row>
    <row r="78" spans="1:6" s="816" customFormat="1" ht="36">
      <c r="A78" s="820">
        <v>18</v>
      </c>
      <c r="B78" s="3526"/>
      <c r="C78" s="756" t="s">
        <v>650</v>
      </c>
      <c r="D78" s="756" t="s">
        <v>651</v>
      </c>
      <c r="E78" s="833">
        <v>0.2</v>
      </c>
      <c r="F78" s="820">
        <v>30</v>
      </c>
    </row>
    <row r="79" spans="1:6" s="816" customFormat="1" ht="36">
      <c r="A79" s="820">
        <v>19</v>
      </c>
      <c r="B79" s="3526"/>
      <c r="C79" s="756" t="s">
        <v>652</v>
      </c>
      <c r="D79" s="756" t="s">
        <v>653</v>
      </c>
      <c r="E79" s="833">
        <v>0.5</v>
      </c>
      <c r="F79" s="820">
        <v>80</v>
      </c>
    </row>
    <row r="80" spans="1:6" s="816" customFormat="1" ht="36">
      <c r="A80" s="820">
        <v>20</v>
      </c>
      <c r="B80" s="3526"/>
      <c r="C80" s="756" t="s">
        <v>654</v>
      </c>
      <c r="D80" s="756" t="s">
        <v>655</v>
      </c>
      <c r="E80" s="833">
        <v>0.2</v>
      </c>
      <c r="F80" s="820">
        <v>30</v>
      </c>
    </row>
    <row r="81" spans="1:6" s="816" customFormat="1" ht="36">
      <c r="A81" s="820">
        <v>21</v>
      </c>
      <c r="B81" s="3526"/>
      <c r="C81" s="756" t="s">
        <v>656</v>
      </c>
      <c r="D81" s="756" t="s">
        <v>657</v>
      </c>
      <c r="E81" s="833">
        <v>0.2</v>
      </c>
      <c r="F81" s="820">
        <v>30</v>
      </c>
    </row>
    <row r="82" spans="1:6" s="816" customFormat="1" ht="60">
      <c r="A82" s="820">
        <v>22</v>
      </c>
      <c r="B82" s="3526"/>
      <c r="C82" s="756" t="s">
        <v>658</v>
      </c>
      <c r="D82" s="756" t="s">
        <v>659</v>
      </c>
      <c r="E82" s="833">
        <v>0.2</v>
      </c>
      <c r="F82" s="820">
        <v>30</v>
      </c>
    </row>
    <row r="83" spans="1:6" s="816" customFormat="1" ht="60">
      <c r="A83" s="820">
        <v>23</v>
      </c>
      <c r="B83" s="3526"/>
      <c r="C83" s="756" t="s">
        <v>660</v>
      </c>
      <c r="D83" s="756" t="s">
        <v>661</v>
      </c>
      <c r="E83" s="833">
        <v>0.2</v>
      </c>
      <c r="F83" s="820">
        <v>30</v>
      </c>
    </row>
    <row r="84" spans="1:6" s="816" customFormat="1" ht="48">
      <c r="A84" s="820">
        <v>24</v>
      </c>
      <c r="B84" s="3526"/>
      <c r="C84" s="756" t="s">
        <v>662</v>
      </c>
      <c r="D84" s="756" t="s">
        <v>663</v>
      </c>
      <c r="E84" s="833">
        <v>0.2</v>
      </c>
      <c r="F84" s="820">
        <v>30</v>
      </c>
    </row>
    <row r="85" spans="1:6" s="816" customFormat="1" ht="36">
      <c r="A85" s="820">
        <v>25</v>
      </c>
      <c r="B85" s="3526"/>
      <c r="C85" s="756" t="s">
        <v>664</v>
      </c>
      <c r="D85" s="756" t="s">
        <v>665</v>
      </c>
      <c r="E85" s="833">
        <v>0.5</v>
      </c>
      <c r="F85" s="820">
        <v>80</v>
      </c>
    </row>
    <row r="86" spans="1:6" s="816" customFormat="1" ht="36">
      <c r="A86" s="820">
        <v>26</v>
      </c>
      <c r="B86" s="3526"/>
      <c r="C86" s="756" t="s">
        <v>666</v>
      </c>
      <c r="D86" s="756" t="s">
        <v>667</v>
      </c>
      <c r="E86" s="833">
        <v>0.2</v>
      </c>
      <c r="F86" s="820">
        <v>30</v>
      </c>
    </row>
    <row r="87" spans="1:6" s="816" customFormat="1" ht="36">
      <c r="A87" s="820">
        <v>27</v>
      </c>
      <c r="B87" s="3526"/>
      <c r="C87" s="756" t="s">
        <v>668</v>
      </c>
      <c r="D87" s="756" t="s">
        <v>669</v>
      </c>
      <c r="E87" s="833">
        <v>0.2</v>
      </c>
      <c r="F87" s="820">
        <v>30</v>
      </c>
    </row>
    <row r="88" spans="1:6" s="816" customFormat="1" ht="36">
      <c r="A88" s="820">
        <v>28</v>
      </c>
      <c r="B88" s="3526"/>
      <c r="C88" s="756" t="s">
        <v>670</v>
      </c>
      <c r="D88" s="756" t="s">
        <v>671</v>
      </c>
      <c r="E88" s="833">
        <v>0.2</v>
      </c>
      <c r="F88" s="820">
        <v>30</v>
      </c>
    </row>
    <row r="89" spans="1:6" s="816" customFormat="1" ht="36">
      <c r="A89" s="820">
        <v>29</v>
      </c>
      <c r="B89" s="3526"/>
      <c r="C89" s="756" t="s">
        <v>672</v>
      </c>
      <c r="D89" s="756" t="s">
        <v>673</v>
      </c>
      <c r="E89" s="833">
        <v>0.2</v>
      </c>
      <c r="F89" s="820">
        <v>30</v>
      </c>
    </row>
    <row r="90" spans="1:6" s="816" customFormat="1" ht="36">
      <c r="A90" s="820">
        <v>30</v>
      </c>
      <c r="B90" s="3526"/>
      <c r="C90" s="756" t="s">
        <v>674</v>
      </c>
      <c r="D90" s="756" t="s">
        <v>675</v>
      </c>
      <c r="E90" s="833">
        <v>0.2</v>
      </c>
      <c r="F90" s="820">
        <v>30</v>
      </c>
    </row>
    <row r="91" spans="1:6" s="816" customFormat="1" ht="48">
      <c r="A91" s="820">
        <v>31</v>
      </c>
      <c r="B91" s="3526"/>
      <c r="C91" s="756" t="s">
        <v>676</v>
      </c>
      <c r="D91" s="756" t="s">
        <v>677</v>
      </c>
      <c r="E91" s="833">
        <v>0.2</v>
      </c>
      <c r="F91" s="820">
        <v>30</v>
      </c>
    </row>
    <row r="92" spans="1:6" s="816" customFormat="1" ht="36">
      <c r="A92" s="820">
        <v>32</v>
      </c>
      <c r="B92" s="3526" t="s">
        <v>678</v>
      </c>
      <c r="C92" s="820" t="s">
        <v>679</v>
      </c>
      <c r="D92" s="756" t="s">
        <v>680</v>
      </c>
      <c r="E92" s="833">
        <v>0.2</v>
      </c>
      <c r="F92" s="820">
        <v>30</v>
      </c>
    </row>
    <row r="93" spans="1:6" s="816" customFormat="1" ht="36">
      <c r="A93" s="820">
        <v>33</v>
      </c>
      <c r="B93" s="3526"/>
      <c r="C93" s="820" t="s">
        <v>681</v>
      </c>
      <c r="D93" s="756" t="s">
        <v>682</v>
      </c>
      <c r="E93" s="833">
        <v>0.2</v>
      </c>
      <c r="F93" s="820">
        <v>30</v>
      </c>
    </row>
    <row r="94" spans="1:6" s="816" customFormat="1" ht="60">
      <c r="A94" s="820">
        <v>34</v>
      </c>
      <c r="B94" s="3526"/>
      <c r="C94" s="820" t="s">
        <v>683</v>
      </c>
      <c r="D94" s="756" t="s">
        <v>684</v>
      </c>
      <c r="E94" s="833">
        <v>0.2</v>
      </c>
      <c r="F94" s="820">
        <v>30</v>
      </c>
    </row>
    <row r="95" spans="1:6" s="816" customFormat="1" ht="48">
      <c r="A95" s="820">
        <v>35</v>
      </c>
      <c r="B95" s="3526"/>
      <c r="C95" s="820" t="s">
        <v>685</v>
      </c>
      <c r="D95" s="756" t="s">
        <v>686</v>
      </c>
      <c r="E95" s="833">
        <v>0.2</v>
      </c>
      <c r="F95" s="820">
        <v>30</v>
      </c>
    </row>
    <row r="96" spans="1:6" s="816" customFormat="1" ht="72">
      <c r="A96" s="820">
        <v>36</v>
      </c>
      <c r="B96" s="3526"/>
      <c r="C96" s="756" t="s">
        <v>687</v>
      </c>
      <c r="D96" s="756" t="s">
        <v>688</v>
      </c>
      <c r="E96" s="833">
        <v>0.2</v>
      </c>
      <c r="F96" s="820">
        <v>30</v>
      </c>
    </row>
    <row r="97" spans="1:6" s="816" customFormat="1" ht="36">
      <c r="A97" s="820">
        <v>37</v>
      </c>
      <c r="B97" s="3526"/>
      <c r="C97" s="820" t="s">
        <v>689</v>
      </c>
      <c r="D97" s="756" t="s">
        <v>690</v>
      </c>
      <c r="E97" s="833">
        <v>0.2</v>
      </c>
      <c r="F97" s="820">
        <v>30</v>
      </c>
    </row>
    <row r="98" spans="1:6" s="816" customFormat="1" ht="36">
      <c r="A98" s="820">
        <v>38</v>
      </c>
      <c r="B98" s="3526"/>
      <c r="C98" s="820" t="s">
        <v>691</v>
      </c>
      <c r="D98" s="756" t="s">
        <v>692</v>
      </c>
      <c r="E98" s="833">
        <v>0.2</v>
      </c>
      <c r="F98" s="820">
        <v>30</v>
      </c>
    </row>
    <row r="99" spans="1:6" s="816" customFormat="1" ht="36">
      <c r="A99" s="820">
        <v>39</v>
      </c>
      <c r="B99" s="3526" t="s">
        <v>693</v>
      </c>
      <c r="C99" s="820" t="s">
        <v>694</v>
      </c>
      <c r="D99" s="756" t="s">
        <v>695</v>
      </c>
      <c r="E99" s="833">
        <v>0.3</v>
      </c>
      <c r="F99" s="820">
        <v>50</v>
      </c>
    </row>
    <row r="100" spans="1:6" s="816" customFormat="1" ht="36">
      <c r="A100" s="820">
        <v>40</v>
      </c>
      <c r="B100" s="3526"/>
      <c r="C100" s="820" t="s">
        <v>696</v>
      </c>
      <c r="D100" s="756" t="s">
        <v>697</v>
      </c>
      <c r="E100" s="833">
        <v>0.2</v>
      </c>
      <c r="F100" s="820">
        <v>30</v>
      </c>
    </row>
    <row r="101" spans="1:6" s="816" customFormat="1" ht="36">
      <c r="A101" s="820">
        <v>41</v>
      </c>
      <c r="B101" s="3526"/>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526" t="s">
        <v>708</v>
      </c>
      <c r="C105" s="820" t="s">
        <v>709</v>
      </c>
      <c r="D105" s="756" t="s">
        <v>710</v>
      </c>
      <c r="E105" s="833">
        <v>0.2</v>
      </c>
      <c r="F105" s="820">
        <v>30</v>
      </c>
    </row>
    <row r="106" spans="1:6" s="816" customFormat="1" ht="48">
      <c r="A106" s="820">
        <v>46</v>
      </c>
      <c r="B106" s="3526"/>
      <c r="C106" s="820" t="s">
        <v>711</v>
      </c>
      <c r="D106" s="756" t="s">
        <v>712</v>
      </c>
      <c r="E106" s="833">
        <v>0.2</v>
      </c>
      <c r="F106" s="820">
        <v>30</v>
      </c>
    </row>
    <row r="107" spans="1:6" s="816" customFormat="1" ht="36">
      <c r="A107" s="820">
        <v>47</v>
      </c>
      <c r="B107" s="3526" t="s">
        <v>713</v>
      </c>
      <c r="C107" s="820" t="s">
        <v>714</v>
      </c>
      <c r="D107" s="756" t="s">
        <v>715</v>
      </c>
      <c r="E107" s="833">
        <v>0.3</v>
      </c>
      <c r="F107" s="820">
        <v>50</v>
      </c>
    </row>
    <row r="108" spans="1:6" s="816" customFormat="1" ht="48">
      <c r="A108" s="820">
        <v>48</v>
      </c>
      <c r="B108" s="352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526" t="s">
        <v>724</v>
      </c>
      <c r="C111" s="820" t="s">
        <v>725</v>
      </c>
      <c r="D111" s="756" t="s">
        <v>726</v>
      </c>
      <c r="E111" s="833">
        <v>0.2</v>
      </c>
      <c r="F111" s="820">
        <v>30</v>
      </c>
    </row>
    <row r="112" spans="1:6" s="816" customFormat="1" ht="36">
      <c r="A112" s="820">
        <v>52</v>
      </c>
      <c r="B112" s="3526"/>
      <c r="C112" s="820" t="s">
        <v>727</v>
      </c>
      <c r="D112" s="756" t="s">
        <v>728</v>
      </c>
      <c r="E112" s="833">
        <v>0.2</v>
      </c>
      <c r="F112" s="820">
        <v>30</v>
      </c>
    </row>
    <row r="113" spans="1:6" s="816" customFormat="1" ht="36">
      <c r="A113" s="820">
        <v>53</v>
      </c>
      <c r="B113" s="3526"/>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526" t="s">
        <v>737</v>
      </c>
      <c r="C116" s="820" t="s">
        <v>738</v>
      </c>
      <c r="D116" s="756" t="s">
        <v>739</v>
      </c>
      <c r="E116" s="833">
        <v>0.2</v>
      </c>
      <c r="F116" s="820">
        <v>30</v>
      </c>
    </row>
    <row r="117" spans="1:6" ht="36">
      <c r="A117" s="820">
        <v>57</v>
      </c>
      <c r="B117" s="3526"/>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20" customWidth="1"/>
    <col min="12" max="12" width="16.33203125" style="263" customWidth="1"/>
    <col min="13" max="13" width="13" style="263"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3"/>
  </cols>
  <sheetData>
    <row r="1" spans="1:37" s="298" customFormat="1" ht="21.6">
      <c r="A1" s="1527" t="s">
        <v>1494</v>
      </c>
      <c r="B1" s="721"/>
      <c r="C1" s="1531" t="s">
        <v>6</v>
      </c>
      <c r="D1" s="1514" t="s">
        <v>70</v>
      </c>
      <c r="E1" s="1515" t="s">
        <v>1292</v>
      </c>
      <c r="F1" s="1192">
        <f ca="1">J53</f>
        <v>28.27</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8800</v>
      </c>
      <c r="C2" s="1539" t="s">
        <v>1421</v>
      </c>
      <c r="D2" s="1539"/>
      <c r="E2" s="1540"/>
      <c r="F2" s="1541"/>
      <c r="G2" s="2903"/>
      <c r="H2" s="2892"/>
      <c r="I2" s="2892"/>
      <c r="J2" s="2892"/>
      <c r="K2" s="2893"/>
      <c r="L2" s="2892"/>
      <c r="M2" s="2892"/>
    </row>
    <row r="3" spans="1:37" ht="18" customHeight="1" thickBot="1">
      <c r="A3" s="1542" t="s">
        <v>1422</v>
      </c>
      <c r="B3" s="1543">
        <f ca="1">IF(ISERROR(B2*10000/F43),0,ROUND(B2*10000/F43,0))</f>
        <v>3537</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619</v>
      </c>
      <c r="D5" s="1516" t="s">
        <v>1307</v>
      </c>
      <c r="E5" s="1202"/>
      <c r="F5" s="1203"/>
      <c r="G5" s="1536"/>
      <c r="H5" s="304">
        <v>1</v>
      </c>
      <c r="I5" s="305" t="s">
        <v>1306</v>
      </c>
      <c r="J5" s="1201">
        <f ca="1">J6+J10+J12</f>
        <v>0</v>
      </c>
      <c r="K5" s="1516" t="s">
        <v>1307</v>
      </c>
      <c r="L5" s="1202"/>
      <c r="M5" s="1203"/>
    </row>
    <row r="6" spans="1:37" ht="18" customHeight="1">
      <c r="A6" s="1200" t="s">
        <v>1003</v>
      </c>
      <c r="B6" s="3529" t="s">
        <v>1308</v>
      </c>
      <c r="C6" s="1205">
        <f ca="1">ROUND(F6*F8*F7*(1-F9)/10000,0)</f>
        <v>618</v>
      </c>
      <c r="D6" s="159" t="s">
        <v>2788</v>
      </c>
      <c r="E6" s="307" t="s">
        <v>1310</v>
      </c>
      <c r="F6" s="308">
        <f ca="1">INDIRECT("'数据-取费表'!u"&amp;$G$1)</f>
        <v>0.8</v>
      </c>
      <c r="G6" s="1536"/>
      <c r="H6" s="1200" t="s">
        <v>1003</v>
      </c>
      <c r="I6" s="3529" t="s">
        <v>1308</v>
      </c>
      <c r="J6" s="306">
        <f ca="1">ROUND(M6*M8*M7*(1-M9)/10000,0)</f>
        <v>0</v>
      </c>
      <c r="K6" s="159" t="s">
        <v>2787</v>
      </c>
      <c r="L6" s="307" t="s">
        <v>1310</v>
      </c>
      <c r="M6" s="308">
        <f ca="1">INDIRECT("'数据-取费表'!z"&amp;$G$1)</f>
        <v>0</v>
      </c>
    </row>
    <row r="7" spans="1:37" ht="18" customHeight="1">
      <c r="A7" s="1204"/>
      <c r="B7" s="3530"/>
      <c r="C7" s="1206"/>
      <c r="D7" s="312"/>
      <c r="E7" s="1207" t="s">
        <v>1311</v>
      </c>
      <c r="F7" s="308">
        <f ca="1">IF(INDIRECT("'数据-取费表'!ah"&amp;$G$1)="",INDIRECT("'数据-取费表'!k"&amp;$G$1),INDIRECT("'数据-取费表'!ah"&amp;$G$1))</f>
        <v>24880.78</v>
      </c>
      <c r="G7" s="1536"/>
      <c r="H7" s="309"/>
      <c r="I7" s="3530"/>
      <c r="J7" s="311"/>
      <c r="K7" s="312"/>
      <c r="L7" s="307" t="s">
        <v>1311</v>
      </c>
      <c r="M7" s="308">
        <f ca="1">F7</f>
        <v>24880.78</v>
      </c>
    </row>
    <row r="8" spans="1:37" ht="18" customHeight="1">
      <c r="A8" s="309"/>
      <c r="B8" s="3530"/>
      <c r="C8" s="311"/>
      <c r="D8" s="312"/>
      <c r="E8" s="307" t="s">
        <v>1312</v>
      </c>
      <c r="F8" s="308">
        <f ca="1">INDIRECT("'数据-取费表'!ai"&amp;$G$1)</f>
        <v>365</v>
      </c>
      <c r="G8" s="1536"/>
      <c r="H8" s="309"/>
      <c r="I8" s="3530"/>
      <c r="J8" s="311"/>
      <c r="K8" s="312"/>
      <c r="L8" s="307" t="s">
        <v>1312</v>
      </c>
      <c r="M8" s="308">
        <f ca="1">INDIRECT("'数据-取费表'!ai"&amp;$G$1)</f>
        <v>365</v>
      </c>
    </row>
    <row r="9" spans="1:37" ht="18" customHeight="1">
      <c r="A9" s="309"/>
      <c r="B9" s="3531"/>
      <c r="C9" s="311"/>
      <c r="D9" s="312"/>
      <c r="E9" s="307" t="s">
        <v>1313</v>
      </c>
      <c r="F9" s="317">
        <f ca="1">INDIRECT("'数据-取费表'!w"&amp;$G$1)</f>
        <v>0.15</v>
      </c>
      <c r="G9" s="1536"/>
      <c r="H9" s="309"/>
      <c r="I9" s="3531"/>
      <c r="J9" s="311"/>
      <c r="K9" s="312"/>
      <c r="L9" s="318" t="s">
        <v>1313</v>
      </c>
      <c r="M9" s="319">
        <f ca="1">INDIRECT("'数据-取费表'!ab"&amp;$G$1)</f>
        <v>0</v>
      </c>
    </row>
    <row r="10" spans="1:37" ht="18" customHeight="1">
      <c r="A10" s="1200" t="s">
        <v>1007</v>
      </c>
      <c r="B10" s="1517" t="s">
        <v>1314</v>
      </c>
      <c r="C10" s="321">
        <f ca="1">ROUND(IF(F10="押一",C6/12*F11,IF(F10="押二",C6/12*2*F11,IF(F10="押三",C6/12*3*F11,C11*F11))),0)</f>
        <v>1</v>
      </c>
      <c r="D10" s="1518" t="s">
        <v>2796</v>
      </c>
      <c r="E10" s="318" t="s">
        <v>1315</v>
      </c>
      <c r="F10" s="1247" t="s">
        <v>3168</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4302</v>
      </c>
      <c r="D13" s="1212" t="s">
        <v>1320</v>
      </c>
      <c r="E13" s="1212" t="s">
        <v>1321</v>
      </c>
      <c r="F13" s="1213">
        <f ca="1">INDIRECT("'数据-取费表'!y"&amp;$G$1)</f>
        <v>0.68</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4479</v>
      </c>
      <c r="D14" s="1497" t="s">
        <v>1323</v>
      </c>
      <c r="E14" s="1494"/>
      <c r="F14" s="324"/>
      <c r="G14" s="1536"/>
      <c r="H14" s="1112" t="s">
        <v>1003</v>
      </c>
      <c r="I14" s="307" t="s">
        <v>1324</v>
      </c>
      <c r="J14" s="23">
        <f ca="1">C29</f>
        <v>6326</v>
      </c>
      <c r="K14" s="14"/>
      <c r="L14" s="915"/>
      <c r="M14" s="916"/>
    </row>
    <row r="15" spans="1:37" s="1549" customFormat="1" ht="18" customHeight="1" thickBot="1">
      <c r="A15" s="1112" t="s">
        <v>1004</v>
      </c>
      <c r="B15" s="307" t="s">
        <v>1325</v>
      </c>
      <c r="C15" s="23">
        <f ca="1">ROUND(C14*F15,0)</f>
        <v>134</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90</v>
      </c>
      <c r="K16" s="1218" t="s">
        <v>1330</v>
      </c>
      <c r="L16" s="1219"/>
      <c r="M16" s="1203"/>
    </row>
    <row r="17" spans="1:37" s="1549" customFormat="1" ht="18" customHeight="1">
      <c r="A17" s="1112" t="s">
        <v>1295</v>
      </c>
      <c r="B17" s="307" t="s">
        <v>1331</v>
      </c>
      <c r="C17" s="23">
        <f ca="1">ROUND(F17*(F43+INDIRECT("'数据-取费表'!S"&amp;$G$1))/10000,0)</f>
        <v>498</v>
      </c>
      <c r="D17" s="307" t="s">
        <v>1332</v>
      </c>
      <c r="E17" s="307" t="s">
        <v>1333</v>
      </c>
      <c r="F17" s="25">
        <f>'数据-取费表'!B35</f>
        <v>200</v>
      </c>
      <c r="G17" s="1548"/>
      <c r="H17" s="1112" t="s">
        <v>1003</v>
      </c>
      <c r="I17" s="307" t="s">
        <v>1334</v>
      </c>
      <c r="J17" s="2502">
        <f ca="1">ROUND(IF(AND(项目基本情况!B11="自然人",项目基本情况!B10="北京市"),J6*M17/(1+'数据-取费表'!C42),J18+J19+J20),0)</f>
        <v>58</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f ca="1">ROUND(C14*F18,0)</f>
        <v>67</v>
      </c>
      <c r="D18" s="307" t="s">
        <v>1326</v>
      </c>
      <c r="E18" s="307" t="s">
        <v>1327</v>
      </c>
      <c r="F18" s="327">
        <f>'数据-取费表'!B36</f>
        <v>1.4999999999999999E-2</v>
      </c>
      <c r="G18" s="1548"/>
      <c r="H18" s="1112" t="s">
        <v>1002</v>
      </c>
      <c r="I18" s="307" t="s">
        <v>1338</v>
      </c>
      <c r="J18" s="23">
        <f ca="1">ROUND(J6*M18/(1+'数据-取费表'!C42),2)</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f ca="1">SUM(C14:C18)</f>
        <v>5178</v>
      </c>
      <c r="D19" s="135" t="s">
        <v>1341</v>
      </c>
      <c r="E19" s="1512"/>
      <c r="F19" s="25"/>
      <c r="G19" s="1536"/>
      <c r="H19" s="1112" t="s">
        <v>1004</v>
      </c>
      <c r="I19" s="307" t="s">
        <v>1342</v>
      </c>
      <c r="J19" s="23">
        <f ca="1">IF(K19="按租金收入计税",ROUND(J6*M19/(1+'数据-取费表'!C42),2),ROUND(C29*M19*0.7,2))</f>
        <v>53.14</v>
      </c>
      <c r="K19" s="1522" t="s">
        <v>1343</v>
      </c>
      <c r="L19" s="307" t="s">
        <v>1327</v>
      </c>
      <c r="M19" s="327">
        <f>IF(K19="按租金收入计税",'数据-取费表'!B51,'数据-取费表'!B50)</f>
        <v>1.2E-2</v>
      </c>
    </row>
    <row r="20" spans="1:37" s="1549" customFormat="1" ht="18" customHeight="1">
      <c r="A20" s="1112" t="s">
        <v>1007</v>
      </c>
      <c r="B20" s="307" t="s">
        <v>1344</v>
      </c>
      <c r="C20" s="23">
        <f ca="1">ROUND(C19*F20,0)</f>
        <v>52</v>
      </c>
      <c r="D20" s="328" t="s">
        <v>1345</v>
      </c>
      <c r="E20" s="307" t="s">
        <v>1327</v>
      </c>
      <c r="F20" s="327">
        <f>'数据-取费表'!B37</f>
        <v>0.01</v>
      </c>
      <c r="G20" s="1548"/>
      <c r="H20" s="1112" t="s">
        <v>1294</v>
      </c>
      <c r="I20" s="159" t="s">
        <v>1346</v>
      </c>
      <c r="J20" s="24">
        <f ca="1">ROUND(M20*M21/10000,2)</f>
        <v>4.6900000000000004</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18</v>
      </c>
      <c r="D21" s="328" t="s">
        <v>1350</v>
      </c>
      <c r="E21" s="307" t="s">
        <v>1351</v>
      </c>
      <c r="F21" s="327">
        <f>'数据-取费表'!B38</f>
        <v>0.01</v>
      </c>
      <c r="G21" s="1548"/>
      <c r="H21" s="331"/>
      <c r="I21" s="316"/>
      <c r="J21" s="28"/>
      <c r="K21" s="332"/>
      <c r="L21" s="307" t="s">
        <v>1352</v>
      </c>
      <c r="M21" s="308">
        <f ca="1">INDIRECT("'数据-取费表'!r"&amp;$G$1)</f>
        <v>31250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f ca="1">ROUND(J14*M22,1)</f>
        <v>31.6</v>
      </c>
      <c r="K22" s="1496" t="s">
        <v>1355</v>
      </c>
      <c r="L22" s="307" t="s">
        <v>1327</v>
      </c>
      <c r="M22" s="333">
        <f ca="1">INDIRECT("'数据-取费表'!Ak"&amp;$G$1)</f>
        <v>5.0000000000000001E-3</v>
      </c>
    </row>
    <row r="23" spans="1:37" s="1549" customFormat="1" ht="18" customHeight="1">
      <c r="A23" s="1112" t="s">
        <v>1002</v>
      </c>
      <c r="B23" s="307" t="s">
        <v>1356</v>
      </c>
      <c r="C23" s="23">
        <f ca="1">IF('数据-取费表'!B22&lt;=1,ROUND(C19*F24*F23/2,0)+ROUND(C20*F24*F23/2,0),ROUND(C19*(POWER((1+F24),F23/2)-1),0)+ROUND(C20*(POWER((1+F24),F23/2)-1),0))</f>
        <v>170</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3">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f ca="1">ROUND(J5*M24,1)</f>
        <v>0</v>
      </c>
      <c r="K24" s="1223" t="s">
        <v>1364</v>
      </c>
      <c r="L24" s="1221" t="s">
        <v>1360</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3"/>
      <c r="D25" s="135" t="s">
        <v>1367</v>
      </c>
      <c r="E25" s="1512"/>
      <c r="F25" s="25"/>
      <c r="G25" s="1536"/>
      <c r="H25" s="1210" t="s">
        <v>999</v>
      </c>
      <c r="I25" s="1225" t="s">
        <v>1368</v>
      </c>
      <c r="J25" s="315">
        <f ca="1">J5-J16</f>
        <v>-90</v>
      </c>
      <c r="K25" s="1226" t="s">
        <v>1369</v>
      </c>
      <c r="L25" s="1227"/>
      <c r="M25" s="1228"/>
    </row>
    <row r="26" spans="1:37">
      <c r="A26" s="1112" t="s">
        <v>1002</v>
      </c>
      <c r="B26" s="307" t="s">
        <v>1370</v>
      </c>
      <c r="C26" s="23">
        <f ca="1">ROUND((C19+C20)*F26,0)</f>
        <v>523</v>
      </c>
      <c r="D26" s="328" t="s">
        <v>1371</v>
      </c>
      <c r="E26" s="318" t="s">
        <v>1372</v>
      </c>
      <c r="F26" s="317">
        <f ca="1">INDIRECT("'数据-取费表'!q"&amp;$G$1)</f>
        <v>0.1</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6326</v>
      </c>
      <c r="D29" s="1223"/>
      <c r="E29" s="1221"/>
      <c r="F29" s="1224"/>
      <c r="G29" s="1548"/>
      <c r="H29" s="339" t="s">
        <v>1001</v>
      </c>
      <c r="I29" s="340" t="s">
        <v>1384</v>
      </c>
      <c r="J29" s="341">
        <f ca="1">ROUND(J26/(1+F40)^F41,0)</f>
        <v>0</v>
      </c>
      <c r="K29" s="342" t="s">
        <v>1385</v>
      </c>
      <c r="L29" s="343"/>
      <c r="M29" s="344">
        <f ca="1">INDIRECT("'数据-取费表'!k"&amp;$G$1)</f>
        <v>24880.78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147</v>
      </c>
      <c r="D30" s="1218" t="s">
        <v>1330</v>
      </c>
      <c r="E30" s="1219"/>
      <c r="F30" s="1203"/>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108</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f ca="1">IF(项目基本情况!B11="自然人","——",ROUND(C6*F32/(1+'数据-取费表'!C42),2))</f>
        <v>32.369999999999997</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f ca="1">IF(项目基本情况!B11="自然人","——",IF(D33="按租金收入计税",ROUND(C6*F33/(1+'数据-取费表'!C42),2),IF(D33="按房产原值计税",ROUND(C29*F33*0.7,2),INDIRECT("'数据-取费表'!Aj"&amp;$G$1))))</f>
        <v>70.63</v>
      </c>
      <c r="D33" s="1522" t="s">
        <v>3169</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f ca="1">IF(项目基本情况!B11="自然人","——",ROUND(F34*F35/10000,2))</f>
        <v>4.6900000000000004</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f ca="1">INDIRECT("'数据-取费表'!r"&amp;$G$1)</f>
        <v>31250</v>
      </c>
      <c r="G35" s="1536"/>
      <c r="H35" s="2894"/>
      <c r="I35" s="1550"/>
      <c r="J35" s="1551"/>
      <c r="K35" s="2898"/>
      <c r="L35" s="2897"/>
      <c r="M35" s="2897"/>
    </row>
    <row r="36" spans="1:18" ht="18" customHeight="1">
      <c r="A36" s="1233" t="s">
        <v>1007</v>
      </c>
      <c r="B36" s="307" t="s">
        <v>1354</v>
      </c>
      <c r="C36" s="23">
        <f ca="1">ROUND(C29*F36,1)</f>
        <v>31.6</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3">
        <f ca="1">ROUND(C13*F37,1)</f>
        <v>4.3</v>
      </c>
      <c r="D37" s="1496" t="s">
        <v>1359</v>
      </c>
      <c r="E37" s="307" t="s">
        <v>1360</v>
      </c>
      <c r="F37" s="335">
        <f ca="1">INDIRECT("'数据-取费表'!Al"&amp;$G$1)</f>
        <v>1E-3</v>
      </c>
      <c r="G37" s="1536"/>
      <c r="H37" s="2897"/>
      <c r="I37" s="1550"/>
      <c r="J37" s="1551"/>
      <c r="K37" s="2738"/>
      <c r="L37" s="2897"/>
      <c r="M37" s="2897"/>
    </row>
    <row r="38" spans="1:18" ht="18" customHeight="1" thickBot="1">
      <c r="A38" s="1220" t="s">
        <v>1298</v>
      </c>
      <c r="B38" s="1221" t="s">
        <v>1344</v>
      </c>
      <c r="C38" s="1222">
        <f ca="1">ROUND(C5*F38,1)</f>
        <v>3.1</v>
      </c>
      <c r="D38" s="1223" t="s">
        <v>1364</v>
      </c>
      <c r="E38" s="1221" t="s">
        <v>1360</v>
      </c>
      <c r="F38" s="1217">
        <f ca="1">INDIRECT("'数据-取费表'!Am"&amp;$G$1)</f>
        <v>5.0000000000000001E-3</v>
      </c>
      <c r="G38" s="1536"/>
      <c r="H38" s="2897"/>
      <c r="I38" s="1550"/>
      <c r="J38" s="1551"/>
      <c r="K38" s="2901"/>
      <c r="L38" s="2897"/>
      <c r="M38" s="2897"/>
    </row>
    <row r="39" spans="1:18" ht="24.6" customHeight="1" thickTop="1">
      <c r="A39" s="1210" t="s">
        <v>999</v>
      </c>
      <c r="B39" s="1225" t="s">
        <v>1388</v>
      </c>
      <c r="C39" s="315">
        <f ca="1">C5-C30</f>
        <v>472</v>
      </c>
      <c r="D39" s="1226" t="s">
        <v>1389</v>
      </c>
      <c r="E39" s="1227"/>
      <c r="F39" s="1228"/>
      <c r="G39" s="1536"/>
      <c r="H39" s="2897"/>
      <c r="I39" s="1550"/>
      <c r="J39" s="1551"/>
      <c r="K39" s="2901"/>
      <c r="L39" s="2897"/>
      <c r="M39" s="2897"/>
    </row>
    <row r="40" spans="1:18" ht="18" customHeight="1">
      <c r="A40" s="304" t="s">
        <v>1000</v>
      </c>
      <c r="B40" s="305" t="s">
        <v>1390</v>
      </c>
      <c r="C40" s="306">
        <f ca="1">ROUND(C39*(1-((1+F42)/(1+F40))^F41)/(F40-F42),0)</f>
        <v>8800</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28.27</v>
      </c>
      <c r="G41" s="1536"/>
      <c r="H41" s="1323"/>
      <c r="I41" s="1550"/>
      <c r="J41" s="1551"/>
      <c r="K41" s="2738"/>
      <c r="L41" s="1323"/>
      <c r="M41" s="1323"/>
    </row>
    <row r="42" spans="1:18" ht="18" customHeight="1">
      <c r="A42" s="313"/>
      <c r="B42" s="314"/>
      <c r="C42" s="315"/>
      <c r="D42" s="332"/>
      <c r="E42" s="307" t="s">
        <v>1382</v>
      </c>
      <c r="F42" s="317">
        <f ca="1">INDIRECT("'数据-取费表'!v"&amp;$G$1)</f>
        <v>0.02</v>
      </c>
      <c r="G42" s="1536"/>
      <c r="H42" s="1323"/>
      <c r="I42" s="1550"/>
      <c r="J42" s="1551"/>
      <c r="K42" s="2738"/>
      <c r="L42" s="1323"/>
      <c r="M42" s="1323"/>
    </row>
    <row r="43" spans="1:18" ht="18" customHeight="1" thickBot="1">
      <c r="A43" s="339" t="s">
        <v>1001</v>
      </c>
      <c r="B43" s="340" t="s">
        <v>1392</v>
      </c>
      <c r="C43" s="341">
        <f ca="1">ROUND(C40*10000/F43,0)</f>
        <v>3537</v>
      </c>
      <c r="D43" s="342" t="s">
        <v>1393</v>
      </c>
      <c r="E43" s="343" t="s">
        <v>1394</v>
      </c>
      <c r="F43" s="344">
        <f ca="1">INDIRECT("'数据-取费表'!k"&amp;$G$1)</f>
        <v>24880.78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8" thickBot="1">
      <c r="A46" s="1556" t="s">
        <v>1425</v>
      </c>
      <c r="C46" s="1557">
        <f ca="1">C68-C40</f>
        <v>-17360</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8" thickBot="1">
      <c r="A47" s="1076" t="s">
        <v>1301</v>
      </c>
      <c r="B47" s="1108" t="s">
        <v>1302</v>
      </c>
      <c r="C47" s="1248" t="s">
        <v>1303</v>
      </c>
      <c r="D47" s="1108" t="s">
        <v>1304</v>
      </c>
      <c r="E47" s="1188" t="s">
        <v>1305</v>
      </c>
      <c r="F47" s="1189"/>
      <c r="G47" s="730"/>
      <c r="I47" s="1566" t="s">
        <v>1431</v>
      </c>
      <c r="J47" s="1567" t="s">
        <v>3170</v>
      </c>
      <c r="K47" s="1568" t="s">
        <v>1432</v>
      </c>
      <c r="L47" s="1569">
        <f ca="1">INDIRECT("'数据-取费表'!d"&amp;$G$1)</f>
        <v>50</v>
      </c>
      <c r="M47" s="1532" t="str">
        <f>IF(ISNUMBER(FIND("住宅",C1)),"住宅","非住宅")</f>
        <v>非住宅</v>
      </c>
      <c r="O47" s="1570" t="s">
        <v>1008</v>
      </c>
      <c r="P47" s="1571" t="s">
        <v>1433</v>
      </c>
      <c r="Q47" s="1572">
        <f ca="1">C40+J29</f>
        <v>8800</v>
      </c>
      <c r="R47" s="1572" t="s">
        <v>1434</v>
      </c>
    </row>
    <row r="48" spans="1:18" s="1536" customFormat="1" ht="40.200000000000003" thickBot="1">
      <c r="A48" s="1241" t="s">
        <v>1044</v>
      </c>
      <c r="B48" s="305" t="s">
        <v>1306</v>
      </c>
      <c r="C48" s="1511">
        <f ca="1">C49+C53+C55</f>
        <v>0</v>
      </c>
      <c r="D48" s="1243"/>
      <c r="E48" s="1244"/>
      <c r="F48" s="1092"/>
      <c r="G48" s="730"/>
      <c r="H48" s="731"/>
      <c r="I48" s="1573" t="s">
        <v>1435</v>
      </c>
      <c r="J48" s="1574" t="s">
        <v>3171</v>
      </c>
      <c r="K48" s="1575" t="s">
        <v>1436</v>
      </c>
      <c r="L48" s="1576">
        <f ca="1">INDIRECT("'数据-取费表'!f"&amp;$G$1)</f>
        <v>28.27</v>
      </c>
      <c r="O48" s="1570" t="s">
        <v>1009</v>
      </c>
      <c r="P48" s="1571" t="s">
        <v>1437</v>
      </c>
      <c r="Q48" s="1572" t="str">
        <f ca="1">J60</f>
        <v>0</v>
      </c>
      <c r="R48" s="1572" t="s">
        <v>1438</v>
      </c>
    </row>
    <row r="49" spans="1:18" s="1536" customFormat="1" ht="13.8" thickBot="1">
      <c r="A49" s="1105" t="s">
        <v>1045</v>
      </c>
      <c r="B49" s="1523" t="s">
        <v>1395</v>
      </c>
      <c r="C49" s="1245">
        <f ca="1">ROUND(F49*F51*F50*(1-F52)/10000,0)</f>
        <v>0</v>
      </c>
      <c r="D49" s="1185" t="s">
        <v>2789</v>
      </c>
      <c r="E49" s="1524" t="s">
        <v>1396</v>
      </c>
      <c r="F49" s="1190"/>
      <c r="G49" s="1577"/>
      <c r="H49" s="731"/>
      <c r="I49" s="1573" t="s">
        <v>1439</v>
      </c>
      <c r="J49" s="1578">
        <v>2020</v>
      </c>
      <c r="K49" s="1575" t="s">
        <v>1440</v>
      </c>
      <c r="L49" s="1579"/>
      <c r="O49" s="1580" t="s">
        <v>1010</v>
      </c>
      <c r="P49" s="1571" t="s">
        <v>1441</v>
      </c>
      <c r="Q49" s="1572">
        <f ca="1">C29</f>
        <v>6326</v>
      </c>
      <c r="R49" s="1572" t="s">
        <v>1434</v>
      </c>
    </row>
    <row r="50" spans="1:18" s="1536" customFormat="1" ht="13.8" thickBot="1">
      <c r="A50" s="1106"/>
      <c r="B50" s="1109"/>
      <c r="C50" s="1249"/>
      <c r="D50" s="1083"/>
      <c r="E50" s="1186" t="s">
        <v>1311</v>
      </c>
      <c r="F50" s="1187">
        <f ca="1">F7</f>
        <v>24880.78</v>
      </c>
      <c r="H50" s="731"/>
      <c r="I50" s="1573" t="s">
        <v>1442</v>
      </c>
      <c r="J50" s="1581">
        <f>SUMPRODUCT((I63:I65=J47)*(J62:L62=J48)*(J63:L65))</f>
        <v>40</v>
      </c>
      <c r="K50" s="1575" t="s">
        <v>1443</v>
      </c>
      <c r="L50" s="1579"/>
      <c r="M50" s="1582"/>
      <c r="O50" s="1580" t="s">
        <v>1011</v>
      </c>
      <c r="P50" s="1571" t="s">
        <v>1444</v>
      </c>
      <c r="Q50" s="1583" t="e">
        <f ca="1">J58</f>
        <v>#VALUE!</v>
      </c>
      <c r="R50" s="1572"/>
    </row>
    <row r="51" spans="1:18" s="1536" customFormat="1" ht="13.8"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3084</v>
      </c>
      <c r="M51" s="1588"/>
      <c r="O51" s="1580" t="s">
        <v>1012</v>
      </c>
      <c r="P51" s="1571" t="s">
        <v>1447</v>
      </c>
      <c r="Q51" s="1583">
        <f>J52</f>
        <v>7.4999999999999997E-2</v>
      </c>
      <c r="R51" s="1572"/>
    </row>
    <row r="52" spans="1:18" s="1536" customFormat="1" ht="13.8" thickBot="1">
      <c r="A52" s="1107"/>
      <c r="B52" s="1109"/>
      <c r="C52" s="1110"/>
      <c r="D52" s="1083"/>
      <c r="E52" s="1111" t="s">
        <v>1313</v>
      </c>
      <c r="F52" s="1184"/>
      <c r="I52" s="1589" t="s">
        <v>1448</v>
      </c>
      <c r="J52" s="1590">
        <v>7.4999999999999997E-2</v>
      </c>
      <c r="K52" s="1589" t="s">
        <v>1449</v>
      </c>
      <c r="L52" s="1590"/>
      <c r="O52" s="1580" t="s">
        <v>1013</v>
      </c>
      <c r="P52" s="1571" t="s">
        <v>1450</v>
      </c>
      <c r="Q52" s="1572">
        <f ca="1">J53</f>
        <v>28.27</v>
      </c>
      <c r="R52" s="1572" t="s">
        <v>1451</v>
      </c>
    </row>
    <row r="53" spans="1:18" s="1536" customFormat="1" ht="36.6" thickBot="1">
      <c r="A53" s="1285" t="s">
        <v>1046</v>
      </c>
      <c r="B53" s="1525" t="s">
        <v>1314</v>
      </c>
      <c r="C53" s="321">
        <f ca="1">ROUND(IF(F53="押一",C49/12*F11,IF(F53="押二",C49/12*2*F11,IF(F53="押三",C49/12*3*F11,C54*F11))),0)</f>
        <v>0</v>
      </c>
      <c r="D53" s="1518" t="s">
        <v>2795</v>
      </c>
      <c r="E53" s="318" t="s">
        <v>1315</v>
      </c>
      <c r="F53" s="1247"/>
      <c r="I53" s="1591" t="s">
        <v>1452</v>
      </c>
      <c r="J53" s="2354">
        <f ca="1">IF(M47="住宅",IF(D1="——",MAX(J51,L48),MAX(J51,L48-'数据-取费表'!B24)),IF(D1="——",MIN(J51,L48),MIN(J51,L48-'数据-取费表'!B24)))</f>
        <v>28.27</v>
      </c>
      <c r="K53" s="3527" t="s">
        <v>1453</v>
      </c>
      <c r="L53" s="3528"/>
      <c r="O53" s="1570" t="s">
        <v>1014</v>
      </c>
      <c r="P53" s="1571" t="s">
        <v>1454</v>
      </c>
      <c r="Q53" s="1572">
        <f ca="1">Q47+Q48</f>
        <v>8800</v>
      </c>
      <c r="R53" s="1572" t="s">
        <v>1015</v>
      </c>
    </row>
    <row r="54" spans="1:18" s="1536" customFormat="1" ht="24.6"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7">
        <v>2</v>
      </c>
      <c r="B56" s="1088" t="s">
        <v>1319</v>
      </c>
      <c r="C56" s="237">
        <f ca="1">C13</f>
        <v>4302</v>
      </c>
      <c r="D56" s="1599"/>
      <c r="E56" s="1600"/>
      <c r="F56" s="1592"/>
      <c r="I56" s="1601" t="s">
        <v>1459</v>
      </c>
      <c r="J56" s="1602" t="s">
        <v>3162</v>
      </c>
      <c r="K56" s="1573" t="s">
        <v>1460</v>
      </c>
      <c r="L56" s="1576" t="str">
        <f ca="1">IF(L48&lt;J51,"——",L48-J53)</f>
        <v>——</v>
      </c>
      <c r="O56" s="1570" t="s">
        <v>1008</v>
      </c>
      <c r="P56" s="1571" t="s">
        <v>1433</v>
      </c>
      <c r="Q56" s="1572">
        <f ca="1">C40+J29</f>
        <v>8800</v>
      </c>
      <c r="R56" s="1572" t="s">
        <v>1434</v>
      </c>
    </row>
    <row r="57" spans="1:18" s="1536" customFormat="1" ht="24.6" thickBot="1">
      <c r="A57" s="1603"/>
      <c r="B57" s="1080" t="s">
        <v>1383</v>
      </c>
      <c r="C57" s="243">
        <f ca="1">C29</f>
        <v>6326</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0" t="s">
        <v>998</v>
      </c>
      <c r="B58" s="1088" t="s">
        <v>1329</v>
      </c>
      <c r="C58" s="321">
        <f ca="1">ROUND(C59+C64+C65+C66,0)</f>
        <v>572</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2">
        <f ca="1">ROUND(IF(AND(项目基本情况!B11="自然人",项目基本情况!B10="北京市"),C49*F59/(1+'数据-取费表'!C42),C60+C61+C62),0)</f>
        <v>536</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3">
        <f ca="1">IF(项目基本情况!B11="自然人","——",ROUND(C48*F60/(1+'数据-取费表'!C42),2))</f>
        <v>0</v>
      </c>
      <c r="D60" s="1094" t="s">
        <v>1339</v>
      </c>
      <c r="E60" s="1080" t="s">
        <v>1327</v>
      </c>
      <c r="F60" s="336">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8" thickBot="1">
      <c r="A61" s="1112" t="s">
        <v>1397</v>
      </c>
      <c r="B61" s="1080" t="s">
        <v>1398</v>
      </c>
      <c r="C61" s="23">
        <f ca="1">IF(项目基本情况!B11="自然人","——",IF(D61="按租金收入计税",ROUND(C49*F61/(1+'数据-取费表'!C42),2),IF(D61="按房产原值计税",ROUND(C57*F61*0.7,2),INDIRECT("'数据-取费表'!Aj"&amp;$G$1))))</f>
        <v>531.38</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2" t="s">
        <v>1400</v>
      </c>
      <c r="B62" s="1079" t="s">
        <v>1401</v>
      </c>
      <c r="C62" s="24">
        <f ca="1">IF(项目基本情况!B11="自然人","——",ROUND(F62*F63/10000,2))</f>
        <v>4.6900000000000004</v>
      </c>
      <c r="D62" s="1095" t="s">
        <v>1402</v>
      </c>
      <c r="E62" s="1080" t="s">
        <v>1403</v>
      </c>
      <c r="F62" s="330">
        <f t="shared" si="0"/>
        <v>1.5</v>
      </c>
      <c r="I62" s="1614" t="s">
        <v>1475</v>
      </c>
      <c r="J62" s="1615" t="s">
        <v>1476</v>
      </c>
      <c r="K62" s="1615" t="s">
        <v>1477</v>
      </c>
      <c r="L62" s="1615" t="s">
        <v>1478</v>
      </c>
      <c r="M62" s="1616" t="s">
        <v>1479</v>
      </c>
      <c r="O62" s="1570" t="s">
        <v>1014</v>
      </c>
      <c r="P62" s="1571" t="s">
        <v>1480</v>
      </c>
      <c r="Q62" s="1572">
        <f ca="1">Q56+Q57</f>
        <v>8800</v>
      </c>
      <c r="R62" s="1572" t="s">
        <v>1015</v>
      </c>
    </row>
    <row r="63" spans="1:18" s="1536" customFormat="1" ht="13.8" thickBot="1">
      <c r="A63" s="331"/>
      <c r="B63" s="1086"/>
      <c r="C63" s="28"/>
      <c r="D63" s="1096"/>
      <c r="E63" s="1080" t="s">
        <v>1404</v>
      </c>
      <c r="F63" s="308">
        <f t="shared" ca="1" si="0"/>
        <v>31250</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3">
        <f ca="1">ROUND(C57*F64,1)</f>
        <v>31.6</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3">
        <f ca="1">ROUND(C56*F65,1)</f>
        <v>4.3</v>
      </c>
      <c r="D65" s="1094" t="s">
        <v>1359</v>
      </c>
      <c r="E65" s="1080" t="s">
        <v>1360</v>
      </c>
      <c r="F65" s="335">
        <f t="shared" ca="1" si="0"/>
        <v>1E-3</v>
      </c>
      <c r="I65" s="1614" t="s">
        <v>1484</v>
      </c>
      <c r="J65" s="1615">
        <v>40</v>
      </c>
      <c r="K65" s="1615">
        <v>30</v>
      </c>
      <c r="L65" s="1615">
        <v>50</v>
      </c>
      <c r="M65" s="1617">
        <v>0.02</v>
      </c>
      <c r="O65" s="1570" t="s">
        <v>1008</v>
      </c>
      <c r="P65" s="1571" t="s">
        <v>1485</v>
      </c>
      <c r="Q65" s="1572">
        <f ca="1">C40+J29</f>
        <v>8800</v>
      </c>
      <c r="R65" s="1572" t="s">
        <v>1434</v>
      </c>
    </row>
    <row r="66" spans="1:18" s="1536" customFormat="1" ht="16.2" thickBot="1">
      <c r="A66" s="1112" t="s">
        <v>1409</v>
      </c>
      <c r="B66" s="1080" t="s">
        <v>1344</v>
      </c>
      <c r="C66" s="23">
        <f ca="1">ROUND(C48*F66,1)</f>
        <v>0</v>
      </c>
      <c r="D66" s="1094" t="s">
        <v>1410</v>
      </c>
      <c r="E66" s="1080" t="s">
        <v>1327</v>
      </c>
      <c r="F66" s="317">
        <f t="shared" ca="1" si="0"/>
        <v>5.0000000000000001E-3</v>
      </c>
      <c r="O66" s="1570" t="s">
        <v>1009</v>
      </c>
      <c r="P66" s="1571" t="s">
        <v>1463</v>
      </c>
      <c r="Q66" s="1572">
        <f ca="1">L60</f>
        <v>0</v>
      </c>
      <c r="R66" s="1572" t="s">
        <v>1486</v>
      </c>
    </row>
    <row r="67" spans="1:18" s="1536" customFormat="1" ht="24.6" thickBot="1">
      <c r="A67" s="1087" t="s">
        <v>999</v>
      </c>
      <c r="B67" s="1097" t="s">
        <v>1368</v>
      </c>
      <c r="C67" s="321">
        <f ca="1">C48-C58</f>
        <v>-572</v>
      </c>
      <c r="D67" s="1093" t="s">
        <v>1369</v>
      </c>
      <c r="E67" s="1098"/>
      <c r="F67" s="1099"/>
      <c r="O67" s="1580" t="s">
        <v>1010</v>
      </c>
      <c r="P67" s="1571" t="s">
        <v>1467</v>
      </c>
      <c r="Q67" s="1618">
        <f ca="1">L51</f>
        <v>3084</v>
      </c>
      <c r="R67" s="1572" t="s">
        <v>1487</v>
      </c>
    </row>
    <row r="68" spans="1:18" s="1536" customFormat="1" ht="16.2" thickBot="1">
      <c r="A68" s="1077" t="s">
        <v>1000</v>
      </c>
      <c r="B68" s="1078" t="s">
        <v>1390</v>
      </c>
      <c r="C68" s="306">
        <f ca="1">ROUND(C67*(1-((1+F70)/(1+F68))^F69)/(F68-F70),0)</f>
        <v>-8560</v>
      </c>
      <c r="D68" s="1095" t="s">
        <v>1374</v>
      </c>
      <c r="E68" s="1080" t="s">
        <v>1375</v>
      </c>
      <c r="F68" s="317">
        <f ca="1">F40</f>
        <v>0.05</v>
      </c>
      <c r="O68" s="1580" t="s">
        <v>1011</v>
      </c>
      <c r="P68" s="1619" t="s">
        <v>1488</v>
      </c>
      <c r="Q68" s="1572">
        <f ca="1">ROUND(Q69-Q70*Q71,0)</f>
        <v>171</v>
      </c>
      <c r="R68" s="1572" t="s">
        <v>1019</v>
      </c>
    </row>
    <row r="69" spans="1:18" s="1536" customFormat="1" ht="13.8" thickBot="1">
      <c r="A69" s="1081"/>
      <c r="B69" s="1082"/>
      <c r="C69" s="311"/>
      <c r="D69" s="1100" t="s">
        <v>1378</v>
      </c>
      <c r="E69" s="1080" t="s">
        <v>1379</v>
      </c>
      <c r="F69" s="338">
        <f ca="1">F41</f>
        <v>28.27</v>
      </c>
      <c r="O69" s="1580" t="s">
        <v>1016</v>
      </c>
      <c r="P69" s="1619" t="s">
        <v>1489</v>
      </c>
      <c r="Q69" s="1572">
        <f ca="1">C39</f>
        <v>472</v>
      </c>
      <c r="R69" s="1572" t="s">
        <v>1434</v>
      </c>
    </row>
    <row r="70" spans="1:18" s="1536" customFormat="1" ht="13.8" thickBot="1">
      <c r="A70" s="1084"/>
      <c r="B70" s="1085"/>
      <c r="C70" s="315"/>
      <c r="D70" s="1096"/>
      <c r="E70" s="1080" t="s">
        <v>1382</v>
      </c>
      <c r="F70" s="1184"/>
      <c r="O70" s="1580" t="s">
        <v>1017</v>
      </c>
      <c r="P70" s="1619" t="s">
        <v>1490</v>
      </c>
      <c r="Q70" s="1572">
        <f ca="1">C13</f>
        <v>4302</v>
      </c>
      <c r="R70" s="1572" t="s">
        <v>1434</v>
      </c>
    </row>
    <row r="71" spans="1:18" s="1536" customFormat="1" ht="13.8" thickBot="1">
      <c r="A71" s="1101" t="s">
        <v>1001</v>
      </c>
      <c r="B71" s="1102" t="s">
        <v>1392</v>
      </c>
      <c r="C71" s="341">
        <f ca="1">ROUND(C68*10000/F71,0)</f>
        <v>-3440</v>
      </c>
      <c r="D71" s="1103" t="s">
        <v>1393</v>
      </c>
      <c r="E71" s="1104" t="s">
        <v>1394</v>
      </c>
      <c r="F71" s="344">
        <f ca="1">F43</f>
        <v>24880.78</v>
      </c>
      <c r="O71" s="1580" t="s">
        <v>1018</v>
      </c>
      <c r="P71" s="1619" t="s">
        <v>1491</v>
      </c>
      <c r="Q71" s="1583">
        <f ca="1">C76</f>
        <v>7.0000000000000007E-2</v>
      </c>
      <c r="R71" s="1572"/>
    </row>
    <row r="72" spans="1:18" s="1536" customFormat="1" ht="13.8" thickBot="1">
      <c r="B72" s="734"/>
      <c r="C72" s="734"/>
      <c r="O72" s="1580" t="s">
        <v>1012</v>
      </c>
      <c r="P72" s="1571" t="s">
        <v>1469</v>
      </c>
      <c r="Q72" s="1583">
        <f>L52</f>
        <v>0</v>
      </c>
      <c r="R72" s="1572"/>
    </row>
    <row r="73" spans="1:18" ht="16.2" thickBot="1">
      <c r="A73" s="1536"/>
      <c r="B73" s="734"/>
      <c r="C73" s="734"/>
      <c r="D73" s="1536"/>
      <c r="E73" s="1536"/>
      <c r="F73" s="1536"/>
      <c r="O73" s="1580" t="s">
        <v>1013</v>
      </c>
      <c r="P73" s="1571" t="s">
        <v>1472</v>
      </c>
      <c r="Q73" s="1572" t="e">
        <f ca="1">L58</f>
        <v>#DIV/0!</v>
      </c>
      <c r="R73" s="1572" t="s">
        <v>1473</v>
      </c>
    </row>
    <row r="74" spans="1:18" ht="13.8"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5" t="s">
        <v>1411</v>
      </c>
      <c r="C75" s="346">
        <f ca="1">ROUND(C13*C76,0)</f>
        <v>301</v>
      </c>
      <c r="D75" s="1536"/>
      <c r="E75" s="1536"/>
      <c r="F75" s="1536"/>
      <c r="K75" s="1554"/>
      <c r="L75" s="1536"/>
      <c r="O75" s="1570" t="s">
        <v>1014</v>
      </c>
      <c r="P75" s="1571" t="s">
        <v>1454</v>
      </c>
      <c r="Q75" s="1572">
        <f ca="1">Q65+Q66</f>
        <v>8800</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0.36199999999999999</v>
      </c>
    </row>
    <row r="80" spans="1:18">
      <c r="B80" s="345" t="s">
        <v>1416</v>
      </c>
      <c r="C80" s="279">
        <f ca="1">ROUND(C75/C39,3)</f>
        <v>0.63800000000000001</v>
      </c>
    </row>
    <row r="81" spans="2:3">
      <c r="B81" s="275" t="s">
        <v>1417</v>
      </c>
      <c r="C81" s="243"/>
    </row>
    <row r="82" spans="2:3">
      <c r="B82" s="278" t="s">
        <v>1418</v>
      </c>
      <c r="C82" s="280">
        <f ca="1">1-C83</f>
        <v>0.51100000000000001</v>
      </c>
    </row>
    <row r="83" spans="2:3">
      <c r="B83" s="278" t="s">
        <v>1419</v>
      </c>
      <c r="C83" s="279">
        <f ca="1">ROUND(C13/C40,3)</f>
        <v>0.48899999999999999</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20" customWidth="1"/>
    <col min="12" max="12" width="16.33203125" style="263" customWidth="1"/>
    <col min="13" max="13" width="13" style="263"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3"/>
  </cols>
  <sheetData>
    <row r="1" spans="1:37" s="298" customFormat="1" ht="21.6">
      <c r="A1" s="1527" t="s">
        <v>1494</v>
      </c>
      <c r="B1" s="721"/>
      <c r="C1" s="1531" t="s">
        <v>3172</v>
      </c>
      <c r="D1" s="1514" t="s">
        <v>70</v>
      </c>
      <c r="E1" s="1515" t="s">
        <v>1292</v>
      </c>
      <c r="F1" s="1192" t="e">
        <f ca="1">J53</f>
        <v>#N/A</v>
      </c>
      <c r="G1" s="1530" t="e">
        <f>MATCH(C1,'数据-取费表'!A6:A16,0)+5</f>
        <v>#N/A</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#N/A</v>
      </c>
      <c r="C2" s="1539" t="s">
        <v>1496</v>
      </c>
      <c r="D2" s="1623" t="e">
        <f ca="1">C40+J29+L46</f>
        <v>#N/A</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t="e">
        <f ca="1">C6+C10+C12</f>
        <v>#N/A</v>
      </c>
      <c r="D5" s="1516" t="s">
        <v>1506</v>
      </c>
      <c r="E5" s="1202"/>
      <c r="F5" s="1203"/>
      <c r="G5" s="1536"/>
      <c r="H5" s="304">
        <v>1</v>
      </c>
      <c r="I5" s="305" t="s">
        <v>1505</v>
      </c>
      <c r="J5" s="1201" t="e">
        <f ca="1">J6+J10+J12</f>
        <v>#N/A</v>
      </c>
      <c r="K5" s="1516" t="s">
        <v>1506</v>
      </c>
      <c r="L5" s="1202"/>
      <c r="M5" s="1203"/>
    </row>
    <row r="6" spans="1:37" ht="18" customHeight="1">
      <c r="A6" s="1200" t="s">
        <v>1003</v>
      </c>
      <c r="B6" s="3529" t="s">
        <v>1308</v>
      </c>
      <c r="C6" s="1205" t="e">
        <f ca="1">ROUND(F6*F8*F7*(1-F9),0)</f>
        <v>#N/A</v>
      </c>
      <c r="D6" s="159" t="s">
        <v>2785</v>
      </c>
      <c r="E6" s="307" t="s">
        <v>1310</v>
      </c>
      <c r="F6" s="308" t="e">
        <f ca="1">INDIRECT("'数据-取费表'!u"&amp;$G$1)</f>
        <v>#N/A</v>
      </c>
      <c r="G6" s="1536"/>
      <c r="H6" s="1200" t="s">
        <v>1003</v>
      </c>
      <c r="I6" s="3529" t="s">
        <v>1308</v>
      </c>
      <c r="J6" s="306" t="e">
        <f ca="1">ROUND(M6*M8*M7*(1-M9),0)</f>
        <v>#N/A</v>
      </c>
      <c r="K6" s="1528" t="s">
        <v>2786</v>
      </c>
      <c r="L6" s="307" t="s">
        <v>1310</v>
      </c>
      <c r="M6" s="308" t="e">
        <f ca="1">INDIRECT("'数据-取费表'!z"&amp;$G$1)</f>
        <v>#N/A</v>
      </c>
    </row>
    <row r="7" spans="1:37" ht="18" customHeight="1">
      <c r="A7" s="1204"/>
      <c r="B7" s="3530"/>
      <c r="C7" s="1206"/>
      <c r="D7" s="312"/>
      <c r="E7" s="1207" t="s">
        <v>1311</v>
      </c>
      <c r="F7" s="308" t="e">
        <f ca="1">IF(INDIRECT("'数据-取费表'!ah"&amp;$G$1)="",INDIRECT("'数据-取费表'!k"&amp;$G$1),INDIRECT("'数据-取费表'!ah"&amp;$G$1))</f>
        <v>#N/A</v>
      </c>
      <c r="G7" s="1536"/>
      <c r="H7" s="309"/>
      <c r="I7" s="3530"/>
      <c r="J7" s="311"/>
      <c r="K7" s="312"/>
      <c r="L7" s="307" t="s">
        <v>1311</v>
      </c>
      <c r="M7" s="308" t="e">
        <f ca="1">F7</f>
        <v>#N/A</v>
      </c>
    </row>
    <row r="8" spans="1:37" ht="18" customHeight="1">
      <c r="A8" s="309"/>
      <c r="B8" s="3530"/>
      <c r="C8" s="311"/>
      <c r="D8" s="312"/>
      <c r="E8" s="307" t="s">
        <v>1312</v>
      </c>
      <c r="F8" s="308" t="e">
        <f ca="1">INDIRECT("'数据-取费表'!ai"&amp;$G$1)</f>
        <v>#N/A</v>
      </c>
      <c r="G8" s="1536"/>
      <c r="H8" s="309"/>
      <c r="I8" s="3530"/>
      <c r="J8" s="311"/>
      <c r="K8" s="312"/>
      <c r="L8" s="307" t="s">
        <v>1312</v>
      </c>
      <c r="M8" s="308" t="e">
        <f ca="1">INDIRECT("'数据-取费表'!ai"&amp;$G$1)</f>
        <v>#N/A</v>
      </c>
    </row>
    <row r="9" spans="1:37" ht="18" customHeight="1">
      <c r="A9" s="309"/>
      <c r="B9" s="3531"/>
      <c r="C9" s="311"/>
      <c r="D9" s="312"/>
      <c r="E9" s="307" t="s">
        <v>1313</v>
      </c>
      <c r="F9" s="317" t="e">
        <f ca="1">INDIRECT("'数据-取费表'!w"&amp;$G$1)</f>
        <v>#N/A</v>
      </c>
      <c r="G9" s="1536"/>
      <c r="H9" s="309"/>
      <c r="I9" s="3531"/>
      <c r="J9" s="311"/>
      <c r="K9" s="312"/>
      <c r="L9" s="318" t="s">
        <v>1313</v>
      </c>
      <c r="M9" s="319" t="e">
        <f ca="1">INDIRECT("'数据-取费表'!ab"&amp;$G$1)</f>
        <v>#N/A</v>
      </c>
    </row>
    <row r="10" spans="1:37" ht="18" customHeight="1">
      <c r="A10" s="1200" t="s">
        <v>1007</v>
      </c>
      <c r="B10" s="1517" t="s">
        <v>1314</v>
      </c>
      <c r="C10" s="321" t="e">
        <f ca="1">ROUND(IF(F10="押一",C6/12*F11,IF(F10="押二",C6/12*2*F11,IF(F10="押三",C6/12*3*F11,C11*F11))),0)</f>
        <v>#N/A</v>
      </c>
      <c r="D10" s="1518" t="s">
        <v>2795</v>
      </c>
      <c r="E10" s="318" t="s">
        <v>1315</v>
      </c>
      <c r="F10" s="1247" t="s">
        <v>3168</v>
      </c>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t="e">
        <f ca="1">ROUND(C29*F13,0)</f>
        <v>#N/A</v>
      </c>
      <c r="D13" s="1212" t="s">
        <v>1320</v>
      </c>
      <c r="E13" s="1212" t="s">
        <v>1321</v>
      </c>
      <c r="F13" s="1213" t="e">
        <f ca="1">INDIRECT("'数据-取费表'!y"&amp;$G$1)</f>
        <v>#N/A</v>
      </c>
      <c r="G13" s="1536"/>
      <c r="H13" s="1210">
        <v>2</v>
      </c>
      <c r="I13" s="1211" t="s">
        <v>1319</v>
      </c>
      <c r="J13" s="1199" t="e">
        <f ca="1">ROUND(J14*J15,0)</f>
        <v>#N/A</v>
      </c>
      <c r="K13" s="1218" t="s">
        <v>1320</v>
      </c>
      <c r="L13" s="1544"/>
      <c r="M13" s="1545"/>
    </row>
    <row r="14" spans="1:37" ht="18" customHeight="1">
      <c r="A14" s="1112" t="s">
        <v>1002</v>
      </c>
      <c r="B14" s="307" t="s">
        <v>1322</v>
      </c>
      <c r="C14" s="323" t="e">
        <f ca="1">ROUND(INDIRECT("'数据-取费表'!l"&amp;$G$1)*F43+'数据-取费表'!L14*INDIRECT("'数据-取费表'!S"&amp;$G$1),0)</f>
        <v>#N/A</v>
      </c>
      <c r="D14" s="1497" t="s">
        <v>1323</v>
      </c>
      <c r="E14" s="1494"/>
      <c r="F14" s="324"/>
      <c r="G14" s="1536"/>
      <c r="H14" s="1112" t="s">
        <v>1003</v>
      </c>
      <c r="I14" s="307" t="s">
        <v>1324</v>
      </c>
      <c r="J14" s="23" t="e">
        <f ca="1">C29</f>
        <v>#N/A</v>
      </c>
      <c r="K14" s="14"/>
      <c r="L14" s="915"/>
      <c r="M14" s="916"/>
    </row>
    <row r="15" spans="1:37" s="1549" customFormat="1" ht="18" customHeight="1" thickBot="1">
      <c r="A15" s="1112" t="s">
        <v>1004</v>
      </c>
      <c r="B15" s="307" t="s">
        <v>1325</v>
      </c>
      <c r="C15" s="23" t="e">
        <f ca="1">ROUND(C14*F15,0)</f>
        <v>#N/A</v>
      </c>
      <c r="D15" s="325" t="s">
        <v>1326</v>
      </c>
      <c r="E15" s="325" t="s">
        <v>1327</v>
      </c>
      <c r="F15" s="326">
        <f>'数据-取费表'!B33</f>
        <v>0.03</v>
      </c>
      <c r="G15" s="1548"/>
      <c r="H15" s="1220" t="s">
        <v>1007</v>
      </c>
      <c r="I15" s="1221" t="s">
        <v>1321</v>
      </c>
      <c r="J15" s="1230" t="e">
        <f ca="1">INDIRECT("'数据-取费表'!ad"&amp;$G$1)</f>
        <v>#N/A</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t="e">
        <f ca="1">ROUND(INDIRECT("'数据-取费表'!l"&amp;$G$1)*F43*F16,0)</f>
        <v>#N/A</v>
      </c>
      <c r="D16" s="307" t="s">
        <v>1326</v>
      </c>
      <c r="E16" s="307" t="s">
        <v>1327</v>
      </c>
      <c r="F16" s="327" t="e">
        <f ca="1">IF(INDIRECT("'数据-取费表'!c"&amp;$G$1)="住宅",'数据-取费表'!B34,0)</f>
        <v>#N/A</v>
      </c>
      <c r="G16" s="1536"/>
      <c r="H16" s="1210" t="s">
        <v>998</v>
      </c>
      <c r="I16" s="1211" t="s">
        <v>1329</v>
      </c>
      <c r="J16" s="315" t="e">
        <f ca="1">ROUND(J17+J22+J23+J24,0)</f>
        <v>#N/A</v>
      </c>
      <c r="K16" s="1218" t="s">
        <v>1330</v>
      </c>
      <c r="L16" s="1219"/>
      <c r="M16" s="1203"/>
    </row>
    <row r="17" spans="1:37" s="1549" customFormat="1" ht="18" customHeight="1">
      <c r="A17" s="1112" t="s">
        <v>1295</v>
      </c>
      <c r="B17" s="307" t="s">
        <v>1331</v>
      </c>
      <c r="C17" s="23" t="e">
        <f ca="1">ROUND(F17*(F43+INDIRECT("'数据-取费表'!S"&amp;$G$1)),0)</f>
        <v>#N/A</v>
      </c>
      <c r="D17" s="307" t="s">
        <v>1332</v>
      </c>
      <c r="E17" s="307" t="s">
        <v>1333</v>
      </c>
      <c r="F17" s="25">
        <f>'数据-取费表'!B35</f>
        <v>200</v>
      </c>
      <c r="G17" s="1548"/>
      <c r="H17" s="1112" t="s">
        <v>1003</v>
      </c>
      <c r="I17" s="307" t="s">
        <v>1334</v>
      </c>
      <c r="J17" s="2502" t="e">
        <f ca="1">ROUND(IF(AND(项目基本情况!B11="自然人",项目基本情况!B10="北京市"),J6*M17/(1+'数据-取费表'!C42),J18+J19+J20),0)</f>
        <v>#N/A</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t="e">
        <f ca="1">ROUND(C14*F18,0)</f>
        <v>#N/A</v>
      </c>
      <c r="D18" s="307" t="s">
        <v>1326</v>
      </c>
      <c r="E18" s="307" t="s">
        <v>1327</v>
      </c>
      <c r="F18" s="327">
        <f>'数据-取费表'!B36</f>
        <v>1.4999999999999999E-2</v>
      </c>
      <c r="G18" s="1548"/>
      <c r="H18" s="1112" t="s">
        <v>1002</v>
      </c>
      <c r="I18" s="307" t="s">
        <v>1338</v>
      </c>
      <c r="J18" s="23" t="e">
        <f ca="1">ROUND(J6*M18/(1+'数据-取费表'!C42),0)</f>
        <v>#N/A</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t="e">
        <f ca="1">SUM(C14:C18)</f>
        <v>#N/A</v>
      </c>
      <c r="D19" s="135" t="s">
        <v>1341</v>
      </c>
      <c r="E19" s="1512"/>
      <c r="F19" s="25"/>
      <c r="G19" s="1536"/>
      <c r="H19" s="1112" t="s">
        <v>1004</v>
      </c>
      <c r="I19" s="307" t="s">
        <v>1342</v>
      </c>
      <c r="J19" s="23" t="e">
        <f ca="1">IF(K19="按租金收入计税",ROUND(J6*M19/(1+'数据-取费表'!C42),0),ROUND(C29*M19*0.7,0))</f>
        <v>#N/A</v>
      </c>
      <c r="K19" s="1522" t="s">
        <v>1343</v>
      </c>
      <c r="L19" s="307" t="s">
        <v>1327</v>
      </c>
      <c r="M19" s="327">
        <f>IF(K19="按租金收入计税",'数据-取费表'!B51,'数据-取费表'!B50)</f>
        <v>1.2E-2</v>
      </c>
    </row>
    <row r="20" spans="1:37" s="1549" customFormat="1" ht="18" customHeight="1">
      <c r="A20" s="1112" t="s">
        <v>1007</v>
      </c>
      <c r="B20" s="307" t="s">
        <v>1344</v>
      </c>
      <c r="C20" s="23" t="e">
        <f ca="1">ROUND(C19*F20,0)</f>
        <v>#N/A</v>
      </c>
      <c r="D20" s="328" t="s">
        <v>1345</v>
      </c>
      <c r="E20" s="307" t="s">
        <v>1327</v>
      </c>
      <c r="F20" s="327">
        <f>'数据-取费表'!B37</f>
        <v>0.01</v>
      </c>
      <c r="G20" s="1548"/>
      <c r="H20" s="1112" t="s">
        <v>1294</v>
      </c>
      <c r="I20" s="159" t="s">
        <v>1346</v>
      </c>
      <c r="J20" s="24" t="e">
        <f ca="1">ROUND(M20*M21,0)</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v>
      </c>
      <c r="D21" s="328" t="s">
        <v>1350</v>
      </c>
      <c r="E21" s="307" t="s">
        <v>1351</v>
      </c>
      <c r="F21" s="327">
        <f>'数据-取费表'!B38</f>
        <v>0.01</v>
      </c>
      <c r="G21" s="1548"/>
      <c r="H21" s="331"/>
      <c r="I21" s="316"/>
      <c r="J21" s="28"/>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t="e">
        <f ca="1">ROUND(J14*M22,0)</f>
        <v>#N/A</v>
      </c>
      <c r="K22" s="1496" t="s">
        <v>1355</v>
      </c>
      <c r="L22" s="307" t="s">
        <v>1327</v>
      </c>
      <c r="M22" s="333" t="e">
        <f ca="1">INDIRECT("'数据-取费表'!Ak"&amp;$G$1)</f>
        <v>#N/A</v>
      </c>
    </row>
    <row r="23" spans="1:37" s="1549" customFormat="1" ht="18" customHeight="1">
      <c r="A23" s="1112" t="s">
        <v>1002</v>
      </c>
      <c r="B23" s="307" t="s">
        <v>1356</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3" t="e">
        <f ca="1">ROUND(J13*M23,0)</f>
        <v>#N/A</v>
      </c>
      <c r="K23" s="1496" t="s">
        <v>1359</v>
      </c>
      <c r="L23" s="307" t="s">
        <v>1360</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t="e">
        <f ca="1">ROUND(J5*M24,0)</f>
        <v>#N/A</v>
      </c>
      <c r="K24" s="1223" t="s">
        <v>1364</v>
      </c>
      <c r="L24" s="1221" t="s">
        <v>1360</v>
      </c>
      <c r="M24" s="1217"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3"/>
      <c r="D25" s="135" t="s">
        <v>1367</v>
      </c>
      <c r="E25" s="1512"/>
      <c r="F25" s="25"/>
      <c r="G25" s="1536"/>
      <c r="H25" s="1210" t="s">
        <v>999</v>
      </c>
      <c r="I25" s="1225" t="s">
        <v>1368</v>
      </c>
      <c r="J25" s="315" t="e">
        <f ca="1">J5-J16</f>
        <v>#N/A</v>
      </c>
      <c r="K25" s="1226" t="s">
        <v>1369</v>
      </c>
      <c r="L25" s="1227"/>
      <c r="M25" s="1228"/>
    </row>
    <row r="26" spans="1:37" ht="18" customHeight="1">
      <c r="A26" s="1112" t="s">
        <v>1002</v>
      </c>
      <c r="B26" s="307" t="s">
        <v>1370</v>
      </c>
      <c r="C26" s="23"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c r="A27" s="1112" t="s">
        <v>1004</v>
      </c>
      <c r="B27" s="307" t="s">
        <v>1376</v>
      </c>
      <c r="C27" s="23" t="e">
        <f ca="1">ROUND(F21*F26,4)</f>
        <v>#N/A</v>
      </c>
      <c r="D27" s="328" t="s">
        <v>1377</v>
      </c>
      <c r="E27" s="325"/>
      <c r="F27" s="326"/>
      <c r="G27" s="1536"/>
      <c r="H27" s="309"/>
      <c r="I27" s="310"/>
      <c r="J27" s="311"/>
      <c r="K27" s="337" t="s">
        <v>1378</v>
      </c>
      <c r="L27" s="307" t="s">
        <v>1379</v>
      </c>
      <c r="M27" s="338" t="e">
        <f ca="1">INDIRECT("'数据-取费表'!ag"&amp;$G$1)</f>
        <v>#N/A</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t="e">
        <f ca="1">ROUND((C19+C20+C23+C26)/(1-F21-C24-C27-C28),0)</f>
        <v>#N/A</v>
      </c>
      <c r="D29" s="1223"/>
      <c r="E29" s="1221"/>
      <c r="F29" s="1224"/>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t="e">
        <f ca="1">ROUND(C31+C36+C37+C38,0)</f>
        <v>#N/A</v>
      </c>
      <c r="D30" s="1218" t="s">
        <v>1330</v>
      </c>
      <c r="E30" s="1219"/>
      <c r="F30" s="1203"/>
      <c r="G30" s="1536"/>
      <c r="H30" s="2894"/>
      <c r="I30" s="1550"/>
      <c r="J30" s="1551"/>
      <c r="K30" s="2669"/>
      <c r="L30" s="2895"/>
      <c r="M30" s="2896"/>
    </row>
    <row r="31" spans="1:37" ht="18" customHeight="1">
      <c r="A31" s="1112" t="s">
        <v>1003</v>
      </c>
      <c r="B31" s="307" t="s">
        <v>1334</v>
      </c>
      <c r="C31" s="2502" t="e">
        <f ca="1">ROUND(IF(AND(项目基本情况!B11="自然人",项目基本情况!B10="北京市"),C6*F31/(1+'数据-取费表'!C42),C32+C33+C34),0)</f>
        <v>#N/A</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t="e">
        <f ca="1">IF(项目基本情况!B11="自然人","——",ROUND(C6*F32/(1+'数据-取费表'!C42),0))</f>
        <v>#N/A</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t="e">
        <f ca="1">IF(项目基本情况!B11="自然人","——",IF(D33="按租金收入计税",ROUND(C6*F33/(1+'数据-取费表'!C42),0),IF(D33="按房产原值计税",ROUND(C29*F33*0.7,0),INDIRECT("'数据-取费表'!Aj"&amp;$G$1))))</f>
        <v>#N/A</v>
      </c>
      <c r="D33" s="1522" t="s">
        <v>3169</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t="e">
        <f ca="1">IF(项目基本情况!B11="自然人","——",ROUND(F34*F35,))</f>
        <v>#N/A</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t="e">
        <f ca="1">INDIRECT("'数据-取费表'!r"&amp;$G$1)</f>
        <v>#N/A</v>
      </c>
      <c r="G35" s="1536"/>
      <c r="H35" s="2894"/>
      <c r="I35" s="1550"/>
      <c r="J35" s="1551"/>
      <c r="K35" s="2898"/>
      <c r="L35" s="2897"/>
      <c r="M35" s="2897"/>
    </row>
    <row r="36" spans="1:18" ht="18" customHeight="1">
      <c r="A36" s="1233" t="s">
        <v>1007</v>
      </c>
      <c r="B36" s="307" t="s">
        <v>1354</v>
      </c>
      <c r="C36" s="23" t="e">
        <f ca="1">ROUND(C29*F36,0)</f>
        <v>#N/A</v>
      </c>
      <c r="D36" s="1496" t="s">
        <v>1387</v>
      </c>
      <c r="E36" s="307" t="s">
        <v>1327</v>
      </c>
      <c r="F36" s="333" t="e">
        <f ca="1">INDIRECT("'数据-取费表'!Ak"&amp;$G$1)</f>
        <v>#N/A</v>
      </c>
      <c r="G36" s="1536"/>
      <c r="H36" s="2897"/>
      <c r="I36" s="1550"/>
      <c r="J36" s="1551"/>
      <c r="K36" s="2738"/>
      <c r="L36" s="2897"/>
      <c r="M36" s="2897"/>
    </row>
    <row r="37" spans="1:18" ht="18" customHeight="1">
      <c r="A37" s="1112" t="s">
        <v>1043</v>
      </c>
      <c r="B37" s="307" t="s">
        <v>1358</v>
      </c>
      <c r="C37" s="23" t="e">
        <f ca="1">ROUND(C13*F37,0)</f>
        <v>#N/A</v>
      </c>
      <c r="D37" s="1496" t="s">
        <v>1359</v>
      </c>
      <c r="E37" s="307" t="s">
        <v>1360</v>
      </c>
      <c r="F37" s="335" t="e">
        <f ca="1">INDIRECT("'数据-取费表'!Al"&amp;$G$1)</f>
        <v>#N/A</v>
      </c>
      <c r="G37" s="1536"/>
      <c r="H37" s="2897"/>
      <c r="I37" s="1550"/>
      <c r="J37" s="1551"/>
      <c r="K37" s="2738"/>
      <c r="L37" s="2897"/>
      <c r="M37" s="2897"/>
    </row>
    <row r="38" spans="1:18" ht="18" customHeight="1" thickBot="1">
      <c r="A38" s="1220" t="s">
        <v>1298</v>
      </c>
      <c r="B38" s="1221" t="s">
        <v>1344</v>
      </c>
      <c r="C38" s="1222" t="e">
        <f ca="1">ROUND(C5*F38,1)</f>
        <v>#N/A</v>
      </c>
      <c r="D38" s="1223" t="s">
        <v>1364</v>
      </c>
      <c r="E38" s="1221" t="s">
        <v>1360</v>
      </c>
      <c r="F38" s="1217" t="e">
        <f ca="1">INDIRECT("'数据-取费表'!Am"&amp;$G$1)</f>
        <v>#N/A</v>
      </c>
      <c r="G38" s="1536"/>
      <c r="H38" s="2897"/>
      <c r="I38" s="1550"/>
      <c r="J38" s="1551"/>
      <c r="K38" s="2901"/>
      <c r="L38" s="2897"/>
      <c r="M38" s="2897"/>
    </row>
    <row r="39" spans="1:18" ht="24.6" customHeight="1" thickTop="1">
      <c r="A39" s="1210" t="s">
        <v>999</v>
      </c>
      <c r="B39" s="1225" t="s">
        <v>1388</v>
      </c>
      <c r="C39" s="315" t="e">
        <f ca="1">C5-C30</f>
        <v>#N/A</v>
      </c>
      <c r="D39" s="1226" t="s">
        <v>1389</v>
      </c>
      <c r="E39" s="1227"/>
      <c r="F39" s="1228"/>
      <c r="G39" s="1536"/>
      <c r="H39" s="2897"/>
      <c r="I39" s="1550"/>
      <c r="J39" s="1551"/>
      <c r="K39" s="2901"/>
      <c r="L39" s="2897"/>
      <c r="M39" s="2897"/>
    </row>
    <row r="40" spans="1:18" ht="18" customHeight="1">
      <c r="A40" s="304" t="s">
        <v>1000</v>
      </c>
      <c r="B40" s="305" t="s">
        <v>1390</v>
      </c>
      <c r="C40" s="306" t="e">
        <f ca="1">ROUND(C39*(1-((1+F42)/(1+F40))^F41)/(F40-F42),0)</f>
        <v>#N/A</v>
      </c>
      <c r="D40" s="329" t="s">
        <v>1374</v>
      </c>
      <c r="E40" s="307" t="s">
        <v>1375</v>
      </c>
      <c r="F40" s="317" t="e">
        <f ca="1">INDIRECT("'数据-取费表'!I"&amp;$G$1)</f>
        <v>#N/A</v>
      </c>
      <c r="G40" s="1536"/>
      <c r="H40" s="1613"/>
      <c r="I40" s="1550"/>
      <c r="J40" s="1551"/>
      <c r="K40" s="2901"/>
      <c r="L40" s="1613"/>
      <c r="M40" s="1613"/>
    </row>
    <row r="41" spans="1:18" ht="18" customHeight="1">
      <c r="A41" s="309"/>
      <c r="B41" s="310"/>
      <c r="C41" s="311"/>
      <c r="D41" s="337" t="s">
        <v>1391</v>
      </c>
      <c r="E41" s="307" t="s">
        <v>1379</v>
      </c>
      <c r="F41" s="338" t="e">
        <f ca="1">IF(INDIRECT("'数据-取费表'!af"&amp;$G$1)=0,INDIRECT("'数据-取费表'!ae"&amp;$G$1),INDIRECT("'数据-取费表'!af"&amp;$G$1))</f>
        <v>#N/A</v>
      </c>
      <c r="G41" s="1536"/>
      <c r="H41" s="1323"/>
      <c r="I41" s="1550"/>
      <c r="J41" s="1551"/>
      <c r="K41" s="2738"/>
      <c r="L41" s="1323"/>
      <c r="M41" s="1323"/>
    </row>
    <row r="42" spans="1:18" ht="18" customHeight="1">
      <c r="A42" s="313"/>
      <c r="B42" s="314"/>
      <c r="C42" s="315"/>
      <c r="D42" s="332"/>
      <c r="E42" s="307" t="s">
        <v>1382</v>
      </c>
      <c r="F42" s="317" t="e">
        <f ca="1">INDIRECT("'数据-取费表'!v"&amp;$G$1)</f>
        <v>#N/A</v>
      </c>
      <c r="G42" s="1536"/>
      <c r="H42" s="1323"/>
      <c r="I42" s="1550"/>
      <c r="J42" s="1551"/>
      <c r="K42" s="2738"/>
      <c r="L42" s="1323"/>
      <c r="M42" s="1323"/>
    </row>
    <row r="43" spans="1:18" ht="18" customHeight="1" thickBot="1">
      <c r="A43" s="339" t="s">
        <v>1001</v>
      </c>
      <c r="B43" s="340" t="s">
        <v>1392</v>
      </c>
      <c r="C43" s="341" t="e">
        <f ca="1">ROUND(C40/F43,0)</f>
        <v>#N/A</v>
      </c>
      <c r="D43" s="342" t="s">
        <v>1393</v>
      </c>
      <c r="E43" s="343" t="s">
        <v>1394</v>
      </c>
      <c r="F43" s="344" t="e">
        <f ca="1">INDIRECT("'数据-取费表'!k"&amp;$G$1)</f>
        <v>#N/A</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#N/A</v>
      </c>
      <c r="D45" s="1625" t="s">
        <v>1509</v>
      </c>
      <c r="E45" s="1552"/>
      <c r="F45" s="1552"/>
      <c r="O45" s="1555" t="s">
        <v>1424</v>
      </c>
      <c r="P45" s="1613"/>
      <c r="Q45" s="1613"/>
      <c r="R45" s="1613"/>
    </row>
    <row r="46" spans="1:18" s="1536" customFormat="1" ht="13.8" thickBot="1">
      <c r="A46" s="1556" t="s">
        <v>1425</v>
      </c>
      <c r="C46" s="1557" t="e">
        <f ca="1">ROUND(C45/10000,0)</f>
        <v>#N/A</v>
      </c>
      <c r="D46" s="1558" t="str">
        <f>C2</f>
        <v>万元</v>
      </c>
      <c r="I46" s="1559" t="s">
        <v>1426</v>
      </c>
      <c r="J46" s="1560"/>
      <c r="K46" s="1561"/>
      <c r="L46" s="1562" t="e">
        <f ca="1">IF(M47="住宅",0,IF(L48&gt;J51,L60,J60))</f>
        <v>#N/A</v>
      </c>
      <c r="O46" s="1563" t="s">
        <v>1427</v>
      </c>
      <c r="P46" s="1564" t="s">
        <v>1428</v>
      </c>
      <c r="Q46" s="1565" t="s">
        <v>1429</v>
      </c>
      <c r="R46" s="1565" t="s">
        <v>1430</v>
      </c>
    </row>
    <row r="47" spans="1:18" s="1536" customFormat="1" ht="13.8" thickBot="1">
      <c r="A47" s="1076" t="s">
        <v>1301</v>
      </c>
      <c r="B47" s="1108" t="s">
        <v>1302</v>
      </c>
      <c r="C47" s="1108" t="s">
        <v>1303</v>
      </c>
      <c r="D47" s="1108" t="s">
        <v>1304</v>
      </c>
      <c r="E47" s="1188" t="s">
        <v>1305</v>
      </c>
      <c r="F47" s="1189"/>
      <c r="G47" s="730"/>
      <c r="I47" s="1566" t="s">
        <v>1431</v>
      </c>
      <c r="J47" s="1567" t="s">
        <v>3170</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40.200000000000003" thickBot="1">
      <c r="A48" s="1241" t="s">
        <v>1044</v>
      </c>
      <c r="B48" s="305" t="s">
        <v>1306</v>
      </c>
      <c r="C48" s="1511" t="e">
        <f ca="1">C49+C53+C55</f>
        <v>#N/A</v>
      </c>
      <c r="D48" s="1243"/>
      <c r="E48" s="1244"/>
      <c r="F48" s="1092"/>
      <c r="G48" s="730"/>
      <c r="H48" s="731"/>
      <c r="I48" s="1573" t="s">
        <v>1435</v>
      </c>
      <c r="J48" s="1574" t="s">
        <v>3171</v>
      </c>
      <c r="K48" s="1575" t="s">
        <v>1436</v>
      </c>
      <c r="L48" s="1576" t="e">
        <f ca="1">INDIRECT("'数据-取费表'!f"&amp;$G$1)</f>
        <v>#N/A</v>
      </c>
      <c r="O48" s="1570" t="s">
        <v>1009</v>
      </c>
      <c r="P48" s="1571" t="s">
        <v>1437</v>
      </c>
      <c r="Q48" s="1572" t="e">
        <f ca="1">J60</f>
        <v>#N/A</v>
      </c>
      <c r="R48" s="1572" t="s">
        <v>1438</v>
      </c>
    </row>
    <row r="49" spans="1:18" s="1536" customFormat="1" ht="13.8" thickBot="1">
      <c r="A49" s="1105" t="s">
        <v>1045</v>
      </c>
      <c r="B49" s="1523" t="s">
        <v>1395</v>
      </c>
      <c r="C49" s="1245" t="e">
        <f ca="1">ROUND(F49*F51*F50*(1-F52),0)</f>
        <v>#N/A</v>
      </c>
      <c r="D49" s="1185" t="s">
        <v>1309</v>
      </c>
      <c r="E49" s="1524" t="s">
        <v>1396</v>
      </c>
      <c r="F49" s="1190"/>
      <c r="G49" s="1577"/>
      <c r="H49" s="731"/>
      <c r="I49" s="1573" t="s">
        <v>1439</v>
      </c>
      <c r="J49" s="1578">
        <v>2020</v>
      </c>
      <c r="K49" s="1575" t="s">
        <v>1440</v>
      </c>
      <c r="L49" s="1579"/>
      <c r="O49" s="1580" t="s">
        <v>1010</v>
      </c>
      <c r="P49" s="1571" t="s">
        <v>1441</v>
      </c>
      <c r="Q49" s="1572" t="e">
        <f ca="1">C29</f>
        <v>#N/A</v>
      </c>
      <c r="R49" s="1572" t="s">
        <v>1434</v>
      </c>
    </row>
    <row r="50" spans="1:18" s="1536" customFormat="1" ht="13.8" thickBot="1">
      <c r="A50" s="1106"/>
      <c r="B50" s="1109"/>
      <c r="C50" s="1110"/>
      <c r="D50" s="1083"/>
      <c r="E50" s="1186" t="s">
        <v>1311</v>
      </c>
      <c r="F50" s="1187" t="e">
        <f ca="1">F7</f>
        <v>#N/A</v>
      </c>
      <c r="H50" s="731"/>
      <c r="I50" s="1573" t="s">
        <v>1442</v>
      </c>
      <c r="J50" s="1581">
        <f>SUMPRODUCT((I63:I65=J47)*(J62:L62=J48)*(J63:L65))</f>
        <v>40</v>
      </c>
      <c r="K50" s="1575" t="s">
        <v>1443</v>
      </c>
      <c r="L50" s="1579"/>
      <c r="M50" s="1582"/>
      <c r="O50" s="1580" t="s">
        <v>1011</v>
      </c>
      <c r="P50" s="1571" t="s">
        <v>1444</v>
      </c>
      <c r="Q50" s="1583" t="e">
        <f ca="1">J58</f>
        <v>#N/A</v>
      </c>
      <c r="R50" s="1572"/>
    </row>
    <row r="51" spans="1:18" s="1536" customFormat="1" ht="13.8" thickBot="1">
      <c r="A51" s="1107"/>
      <c r="B51" s="1109"/>
      <c r="C51" s="1110"/>
      <c r="D51" s="1083"/>
      <c r="E51" s="1111" t="s">
        <v>1312</v>
      </c>
      <c r="F51" s="308" t="e">
        <f ca="1">F8</f>
        <v>#N/A</v>
      </c>
      <c r="I51" s="1584" t="s">
        <v>1445</v>
      </c>
      <c r="J51" s="1585">
        <f>IF(J49="",J50,J49+J50-YEAR('数据-取费表'!B2))</f>
        <v>38</v>
      </c>
      <c r="K51" s="1586" t="s">
        <v>1446</v>
      </c>
      <c r="L51" s="1587" t="e">
        <f ca="1">ROUND(-PV(INDIRECT("'数据-取费表'!h"&amp;$G$1),J51,(C39-C13*C76),0),0)</f>
        <v>#N/A</v>
      </c>
      <c r="M51" s="1588"/>
      <c r="O51" s="1580" t="s">
        <v>1012</v>
      </c>
      <c r="P51" s="1571" t="s">
        <v>1447</v>
      </c>
      <c r="Q51" s="1583">
        <f>J52</f>
        <v>7.4999999999999997E-2</v>
      </c>
      <c r="R51" s="1572"/>
    </row>
    <row r="52" spans="1:18" s="1536" customFormat="1" ht="13.8" thickBot="1">
      <c r="A52" s="1107"/>
      <c r="B52" s="1109"/>
      <c r="C52" s="1110"/>
      <c r="D52" s="1083"/>
      <c r="E52" s="1111" t="s">
        <v>1313</v>
      </c>
      <c r="F52" s="1184"/>
      <c r="I52" s="1589" t="s">
        <v>1448</v>
      </c>
      <c r="J52" s="1590">
        <v>7.4999999999999997E-2</v>
      </c>
      <c r="K52" s="1589" t="s">
        <v>1449</v>
      </c>
      <c r="L52" s="1590"/>
      <c r="O52" s="1580" t="s">
        <v>1013</v>
      </c>
      <c r="P52" s="1571" t="s">
        <v>1450</v>
      </c>
      <c r="Q52" s="1572" t="e">
        <f ca="1">J53</f>
        <v>#N/A</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4" t="e">
        <f ca="1">IF(M47="住宅",IF(D1="——",MAX(J51,L48),MAX(J51,L48-'数据-取费表'!B24)),IF(D1="——",MIN(J51,L48),MIN(J51,L48-'数据-取费表'!B24)))</f>
        <v>#N/A</v>
      </c>
      <c r="K53" s="3527" t="s">
        <v>1453</v>
      </c>
      <c r="L53" s="3528"/>
      <c r="O53" s="1570" t="s">
        <v>1014</v>
      </c>
      <c r="P53" s="1571" t="s">
        <v>1454</v>
      </c>
      <c r="Q53" s="1572" t="e">
        <f ca="1">Q47+Q48</f>
        <v>#N/A</v>
      </c>
      <c r="R53" s="1572" t="s">
        <v>1015</v>
      </c>
    </row>
    <row r="54" spans="1:18" s="1536" customFormat="1" ht="13.8" thickBot="1">
      <c r="A54" s="1105"/>
      <c r="B54" s="1626" t="s">
        <v>1508</v>
      </c>
      <c r="C54" s="1089"/>
      <c r="D54" s="1518"/>
      <c r="E54" s="1526"/>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t="e">
        <f ca="1">ROUND(IF(J47="钢混",J57/J50,1-(1-2%)*(J50-J57)/J50),3)</f>
        <v>#N/A</v>
      </c>
      <c r="K55" s="1597" t="s">
        <v>1457</v>
      </c>
      <c r="L55" s="1598"/>
      <c r="O55" s="1563" t="s">
        <v>1427</v>
      </c>
      <c r="P55" s="1564" t="s">
        <v>1428</v>
      </c>
      <c r="Q55" s="1565" t="s">
        <v>1429</v>
      </c>
      <c r="R55" s="1565" t="s">
        <v>1430</v>
      </c>
    </row>
    <row r="56" spans="1:18" s="1536" customFormat="1" ht="36" customHeight="1" thickTop="1" thickBot="1">
      <c r="A56" s="1087">
        <v>2</v>
      </c>
      <c r="B56" s="1088" t="s">
        <v>1319</v>
      </c>
      <c r="C56" s="237" t="e">
        <f ca="1">C13</f>
        <v>#N/A</v>
      </c>
      <c r="D56" s="1599"/>
      <c r="E56" s="1600"/>
      <c r="F56" s="1592"/>
      <c r="I56" s="1601" t="s">
        <v>1459</v>
      </c>
      <c r="J56" s="1602" t="s">
        <v>3162</v>
      </c>
      <c r="K56" s="1573" t="s">
        <v>1460</v>
      </c>
      <c r="L56" s="1576" t="e">
        <f ca="1">IF(L48&lt;J51,"——",L48-J51)</f>
        <v>#N/A</v>
      </c>
      <c r="O56" s="1570" t="s">
        <v>1008</v>
      </c>
      <c r="P56" s="1571" t="s">
        <v>1433</v>
      </c>
      <c r="Q56" s="1572" t="e">
        <f ca="1">C40+J29</f>
        <v>#N/A</v>
      </c>
      <c r="R56" s="1572" t="s">
        <v>1434</v>
      </c>
    </row>
    <row r="57" spans="1:18" s="1536" customFormat="1" ht="24.6" thickBot="1">
      <c r="A57" s="1603"/>
      <c r="B57" s="1080" t="s">
        <v>1383</v>
      </c>
      <c r="C57" s="243" t="e">
        <f ca="1">C29</f>
        <v>#N/A</v>
      </c>
      <c r="D57" s="1604"/>
      <c r="E57" s="1605"/>
      <c r="F57" s="1606"/>
      <c r="I57" s="1607" t="s">
        <v>1461</v>
      </c>
      <c r="J57" s="1608" t="e">
        <f ca="1">IF(OR(M47="住宅",J51&lt;L48,J56="是"),"——",J51-L48)</f>
        <v>#N/A</v>
      </c>
      <c r="K57" s="1573" t="s">
        <v>1510</v>
      </c>
      <c r="L57" s="1576" t="e">
        <f ca="1">IF(L48&lt;J51,"——",IF(L55="比较法",L49,IF(L55="基准地价",L50,L51)))</f>
        <v>#N/A</v>
      </c>
      <c r="O57" s="1570" t="s">
        <v>1009</v>
      </c>
      <c r="P57" s="1571" t="s">
        <v>1511</v>
      </c>
      <c r="Q57" s="1572" t="e">
        <f ca="1">L60</f>
        <v>#N/A</v>
      </c>
      <c r="R57" s="1572" t="s">
        <v>1512</v>
      </c>
    </row>
    <row r="58" spans="1:18" s="1536" customFormat="1" ht="24.6" thickBot="1">
      <c r="A58" s="320" t="s">
        <v>998</v>
      </c>
      <c r="B58" s="1088" t="s">
        <v>1329</v>
      </c>
      <c r="C58" s="321" t="e">
        <f ca="1">ROUND(C59+C64+C65+C66,0)</f>
        <v>#N/A</v>
      </c>
      <c r="D58" s="1090" t="s">
        <v>1330</v>
      </c>
      <c r="E58" s="1091"/>
      <c r="F58" s="1092"/>
      <c r="I58" s="1607" t="s">
        <v>1465</v>
      </c>
      <c r="J58" s="1609" t="e">
        <f ca="1">IF(J55&lt;0.4,0.4,J55)</f>
        <v>#N/A</v>
      </c>
      <c r="K58" s="1586" t="s">
        <v>1513</v>
      </c>
      <c r="L58" s="1576" t="e">
        <f ca="1">ROUND(POWER(1+L52,L47-L48)*(POWER(1+L52,L48)-1)/(POWER(1+L52,L47)-1),4)</f>
        <v>#N/A</v>
      </c>
      <c r="O58" s="1580" t="s">
        <v>1010</v>
      </c>
      <c r="P58" s="1571" t="s">
        <v>1467</v>
      </c>
      <c r="Q58" s="1572">
        <f>IF(L55="比较法",L49,IF(L55="基准地价",L50,0))</f>
        <v>0</v>
      </c>
      <c r="R58" s="1572" t="s">
        <v>1434</v>
      </c>
    </row>
    <row r="59" spans="1:18" s="1536" customFormat="1" ht="24.6" thickBot="1">
      <c r="A59" s="1112" t="s">
        <v>1003</v>
      </c>
      <c r="B59" s="1080" t="s">
        <v>1334</v>
      </c>
      <c r="C59" s="2502" t="e">
        <f ca="1">ROUND(IF(AND(项目基本情况!B11="自然人",项目基本情况!B10="北京市"),C49*F59/(1+'数据-取费表'!C42),C60+C61+C62),0)</f>
        <v>#N/A</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0" t="s">
        <v>1011</v>
      </c>
      <c r="P59" s="1571" t="s">
        <v>1469</v>
      </c>
      <c r="Q59" s="1583">
        <f>L52</f>
        <v>0</v>
      </c>
      <c r="R59" s="1572"/>
    </row>
    <row r="60" spans="1:18" s="1536" customFormat="1" ht="16.2" thickBot="1">
      <c r="A60" s="1112" t="s">
        <v>1002</v>
      </c>
      <c r="B60" s="1080" t="s">
        <v>1338</v>
      </c>
      <c r="C60" s="23" t="e">
        <f ca="1">IF(项目基本情况!B11="自然人","——",ROUND(C48*F60/(1+'数据-取费表'!C42),0))</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3.8" thickBot="1">
      <c r="A61" s="1112" t="s">
        <v>1397</v>
      </c>
      <c r="B61" s="1080" t="s">
        <v>1398</v>
      </c>
      <c r="C61" s="23" t="e">
        <f ca="1">IF(项目基本情况!B11="自然人","——",IF(D61="按租金收入计税",ROUND(C49*F61/(1+'数据-取费表'!C42),0),IF(D61="按房产原值计税",ROUND(C57*F61*0.7,0),INDIRECT("'数据-取费表'!Aj"&amp;$G$1))))</f>
        <v>#N/A</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#N/A</v>
      </c>
      <c r="R61" s="1572" t="s">
        <v>1474</v>
      </c>
    </row>
    <row r="62" spans="1:18" s="1536" customFormat="1" ht="13.8" thickBot="1">
      <c r="A62" s="1112" t="s">
        <v>1400</v>
      </c>
      <c r="B62" s="1079" t="s">
        <v>1401</v>
      </c>
      <c r="C62" s="24" t="e">
        <f ca="1">IF(项目基本情况!B11="自然人","——",ROUND(F62*F63,0))</f>
        <v>#N/A</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#N/A</v>
      </c>
      <c r="R62" s="1572" t="s">
        <v>1015</v>
      </c>
    </row>
    <row r="63" spans="1:18" s="1536" customFormat="1" ht="13.8" thickBot="1">
      <c r="A63" s="331"/>
      <c r="B63" s="1086"/>
      <c r="C63" s="28"/>
      <c r="D63" s="1096"/>
      <c r="E63" s="1080" t="s">
        <v>1404</v>
      </c>
      <c r="F63" s="308" t="e">
        <f t="shared" ca="1" si="0"/>
        <v>#N/A</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3" t="e">
        <f ca="1">ROUND(C57*F64,0)</f>
        <v>#N/A</v>
      </c>
      <c r="D64" s="1094" t="s">
        <v>1407</v>
      </c>
      <c r="E64" s="1080" t="s">
        <v>1399</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3" t="e">
        <f ca="1">ROUND(C56*F65,0)</f>
        <v>#N/A</v>
      </c>
      <c r="D65" s="1094" t="s">
        <v>1359</v>
      </c>
      <c r="E65" s="1080" t="s">
        <v>1360</v>
      </c>
      <c r="F65" s="335" t="e">
        <f t="shared" ca="1" si="0"/>
        <v>#N/A</v>
      </c>
      <c r="I65" s="1614" t="s">
        <v>1484</v>
      </c>
      <c r="J65" s="1615">
        <v>40</v>
      </c>
      <c r="K65" s="1615">
        <v>30</v>
      </c>
      <c r="L65" s="1615">
        <v>50</v>
      </c>
      <c r="M65" s="1617">
        <v>0.02</v>
      </c>
      <c r="O65" s="1570" t="s">
        <v>1008</v>
      </c>
      <c r="P65" s="1571" t="s">
        <v>1485</v>
      </c>
      <c r="Q65" s="1572" t="e">
        <f ca="1">C40+J29</f>
        <v>#N/A</v>
      </c>
      <c r="R65" s="1572" t="s">
        <v>1434</v>
      </c>
    </row>
    <row r="66" spans="1:18" s="1536" customFormat="1" ht="16.2" thickBot="1">
      <c r="A66" s="1112" t="s">
        <v>1409</v>
      </c>
      <c r="B66" s="1080" t="s">
        <v>1344</v>
      </c>
      <c r="C66" s="23" t="e">
        <f ca="1">ROUND(C48*F66,0)</f>
        <v>#N/A</v>
      </c>
      <c r="D66" s="1094" t="s">
        <v>1410</v>
      </c>
      <c r="E66" s="1080" t="s">
        <v>1327</v>
      </c>
      <c r="F66" s="317" t="e">
        <f t="shared" ca="1" si="0"/>
        <v>#N/A</v>
      </c>
      <c r="O66" s="1570" t="s">
        <v>1009</v>
      </c>
      <c r="P66" s="1571" t="s">
        <v>1463</v>
      </c>
      <c r="Q66" s="1572" t="e">
        <f ca="1">L60</f>
        <v>#N/A</v>
      </c>
      <c r="R66" s="1572" t="s">
        <v>1486</v>
      </c>
    </row>
    <row r="67" spans="1:18" s="1536" customFormat="1" ht="24.6" thickBot="1">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2" thickBot="1">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3.8" thickBot="1">
      <c r="A69" s="1081"/>
      <c r="B69" s="1082"/>
      <c r="C69" s="311"/>
      <c r="D69" s="1100" t="s">
        <v>1378</v>
      </c>
      <c r="E69" s="1080" t="s">
        <v>1379</v>
      </c>
      <c r="F69" s="338" t="e">
        <f ca="1">F41</f>
        <v>#N/A</v>
      </c>
      <c r="O69" s="1580" t="s">
        <v>1016</v>
      </c>
      <c r="P69" s="1619" t="s">
        <v>1489</v>
      </c>
      <c r="Q69" s="1572" t="e">
        <f ca="1">C39</f>
        <v>#N/A</v>
      </c>
      <c r="R69" s="1572" t="s">
        <v>1434</v>
      </c>
    </row>
    <row r="70" spans="1:18" s="1536" customFormat="1" ht="13.8" thickBot="1">
      <c r="A70" s="1084"/>
      <c r="B70" s="1085"/>
      <c r="C70" s="315"/>
      <c r="D70" s="1096"/>
      <c r="E70" s="1080" t="s">
        <v>1382</v>
      </c>
      <c r="F70" s="1184" t="e">
        <f ca="1">F42</f>
        <v>#N/A</v>
      </c>
      <c r="O70" s="1580" t="s">
        <v>1017</v>
      </c>
      <c r="P70" s="1619" t="s">
        <v>1490</v>
      </c>
      <c r="Q70" s="1572" t="e">
        <f ca="1">C13</f>
        <v>#N/A</v>
      </c>
      <c r="R70" s="1572" t="s">
        <v>1434</v>
      </c>
    </row>
    <row r="71" spans="1:18" s="1536" customFormat="1" ht="13.8" thickBot="1">
      <c r="A71" s="1101" t="s">
        <v>1001</v>
      </c>
      <c r="B71" s="1102" t="s">
        <v>1392</v>
      </c>
      <c r="C71" s="341" t="e">
        <f ca="1">ROUND(C68/F71,0)</f>
        <v>#N/A</v>
      </c>
      <c r="D71" s="1103" t="s">
        <v>1393</v>
      </c>
      <c r="E71" s="1104" t="s">
        <v>1394</v>
      </c>
      <c r="F71" s="344" t="e">
        <f ca="1">F43</f>
        <v>#N/A</v>
      </c>
      <c r="O71" s="1580" t="s">
        <v>1018</v>
      </c>
      <c r="P71" s="1619" t="s">
        <v>1491</v>
      </c>
      <c r="Q71" s="1583" t="e">
        <f ca="1">C76</f>
        <v>#N/A</v>
      </c>
      <c r="R71" s="1572"/>
    </row>
    <row r="72" spans="1:18" s="1536" customFormat="1" ht="13.8" thickBot="1">
      <c r="B72" s="734"/>
      <c r="C72" s="734"/>
      <c r="O72" s="1580" t="s">
        <v>1012</v>
      </c>
      <c r="P72" s="1571" t="s">
        <v>1469</v>
      </c>
      <c r="Q72" s="1583">
        <f>L52</f>
        <v>0</v>
      </c>
      <c r="R72" s="1572"/>
    </row>
    <row r="73" spans="1:18" ht="16.2" thickBot="1">
      <c r="A73" s="1536"/>
      <c r="B73" s="734"/>
      <c r="C73" s="734"/>
      <c r="D73" s="1536"/>
      <c r="E73" s="1536"/>
      <c r="F73" s="1536"/>
      <c r="O73" s="1580" t="s">
        <v>1013</v>
      </c>
      <c r="P73" s="1571" t="s">
        <v>1472</v>
      </c>
      <c r="Q73" s="1572" t="e">
        <f ca="1">L58</f>
        <v>#N/A</v>
      </c>
      <c r="R73" s="1572" t="s">
        <v>1473</v>
      </c>
    </row>
    <row r="74" spans="1:18" ht="13.8" thickBot="1">
      <c r="A74" s="1536"/>
      <c r="B74" s="278" t="s">
        <v>1492</v>
      </c>
      <c r="C74" s="1621"/>
      <c r="D74" s="1536"/>
      <c r="E74" s="1536"/>
      <c r="F74" s="1536"/>
      <c r="O74" s="1580" t="s">
        <v>1020</v>
      </c>
      <c r="P74" s="1571" t="str">
        <f>K59</f>
        <v>建筑物剩余耐用年限下的土地年期修正系数Kn</v>
      </c>
      <c r="Q74" s="1572" t="e">
        <f ca="1">L59</f>
        <v>#N/A</v>
      </c>
      <c r="R74" s="1572" t="s">
        <v>1474</v>
      </c>
    </row>
    <row r="75" spans="1:18" ht="13.8" thickBot="1">
      <c r="A75" s="1536"/>
      <c r="B75" s="345" t="s">
        <v>1411</v>
      </c>
      <c r="C75" s="346" t="e">
        <f ca="1">ROUND(C13*C76,0)</f>
        <v>#N/A</v>
      </c>
      <c r="D75" s="1536"/>
      <c r="E75" s="1536"/>
      <c r="F75" s="1536"/>
      <c r="K75" s="1554"/>
      <c r="L75" s="1536"/>
      <c r="O75" s="1570" t="s">
        <v>1014</v>
      </c>
      <c r="P75" s="1571" t="s">
        <v>1454</v>
      </c>
      <c r="Q75" s="1572" t="e">
        <f ca="1">Q65+Q66</f>
        <v>#N/A</v>
      </c>
      <c r="R75" s="1572" t="s">
        <v>1015</v>
      </c>
    </row>
    <row r="76" spans="1:18">
      <c r="B76" s="347" t="s">
        <v>1412</v>
      </c>
      <c r="C76" s="348" t="e">
        <f ca="1">INDIRECT("'数据-取费表'!j"&amp;$G$1)</f>
        <v>#N/A</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0" customWidth="1"/>
    <col min="2" max="16384" width="9" style="1630"/>
  </cols>
  <sheetData>
    <row r="1" spans="1:1" ht="22.8">
      <c r="A1" s="1629" t="s">
        <v>1516</v>
      </c>
    </row>
    <row r="2" spans="1:1">
      <c r="A2" s="1631"/>
    </row>
    <row r="3" spans="1:1" ht="17.399999999999999">
      <c r="A3" s="1632" t="str">
        <f>项目基本情况!B5&amp;"："</f>
        <v>：</v>
      </c>
    </row>
    <row r="4" spans="1:1" ht="17.399999999999999">
      <c r="A4" s="1633" t="str">
        <f>"受贵公司委托，我公司对"&amp;项目基本情况!S1&amp;"进行了预评估。"</f>
        <v>受贵公司委托，我公司对北京市房地产抵押价值进行了预评估。</v>
      </c>
    </row>
    <row r="5" spans="1:1" ht="17.399999999999999">
      <c r="A5" s="1634" t="s">
        <v>1517</v>
      </c>
    </row>
    <row r="6" spans="1:1" ht="17.399999999999999">
      <c r="A6" s="1635" t="s">
        <v>1518</v>
      </c>
    </row>
    <row r="7" spans="1:1" ht="52.2">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spans="1:1" ht="54.6">
      <c r="A8" s="1636" t="s">
        <v>1519</v>
      </c>
    </row>
    <row r="9" spans="1:1" ht="17.399999999999999">
      <c r="A9" s="1635" t="s">
        <v>1520</v>
      </c>
    </row>
    <row r="10" spans="1:1" ht="52.2">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spans="1:1" ht="72">
      <c r="A11" s="1636" t="s">
        <v>1521</v>
      </c>
    </row>
    <row r="12" spans="1:1" ht="17.399999999999999">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8" t="s">
        <v>1523</v>
      </c>
    </row>
    <row r="15" spans="1:1" ht="17.399999999999999">
      <c r="A15" s="1639" t="str">
        <f>TEXT(项目基本情况!D3,"yyyy年m月d日;;")&amp;IF(项目基本情况!D3=项目基本情况!B3,"（评估专业人员实地查勘之日）","")</f>
        <v>2022年1月6日</v>
      </c>
    </row>
    <row r="16" spans="1:1" ht="17.399999999999999">
      <c r="A16" s="1638" t="s">
        <v>1524</v>
      </c>
    </row>
    <row r="17" spans="1:1" ht="69.599999999999994">
      <c r="A17" s="1633" t="s">
        <v>1525</v>
      </c>
    </row>
    <row r="18" spans="1:1" ht="69.59999999999999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8" t="s">
        <v>1514</v>
      </c>
    </row>
    <row r="24" spans="1:1" ht="17.399999999999999">
      <c r="A24" s="1640" t="str">
        <f>"本次评估采用的主估价方法为"&amp;结果表!K4&amp;"和"&amp;结果表!L4&amp;"。"</f>
        <v>本次评估采用的主估价方法为成本法和收益法。</v>
      </c>
    </row>
    <row r="25" spans="1:1" ht="17.399999999999999">
      <c r="A25" s="1640"/>
    </row>
    <row r="26" spans="1:1" ht="17.399999999999999">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200" customWidth="1"/>
    <col min="8" max="8" width="8.88671875" style="3035"/>
    <col min="9" max="9" width="8.88671875" style="3036"/>
    <col min="10" max="10" width="5.77734375" style="3201" customWidth="1"/>
    <col min="11" max="11" width="11.77734375" style="3201" customWidth="1"/>
    <col min="12" max="13" width="10.77734375" style="3201" customWidth="1"/>
    <col min="14" max="14" width="10" style="3201" customWidth="1"/>
    <col min="15" max="16" width="10.44140625" style="3201" bestFit="1" customWidth="1"/>
    <col min="17" max="17" width="10" style="3201" customWidth="1"/>
    <col min="18" max="18" width="10.109375" style="3201" customWidth="1"/>
    <col min="19" max="19" width="10" style="3201" customWidth="1"/>
    <col min="20" max="20" width="26.109375" style="3201" customWidth="1"/>
    <col min="21" max="21" width="8.88671875" style="3201"/>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3123</v>
      </c>
      <c r="B1" s="3031"/>
      <c r="C1" s="3043"/>
      <c r="D1" s="3043"/>
      <c r="E1" s="3032"/>
      <c r="F1" s="3033"/>
      <c r="G1" s="3034"/>
      <c r="J1" s="3037" t="s">
        <v>3002</v>
      </c>
      <c r="K1" s="3038"/>
      <c r="L1" s="3038"/>
      <c r="M1" s="3038"/>
      <c r="N1" s="3038"/>
      <c r="O1" s="3038"/>
      <c r="P1" s="3038"/>
      <c r="Q1" s="3038"/>
      <c r="R1" s="3039"/>
      <c r="S1" s="3040"/>
      <c r="T1" s="3040"/>
      <c r="U1" s="3040"/>
    </row>
    <row r="2" spans="1:22" s="3052" customFormat="1" ht="13.2" customHeight="1">
      <c r="A2" s="1537" t="s">
        <v>3003</v>
      </c>
      <c r="B2" s="3042" t="e">
        <f>C40</f>
        <v>#DIV/0!</v>
      </c>
      <c r="C2" s="3043" t="s">
        <v>3004</v>
      </c>
      <c r="D2" s="3043"/>
      <c r="E2" s="3044"/>
      <c r="F2" s="3045"/>
      <c r="G2" s="3046"/>
      <c r="H2" s="3047"/>
      <c r="I2" s="3048"/>
      <c r="J2" s="3532" t="s">
        <v>3005</v>
      </c>
      <c r="K2" s="3533"/>
      <c r="L2" s="3049" t="s">
        <v>3006</v>
      </c>
      <c r="M2" s="3049" t="s">
        <v>3007</v>
      </c>
      <c r="N2" s="3049" t="s">
        <v>3008</v>
      </c>
      <c r="O2" s="3049" t="s">
        <v>3009</v>
      </c>
      <c r="P2" s="3049" t="s">
        <v>3010</v>
      </c>
      <c r="Q2" s="3050" t="s">
        <v>3011</v>
      </c>
      <c r="R2" s="3051" t="s">
        <v>3012</v>
      </c>
      <c r="S2" s="3040"/>
      <c r="T2" s="3040"/>
      <c r="U2" s="3040"/>
      <c r="V2" s="3048"/>
    </row>
    <row r="3" spans="1:22" s="3052" customFormat="1" ht="13.2" customHeight="1">
      <c r="A3" s="3053" t="s">
        <v>3013</v>
      </c>
      <c r="B3" s="3054" t="e">
        <f>ROUND(B2*10000/B4,0)</f>
        <v>#DIV/0!</v>
      </c>
      <c r="C3" s="3043" t="s">
        <v>3014</v>
      </c>
      <c r="D3" s="3043"/>
      <c r="E3" s="3044"/>
      <c r="F3" s="3045"/>
      <c r="G3" s="3046"/>
      <c r="H3" s="3047"/>
      <c r="I3" s="3048"/>
      <c r="J3" s="3534" t="s">
        <v>3015</v>
      </c>
      <c r="K3" s="3535"/>
      <c r="L3" s="3055"/>
      <c r="M3" s="3055"/>
      <c r="N3" s="3055"/>
      <c r="O3" s="3055"/>
      <c r="P3" s="3055"/>
      <c r="Q3" s="3056"/>
      <c r="R3" s="3057">
        <f>SUM(L3:Q3)</f>
        <v>0</v>
      </c>
      <c r="S3" s="3040"/>
      <c r="T3" s="3040"/>
      <c r="U3" s="3040"/>
      <c r="V3" s="3048"/>
    </row>
    <row r="4" spans="1:22" s="3052" customFormat="1" ht="13.2" customHeight="1">
      <c r="A4" s="3058" t="s">
        <v>3016</v>
      </c>
      <c r="B4" s="3059"/>
      <c r="C4" s="3043"/>
      <c r="D4" s="3043"/>
      <c r="E4" s="3044"/>
      <c r="F4" s="3045"/>
      <c r="G4" s="3046"/>
      <c r="H4" s="3047"/>
      <c r="I4" s="3048"/>
      <c r="J4" s="3534" t="s">
        <v>3017</v>
      </c>
      <c r="K4" s="3535"/>
      <c r="L4" s="3060"/>
      <c r="M4" s="3060"/>
      <c r="N4" s="3060"/>
      <c r="O4" s="3060"/>
      <c r="P4" s="3060"/>
      <c r="Q4" s="3061"/>
      <c r="R4" s="3062">
        <f>SUM(L4:Q4)</f>
        <v>0</v>
      </c>
      <c r="S4" s="3040"/>
      <c r="T4" s="3040"/>
      <c r="U4" s="3040"/>
      <c r="V4" s="3048"/>
    </row>
    <row r="5" spans="1:22" s="3052" customFormat="1" ht="13.2" customHeight="1" thickBot="1">
      <c r="A5" s="3063" t="s">
        <v>3018</v>
      </c>
      <c r="B5" s="3064"/>
      <c r="C5" s="3043"/>
      <c r="D5" s="3065"/>
      <c r="E5" s="3045"/>
      <c r="F5" s="3045"/>
      <c r="G5" s="3046"/>
      <c r="H5" s="3047"/>
      <c r="I5" s="3048"/>
      <c r="J5" s="3066" t="s">
        <v>3019</v>
      </c>
      <c r="K5" s="3067"/>
      <c r="L5" s="3067"/>
      <c r="M5" s="3068"/>
      <c r="N5" s="3068"/>
      <c r="O5" s="3068"/>
      <c r="P5" s="3068"/>
      <c r="Q5" s="3068"/>
      <c r="R5" s="3051">
        <f>SUM(R14,R19,R24,R25,R27,R28)</f>
        <v>0</v>
      </c>
      <c r="S5" s="3040"/>
      <c r="T5" s="3040" t="s">
        <v>3020</v>
      </c>
      <c r="U5" s="3040" t="e">
        <f>ROUND(R5*10000/365/R3,1)</f>
        <v>#DIV/0!</v>
      </c>
      <c r="V5" s="3048"/>
    </row>
    <row r="6" spans="1:22" s="3052" customFormat="1" ht="13.2" customHeight="1" thickBot="1">
      <c r="A6" s="3536" t="s">
        <v>3021</v>
      </c>
      <c r="B6" s="3537"/>
      <c r="C6" s="3538"/>
      <c r="D6" s="3069"/>
      <c r="E6" s="3070"/>
      <c r="F6" s="3071"/>
      <c r="G6" s="3072"/>
      <c r="H6" s="3047"/>
      <c r="I6" s="3048"/>
      <c r="J6" s="3539">
        <v>1</v>
      </c>
      <c r="K6" s="3540" t="s">
        <v>3022</v>
      </c>
      <c r="L6" s="3073" t="s">
        <v>3023</v>
      </c>
      <c r="M6" s="3074" t="s">
        <v>3024</v>
      </c>
      <c r="N6" s="3074" t="s">
        <v>3025</v>
      </c>
      <c r="O6" s="3074" t="s">
        <v>3026</v>
      </c>
      <c r="P6" s="3074" t="s">
        <v>3027</v>
      </c>
      <c r="Q6" s="3074" t="s">
        <v>3028</v>
      </c>
      <c r="R6" s="3057" t="s">
        <v>3029</v>
      </c>
      <c r="S6" s="3040"/>
      <c r="T6" s="3040" t="s">
        <v>3030</v>
      </c>
      <c r="U6" s="3040"/>
      <c r="V6" s="3048"/>
    </row>
    <row r="7" spans="1:22" s="3052" customFormat="1" ht="13.2" customHeight="1">
      <c r="A7" s="3075" t="s">
        <v>3031</v>
      </c>
      <c r="B7" s="3076"/>
      <c r="C7" s="3077"/>
      <c r="D7" s="3078">
        <f>SUM(D9,D10,D11,D17,0)</f>
        <v>0</v>
      </c>
      <c r="E7" s="3079" t="e">
        <f>E9+E10+E11+E17</f>
        <v>#DIV/0!</v>
      </c>
      <c r="F7" s="3080"/>
      <c r="G7" s="3081"/>
      <c r="H7" s="3047"/>
      <c r="I7" s="3048"/>
      <c r="J7" s="3539"/>
      <c r="K7" s="3541"/>
      <c r="L7" s="3082" t="s">
        <v>3032</v>
      </c>
      <c r="M7" s="3083"/>
      <c r="N7" s="3059"/>
      <c r="O7" s="3084"/>
      <c r="P7" s="3084"/>
      <c r="Q7" s="3085">
        <v>365</v>
      </c>
      <c r="R7" s="3086">
        <f>ROUND(M7*N7*O7*P7*Q7/10000,0)</f>
        <v>0</v>
      </c>
      <c r="S7" s="3040"/>
      <c r="T7" s="3040" t="s">
        <v>3033</v>
      </c>
      <c r="U7" s="3040"/>
      <c r="V7" s="3048"/>
    </row>
    <row r="8" spans="1:22" s="3052" customFormat="1" ht="13.2" customHeight="1">
      <c r="A8" s="3087" t="s">
        <v>3034</v>
      </c>
      <c r="B8" s="3543" t="s">
        <v>3035</v>
      </c>
      <c r="C8" s="3544"/>
      <c r="D8" s="3088" t="s">
        <v>3036</v>
      </c>
      <c r="E8" s="3089" t="s">
        <v>3037</v>
      </c>
      <c r="F8" s="3090" t="s">
        <v>3038</v>
      </c>
      <c r="G8" s="3091"/>
      <c r="H8" s="3047"/>
      <c r="I8" s="3048"/>
      <c r="J8" s="3539"/>
      <c r="K8" s="3541"/>
      <c r="L8" s="3082" t="s">
        <v>3039</v>
      </c>
      <c r="M8" s="3083"/>
      <c r="N8" s="3059"/>
      <c r="O8" s="3084"/>
      <c r="P8" s="3084"/>
      <c r="Q8" s="3085">
        <v>365</v>
      </c>
      <c r="R8" s="3086">
        <f t="shared" ref="R8:R13" si="0">ROUND(M8*N8*O8*P8*Q8/10000,0)</f>
        <v>0</v>
      </c>
      <c r="S8" s="3040"/>
      <c r="T8" s="3040" t="s">
        <v>3040</v>
      </c>
      <c r="U8" s="3040"/>
      <c r="V8" s="3048"/>
    </row>
    <row r="9" spans="1:22" s="3052" customFormat="1" ht="13.2" customHeight="1">
      <c r="A9" s="3087">
        <v>1</v>
      </c>
      <c r="B9" s="3543" t="s">
        <v>3041</v>
      </c>
      <c r="C9" s="3544"/>
      <c r="D9" s="3088">
        <f>ROUND(D6*E9,0)</f>
        <v>0</v>
      </c>
      <c r="E9" s="3092"/>
      <c r="F9" s="3093" t="s">
        <v>3042</v>
      </c>
      <c r="G9" s="3072"/>
      <c r="H9" s="3047"/>
      <c r="I9" s="3048"/>
      <c r="J9" s="3539"/>
      <c r="K9" s="3541"/>
      <c r="L9" s="3082" t="s">
        <v>3043</v>
      </c>
      <c r="M9" s="3083"/>
      <c r="N9" s="3059"/>
      <c r="O9" s="3084"/>
      <c r="P9" s="3084"/>
      <c r="Q9" s="3085">
        <v>365</v>
      </c>
      <c r="R9" s="3086">
        <f t="shared" si="0"/>
        <v>0</v>
      </c>
      <c r="S9" s="3040"/>
      <c r="T9" s="3040"/>
      <c r="U9" s="3040"/>
      <c r="V9" s="3048"/>
    </row>
    <row r="10" spans="1:22" s="3052" customFormat="1" ht="13.2" customHeight="1">
      <c r="A10" s="3087">
        <v>2</v>
      </c>
      <c r="B10" s="3543" t="s">
        <v>3044</v>
      </c>
      <c r="C10" s="3544"/>
      <c r="D10" s="3088">
        <f>ROUND(D6*E10,0)</f>
        <v>0</v>
      </c>
      <c r="E10" s="3092"/>
      <c r="F10" s="3093" t="s">
        <v>3045</v>
      </c>
      <c r="G10" s="3072"/>
      <c r="H10" s="3047"/>
      <c r="I10" s="3048"/>
      <c r="J10" s="3539"/>
      <c r="K10" s="3541"/>
      <c r="L10" s="3082" t="s">
        <v>3046</v>
      </c>
      <c r="M10" s="3083"/>
      <c r="N10" s="3059"/>
      <c r="O10" s="3084"/>
      <c r="P10" s="3084"/>
      <c r="Q10" s="3085">
        <v>365</v>
      </c>
      <c r="R10" s="3086">
        <f t="shared" si="0"/>
        <v>0</v>
      </c>
      <c r="S10" s="3040"/>
      <c r="T10" s="3040"/>
      <c r="U10" s="3040"/>
      <c r="V10" s="3048"/>
    </row>
    <row r="11" spans="1:22" s="3052" customFormat="1" ht="13.2" customHeight="1">
      <c r="A11" s="3087">
        <v>3</v>
      </c>
      <c r="B11" s="3543" t="s">
        <v>3047</v>
      </c>
      <c r="C11" s="3544"/>
      <c r="D11" s="3088">
        <f>D12+D14+D15+D16</f>
        <v>0</v>
      </c>
      <c r="E11" s="3094" t="e">
        <f>D11/D6</f>
        <v>#DIV/0!</v>
      </c>
      <c r="F11" s="3090"/>
      <c r="G11" s="3091"/>
      <c r="H11" s="3047"/>
      <c r="I11" s="3048"/>
      <c r="J11" s="3539"/>
      <c r="K11" s="3541"/>
      <c r="L11" s="3082" t="s">
        <v>3048</v>
      </c>
      <c r="M11" s="3083"/>
      <c r="N11" s="3059"/>
      <c r="O11" s="3084"/>
      <c r="P11" s="3084"/>
      <c r="Q11" s="3085">
        <v>365</v>
      </c>
      <c r="R11" s="3086">
        <f t="shared" si="0"/>
        <v>0</v>
      </c>
      <c r="S11" s="3040"/>
      <c r="T11" s="3040"/>
      <c r="U11" s="3040"/>
      <c r="V11" s="3048"/>
    </row>
    <row r="12" spans="1:22" s="3052" customFormat="1" ht="13.2" customHeight="1">
      <c r="A12" s="3095" t="s">
        <v>3049</v>
      </c>
      <c r="B12" s="3545" t="s">
        <v>3050</v>
      </c>
      <c r="C12" s="3546"/>
      <c r="D12" s="3096">
        <f>ROUND(D13*1.2%*(1-30%),0)</f>
        <v>0</v>
      </c>
      <c r="E12" s="3097">
        <v>1.2E-2</v>
      </c>
      <c r="F12" s="3090" t="s">
        <v>3051</v>
      </c>
      <c r="G12" s="3091"/>
      <c r="H12" s="3047"/>
      <c r="I12" s="3048"/>
      <c r="J12" s="3539"/>
      <c r="K12" s="3541"/>
      <c r="L12" s="3082" t="s">
        <v>3052</v>
      </c>
      <c r="M12" s="3083"/>
      <c r="N12" s="3059"/>
      <c r="O12" s="3084"/>
      <c r="P12" s="3084"/>
      <c r="Q12" s="3085">
        <v>365</v>
      </c>
      <c r="R12" s="3086">
        <f t="shared" si="0"/>
        <v>0</v>
      </c>
      <c r="S12" s="3040"/>
      <c r="T12" s="3040"/>
      <c r="U12" s="3040"/>
      <c r="V12" s="3048"/>
    </row>
    <row r="13" spans="1:22" s="3052" customFormat="1" ht="13.2" customHeight="1">
      <c r="A13" s="3095"/>
      <c r="B13" s="3098"/>
      <c r="C13" s="3099" t="s">
        <v>3053</v>
      </c>
      <c r="D13" s="3100"/>
      <c r="E13" s="3101"/>
      <c r="F13" s="3090"/>
      <c r="G13" s="3091"/>
      <c r="H13" s="3047"/>
      <c r="I13" s="3048"/>
      <c r="J13" s="3539"/>
      <c r="K13" s="3541"/>
      <c r="L13" s="3082" t="s">
        <v>3054</v>
      </c>
      <c r="M13" s="3083"/>
      <c r="N13" s="3059"/>
      <c r="O13" s="3084"/>
      <c r="P13" s="3084"/>
      <c r="Q13" s="3085">
        <v>365</v>
      </c>
      <c r="R13" s="3086">
        <f t="shared" si="0"/>
        <v>0</v>
      </c>
      <c r="S13" s="3040"/>
      <c r="T13" s="3040"/>
      <c r="U13" s="3040"/>
      <c r="V13" s="3048"/>
    </row>
    <row r="14" spans="1:22" s="3052" customFormat="1" ht="13.2" customHeight="1">
      <c r="A14" s="3095" t="s">
        <v>3055</v>
      </c>
      <c r="B14" s="3545" t="s">
        <v>3056</v>
      </c>
      <c r="C14" s="3546"/>
      <c r="D14" s="3096">
        <f>ROUND(E14*B5/10000,0)</f>
        <v>0</v>
      </c>
      <c r="E14" s="3085"/>
      <c r="F14" s="3090" t="s">
        <v>3057</v>
      </c>
      <c r="G14" s="3091"/>
      <c r="H14" s="3047"/>
      <c r="I14" s="3048"/>
      <c r="J14" s="3539"/>
      <c r="K14" s="3542"/>
      <c r="L14" s="3102" t="s">
        <v>3058</v>
      </c>
      <c r="M14" s="3103">
        <f>SUM(M7:M13)</f>
        <v>0</v>
      </c>
      <c r="N14" s="3103" t="e">
        <f>ROUND((N7*M7+N8*M8+N9*M9+N10*M10+N11*M11+N12*M12+N13*M13)/M14,0)</f>
        <v>#DIV/0!</v>
      </c>
      <c r="O14" s="3104"/>
      <c r="P14" s="3104"/>
      <c r="Q14" s="3105"/>
      <c r="R14" s="3051">
        <f>SUM(R7:R13)</f>
        <v>0</v>
      </c>
      <c r="S14" s="3040"/>
      <c r="T14" s="3040"/>
      <c r="U14" s="3040"/>
      <c r="V14" s="3048"/>
    </row>
    <row r="15" spans="1:22" s="3052" customFormat="1" ht="13.2" customHeight="1">
      <c r="A15" s="3095" t="s">
        <v>3059</v>
      </c>
      <c r="B15" s="3545" t="s">
        <v>3060</v>
      </c>
      <c r="C15" s="3546"/>
      <c r="D15" s="3096">
        <f>ROUND(D6*E15,0)</f>
        <v>0</v>
      </c>
      <c r="E15" s="3097">
        <v>5.5E-2</v>
      </c>
      <c r="F15" s="3090" t="s">
        <v>3061</v>
      </c>
      <c r="G15" s="3072"/>
      <c r="H15" s="3047"/>
      <c r="I15" s="3048"/>
      <c r="J15" s="3539">
        <v>2</v>
      </c>
      <c r="K15" s="3540" t="s">
        <v>3062</v>
      </c>
      <c r="L15" s="3082" t="s">
        <v>3063</v>
      </c>
      <c r="M15" s="3083" t="s">
        <v>3064</v>
      </c>
      <c r="N15" s="3083" t="s">
        <v>3065</v>
      </c>
      <c r="O15" s="3084" t="s">
        <v>3066</v>
      </c>
      <c r="P15" s="3084" t="s">
        <v>3028</v>
      </c>
      <c r="Q15" s="3059" t="s">
        <v>3067</v>
      </c>
      <c r="R15" s="3106" t="s">
        <v>3029</v>
      </c>
      <c r="S15" s="3040"/>
      <c r="T15" s="3040"/>
      <c r="U15" s="3040"/>
      <c r="V15" s="3048"/>
    </row>
    <row r="16" spans="1:22" s="3052" customFormat="1" ht="13.2" customHeight="1">
      <c r="A16" s="3095" t="s">
        <v>3068</v>
      </c>
      <c r="B16" s="3545" t="s">
        <v>3069</v>
      </c>
      <c r="C16" s="3546"/>
      <c r="D16" s="3107">
        <f>D6*E16</f>
        <v>0</v>
      </c>
      <c r="E16" s="3108"/>
      <c r="F16" s="3093" t="s">
        <v>3070</v>
      </c>
      <c r="G16" s="3072"/>
      <c r="H16" s="3047"/>
      <c r="I16" s="3048"/>
      <c r="J16" s="3539"/>
      <c r="K16" s="3541"/>
      <c r="L16" s="3082" t="s">
        <v>3071</v>
      </c>
      <c r="M16" s="3083"/>
      <c r="N16" s="3083"/>
      <c r="O16" s="3084"/>
      <c r="P16" s="3085">
        <v>365</v>
      </c>
      <c r="Q16" s="3059"/>
      <c r="R16" s="3106">
        <f>ROUND(M16*N16*O16*P16/10000,0)</f>
        <v>0</v>
      </c>
      <c r="S16" s="3040"/>
      <c r="T16" s="3040"/>
      <c r="U16" s="3040"/>
      <c r="V16" s="3048"/>
    </row>
    <row r="17" spans="1:22" s="3052" customFormat="1" ht="13.2" customHeight="1" thickBot="1">
      <c r="A17" s="3109">
        <v>4</v>
      </c>
      <c r="B17" s="3547" t="s">
        <v>3072</v>
      </c>
      <c r="C17" s="3548"/>
      <c r="D17" s="3110">
        <f>ROUND(D6*E17,0)</f>
        <v>0</v>
      </c>
      <c r="E17" s="3111"/>
      <c r="F17" s="3112" t="s">
        <v>3073</v>
      </c>
      <c r="G17" s="3072"/>
      <c r="H17" s="3047"/>
      <c r="I17" s="3048"/>
      <c r="J17" s="3539"/>
      <c r="K17" s="3541"/>
      <c r="L17" s="3082" t="s">
        <v>3074</v>
      </c>
      <c r="M17" s="3083"/>
      <c r="N17" s="3083"/>
      <c r="O17" s="3084"/>
      <c r="P17" s="3085">
        <v>365</v>
      </c>
      <c r="Q17" s="3059"/>
      <c r="R17" s="3106">
        <f>ROUND(M17*N17*O17*P17/10000,0)</f>
        <v>0</v>
      </c>
      <c r="S17" s="3040"/>
      <c r="T17" s="3040"/>
      <c r="U17" s="3040"/>
      <c r="V17" s="3048"/>
    </row>
    <row r="18" spans="1:22" s="3052" customFormat="1" ht="13.2" customHeight="1" thickBot="1">
      <c r="A18" s="3075" t="s">
        <v>3075</v>
      </c>
      <c r="B18" s="3076"/>
      <c r="C18" s="3076"/>
      <c r="D18" s="3113">
        <f>ROUND(D6*E18,0)</f>
        <v>0</v>
      </c>
      <c r="E18" s="3114"/>
      <c r="F18" s="3115" t="s">
        <v>3076</v>
      </c>
      <c r="G18" s="3072"/>
      <c r="H18" s="3047"/>
      <c r="I18" s="3048"/>
      <c r="J18" s="3539"/>
      <c r="K18" s="3541"/>
      <c r="L18" s="3082" t="s">
        <v>3077</v>
      </c>
      <c r="M18" s="3083"/>
      <c r="N18" s="3083"/>
      <c r="O18" s="3084"/>
      <c r="P18" s="3085">
        <v>365</v>
      </c>
      <c r="Q18" s="3059"/>
      <c r="R18" s="3106">
        <f>ROUND(M18*N18*O18*P18/10000,0)</f>
        <v>0</v>
      </c>
      <c r="S18" s="3040"/>
      <c r="T18" s="3040"/>
      <c r="U18" s="3040"/>
      <c r="V18" s="3048"/>
    </row>
    <row r="19" spans="1:22" s="3052" customFormat="1" ht="13.2" customHeight="1" thickBot="1">
      <c r="A19" s="3116" t="s">
        <v>3078</v>
      </c>
      <c r="B19" s="3070"/>
      <c r="C19" s="3070"/>
      <c r="D19" s="3070"/>
      <c r="E19" s="3070"/>
      <c r="F19" s="3071"/>
      <c r="G19" s="3091"/>
      <c r="H19" s="3047"/>
      <c r="I19" s="3048"/>
      <c r="J19" s="3539"/>
      <c r="K19" s="3542"/>
      <c r="L19" s="3102" t="s">
        <v>3058</v>
      </c>
      <c r="M19" s="3103"/>
      <c r="N19" s="3103">
        <f>SUM(N16:N18)</f>
        <v>0</v>
      </c>
      <c r="O19" s="3104"/>
      <c r="P19" s="3117" t="s">
        <v>3122</v>
      </c>
      <c r="Q19" s="3084">
        <v>0</v>
      </c>
      <c r="R19" s="3118">
        <f>ROUND(IF(P19="按比例",R14*Q19,SUM(R16:R18)),0)</f>
        <v>0</v>
      </c>
      <c r="S19" s="3040"/>
      <c r="T19" s="3040"/>
      <c r="U19" s="3040"/>
      <c r="V19" s="3048"/>
    </row>
    <row r="20" spans="1:22" s="3052" customFormat="1" ht="13.2" customHeight="1">
      <c r="A20" s="3075"/>
      <c r="B20" s="3076"/>
      <c r="C20" s="3076"/>
      <c r="D20" s="3076"/>
      <c r="E20" s="3076"/>
      <c r="F20" s="3119"/>
      <c r="G20" s="3091"/>
      <c r="H20" s="3047"/>
      <c r="I20" s="3048"/>
      <c r="J20" s="3539">
        <v>3</v>
      </c>
      <c r="K20" s="3540" t="s">
        <v>3079</v>
      </c>
      <c r="L20" s="3082" t="s">
        <v>3080</v>
      </c>
      <c r="M20" s="3083" t="s">
        <v>3081</v>
      </c>
      <c r="N20" s="3120" t="s">
        <v>3082</v>
      </c>
      <c r="O20" s="3084" t="s">
        <v>3083</v>
      </c>
      <c r="P20" s="3085" t="s">
        <v>3084</v>
      </c>
      <c r="Q20" s="3059" t="s">
        <v>3085</v>
      </c>
      <c r="R20" s="3106" t="s">
        <v>3086</v>
      </c>
      <c r="S20" s="3121"/>
      <c r="T20" s="3121"/>
      <c r="U20" s="3121"/>
      <c r="V20" s="3048"/>
    </row>
    <row r="21" spans="1:22" s="3052" customFormat="1" ht="13.2" customHeight="1">
      <c r="A21" s="3075"/>
      <c r="B21" s="3076"/>
      <c r="C21" s="3122" t="s">
        <v>3087</v>
      </c>
      <c r="D21" s="3123" t="s">
        <v>3088</v>
      </c>
      <c r="E21" s="3124" t="s">
        <v>3089</v>
      </c>
      <c r="F21" s="3119"/>
      <c r="G21" s="3091"/>
      <c r="H21" s="3047"/>
      <c r="I21" s="3048"/>
      <c r="J21" s="3539"/>
      <c r="K21" s="3541"/>
      <c r="L21" s="3082" t="s">
        <v>3090</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3091</v>
      </c>
      <c r="D22" s="3127" t="s">
        <v>3092</v>
      </c>
      <c r="E22" s="3128" t="s">
        <v>3093</v>
      </c>
      <c r="F22" s="3119"/>
      <c r="G22" s="3129"/>
      <c r="H22" s="3047"/>
      <c r="I22" s="3048"/>
      <c r="J22" s="3539"/>
      <c r="K22" s="3541"/>
      <c r="L22" s="3082" t="s">
        <v>3094</v>
      </c>
      <c r="M22" s="3083"/>
      <c r="N22" s="3083"/>
      <c r="O22" s="3084"/>
      <c r="P22" s="3085">
        <v>365</v>
      </c>
      <c r="Q22" s="3059"/>
      <c r="R22" s="3125">
        <f>ROUND(M22*N22*O22*P22/10000,0)</f>
        <v>0</v>
      </c>
      <c r="S22" s="3121"/>
      <c r="T22" s="3121"/>
      <c r="U22" s="3121"/>
      <c r="V22" s="3048"/>
    </row>
    <row r="23" spans="1:22" s="3052" customFormat="1" ht="13.2" customHeight="1">
      <c r="A23" s="3130">
        <v>1</v>
      </c>
      <c r="B23" s="3131" t="s">
        <v>3095</v>
      </c>
      <c r="C23" s="3132">
        <f>D6</f>
        <v>0</v>
      </c>
      <c r="D23" s="3133">
        <f>C23*(1+D24)</f>
        <v>0</v>
      </c>
      <c r="E23" s="3134">
        <f>D23*(1+E24)</f>
        <v>0</v>
      </c>
      <c r="F23" s="3135"/>
      <c r="G23" s="3136"/>
      <c r="H23" s="3047"/>
      <c r="I23" s="3048"/>
      <c r="J23" s="3539"/>
      <c r="K23" s="3541"/>
      <c r="L23" s="3082" t="s">
        <v>3096</v>
      </c>
      <c r="M23" s="3083"/>
      <c r="N23" s="3083"/>
      <c r="O23" s="3084"/>
      <c r="P23" s="3085">
        <v>365</v>
      </c>
      <c r="Q23" s="3059"/>
      <c r="R23" s="3125">
        <f>ROUND(M23*N23*O23*P23/10000,0)</f>
        <v>0</v>
      </c>
      <c r="S23" s="3040"/>
      <c r="T23" s="3040"/>
      <c r="U23" s="3040"/>
      <c r="V23" s="3048"/>
    </row>
    <row r="24" spans="1:22" s="3052" customFormat="1" ht="13.2" customHeight="1">
      <c r="A24" s="3137"/>
      <c r="B24" s="3138" t="s">
        <v>3097</v>
      </c>
      <c r="C24" s="3139"/>
      <c r="D24" s="3140"/>
      <c r="E24" s="3141"/>
      <c r="F24" s="3142"/>
      <c r="G24" s="3136"/>
      <c r="H24" s="3047"/>
      <c r="I24" s="3048"/>
      <c r="J24" s="3539"/>
      <c r="K24" s="3542"/>
      <c r="L24" s="3102" t="s">
        <v>3058</v>
      </c>
      <c r="M24" s="3103">
        <f>SUM(M21:M23)</f>
        <v>0</v>
      </c>
      <c r="N24" s="3103"/>
      <c r="O24" s="3104"/>
      <c r="P24" s="3117" t="s">
        <v>3122</v>
      </c>
      <c r="Q24" s="3084">
        <v>0</v>
      </c>
      <c r="R24" s="3118">
        <f>ROUND(IF(P24="按比例",R14*Q24,SUM(R21:R23)),0)</f>
        <v>0</v>
      </c>
      <c r="S24" s="3040"/>
      <c r="T24" s="3040"/>
      <c r="U24" s="3040"/>
      <c r="V24" s="3048"/>
    </row>
    <row r="25" spans="1:22" s="3149" customFormat="1" ht="13.2" customHeight="1">
      <c r="A25" s="3137"/>
      <c r="B25" s="3138"/>
      <c r="C25" s="3139"/>
      <c r="D25" s="3140"/>
      <c r="E25" s="3141"/>
      <c r="F25" s="3142"/>
      <c r="G25" s="3129"/>
      <c r="H25" s="3047"/>
      <c r="I25" s="3048"/>
      <c r="J25" s="3143">
        <v>4</v>
      </c>
      <c r="K25" s="3144" t="s">
        <v>3098</v>
      </c>
      <c r="L25" s="3145"/>
      <c r="M25" s="3145"/>
      <c r="N25" s="3145"/>
      <c r="O25" s="3145"/>
      <c r="P25" s="3146"/>
      <c r="Q25" s="3147">
        <v>0</v>
      </c>
      <c r="R25" s="3118">
        <f>ROUND(R14*Q25,0)</f>
        <v>0</v>
      </c>
      <c r="S25" s="3040"/>
      <c r="T25" s="3040"/>
      <c r="U25" s="3040"/>
      <c r="V25" s="3148"/>
    </row>
    <row r="26" spans="1:22" s="3149" customFormat="1" ht="13.2" customHeight="1">
      <c r="A26" s="3130">
        <v>2</v>
      </c>
      <c r="B26" s="3131" t="s">
        <v>3099</v>
      </c>
      <c r="C26" s="3132">
        <f>D7</f>
        <v>0</v>
      </c>
      <c r="D26" s="3133">
        <f>D23*D27</f>
        <v>0</v>
      </c>
      <c r="E26" s="3134">
        <f>E23*E27</f>
        <v>0</v>
      </c>
      <c r="F26" s="3135"/>
      <c r="G26" s="3136"/>
      <c r="H26" s="3047"/>
      <c r="I26" s="3048"/>
      <c r="J26" s="3549">
        <v>5</v>
      </c>
      <c r="K26" s="3150" t="s">
        <v>3100</v>
      </c>
      <c r="L26" s="3151"/>
      <c r="M26" s="3152"/>
      <c r="N26" s="3153" t="s">
        <v>3101</v>
      </c>
      <c r="O26" s="3153" t="s">
        <v>3102</v>
      </c>
      <c r="P26" s="3154" t="s">
        <v>3103</v>
      </c>
      <c r="Q26" s="3154" t="s">
        <v>3104</v>
      </c>
      <c r="R26" s="3057" t="s">
        <v>3029</v>
      </c>
      <c r="S26" s="3155"/>
      <c r="T26" s="3155"/>
      <c r="U26" s="3155"/>
      <c r="V26" s="3148"/>
    </row>
    <row r="27" spans="1:22" s="3052" customFormat="1" ht="13.2" customHeight="1">
      <c r="A27" s="3137"/>
      <c r="B27" s="3138" t="s">
        <v>3105</v>
      </c>
      <c r="C27" s="3156" t="e">
        <f>E7</f>
        <v>#DIV/0!</v>
      </c>
      <c r="D27" s="3140"/>
      <c r="E27" s="3141"/>
      <c r="F27" s="3142"/>
      <c r="G27" s="3136"/>
      <c r="H27" s="3157"/>
      <c r="I27" s="3148"/>
      <c r="J27" s="3550"/>
      <c r="K27" s="3158"/>
      <c r="L27" s="3159"/>
      <c r="M27" s="3160"/>
      <c r="N27" s="3161"/>
      <c r="O27" s="3161"/>
      <c r="P27" s="3161"/>
      <c r="Q27" s="3162"/>
      <c r="R27" s="3118">
        <f>ROUND(O27*N27*P27*(1-Q27)/10000,0)</f>
        <v>0</v>
      </c>
      <c r="S27" s="3040"/>
      <c r="T27" s="3040"/>
      <c r="U27" s="3040"/>
      <c r="V27" s="3048"/>
    </row>
    <row r="28" spans="1:22" s="3149" customFormat="1" ht="13.2" customHeight="1" thickBot="1">
      <c r="A28" s="3137"/>
      <c r="B28" s="3138"/>
      <c r="C28" s="3156"/>
      <c r="D28" s="3140"/>
      <c r="E28" s="3141" t="s">
        <v>3106</v>
      </c>
      <c r="F28" s="3142"/>
      <c r="G28" s="3129"/>
      <c r="H28" s="3157"/>
      <c r="I28" s="3148"/>
      <c r="J28" s="3163">
        <v>6</v>
      </c>
      <c r="K28" s="3164" t="s">
        <v>3107</v>
      </c>
      <c r="L28" s="3165" t="s">
        <v>3108</v>
      </c>
      <c r="M28" s="3166"/>
      <c r="N28" s="3165" t="s">
        <v>3109</v>
      </c>
      <c r="O28" s="3167"/>
      <c r="P28" s="3165" t="s">
        <v>3110</v>
      </c>
      <c r="Q28" s="3168">
        <v>1.4999999999999999E-2</v>
      </c>
      <c r="R28" s="3169"/>
      <c r="S28" s="3121"/>
      <c r="T28" s="3121"/>
      <c r="U28" s="3121"/>
      <c r="V28" s="3148"/>
    </row>
    <row r="29" spans="1:22" s="3149" customFormat="1" ht="13.2" customHeight="1">
      <c r="A29" s="3130">
        <v>3</v>
      </c>
      <c r="B29" s="3131" t="s">
        <v>3111</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2" customHeight="1" thickBot="1">
      <c r="A30" s="3137"/>
      <c r="B30" s="3138" t="s">
        <v>3105</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2" customHeight="1">
      <c r="A31" s="3137"/>
      <c r="B31" s="3138"/>
      <c r="C31" s="3171"/>
      <c r="D31" s="3170"/>
      <c r="E31" s="3101"/>
      <c r="F31" s="3142"/>
      <c r="G31" s="3129"/>
      <c r="H31" s="3157"/>
      <c r="I31" s="3148"/>
      <c r="J31" s="3037" t="s">
        <v>3112</v>
      </c>
      <c r="K31" s="3038"/>
      <c r="L31" s="3038"/>
      <c r="M31" s="3038"/>
      <c r="N31" s="3038"/>
      <c r="O31" s="3038"/>
      <c r="P31" s="3038"/>
      <c r="Q31" s="3038"/>
      <c r="R31" s="3039"/>
      <c r="S31" s="3121"/>
      <c r="T31" s="3040"/>
      <c r="U31" s="3040"/>
      <c r="V31" s="3148"/>
    </row>
    <row r="32" spans="1:22" s="3149" customFormat="1" ht="13.2" customHeight="1">
      <c r="A32" s="3130">
        <v>4</v>
      </c>
      <c r="B32" s="3131" t="s">
        <v>3113</v>
      </c>
      <c r="C32" s="3132">
        <f>C23-C26-C29</f>
        <v>0</v>
      </c>
      <c r="D32" s="3133">
        <f>D23-D26-D29</f>
        <v>0</v>
      </c>
      <c r="E32" s="3134">
        <f>E23-E26-E29</f>
        <v>0</v>
      </c>
      <c r="F32" s="3135"/>
      <c r="G32" s="3129"/>
      <c r="H32" s="3047"/>
      <c r="I32" s="3048"/>
      <c r="J32" s="3532" t="s">
        <v>3005</v>
      </c>
      <c r="K32" s="3533"/>
      <c r="L32" s="3049" t="s">
        <v>3006</v>
      </c>
      <c r="M32" s="3049" t="s">
        <v>3007</v>
      </c>
      <c r="N32" s="3049" t="s">
        <v>3008</v>
      </c>
      <c r="O32" s="3049" t="s">
        <v>3009</v>
      </c>
      <c r="P32" s="3049" t="s">
        <v>3010</v>
      </c>
      <c r="Q32" s="3050" t="s">
        <v>3011</v>
      </c>
      <c r="R32" s="3172" t="s">
        <v>3012</v>
      </c>
      <c r="S32" s="3121"/>
      <c r="T32" s="3040"/>
      <c r="U32" s="3040"/>
      <c r="V32" s="3148"/>
    </row>
    <row r="33" spans="1:23" s="3052" customFormat="1" ht="13.2" customHeight="1">
      <c r="A33" s="3130"/>
      <c r="B33" s="3131"/>
      <c r="C33" s="3132"/>
      <c r="D33" s="3173"/>
      <c r="E33" s="3174"/>
      <c r="F33" s="3135"/>
      <c r="G33" s="3129"/>
      <c r="H33" s="3157"/>
      <c r="I33" s="3148"/>
      <c r="J33" s="3534" t="s">
        <v>3015</v>
      </c>
      <c r="K33" s="3535"/>
      <c r="L33" s="3055"/>
      <c r="M33" s="3055"/>
      <c r="N33" s="3055"/>
      <c r="O33" s="3055"/>
      <c r="P33" s="3055"/>
      <c r="Q33" s="3056"/>
      <c r="R33" s="3175">
        <f>SUM(L33:Q33)</f>
        <v>0</v>
      </c>
      <c r="S33" s="3121"/>
      <c r="T33" s="3040"/>
      <c r="U33" s="3040"/>
      <c r="V33" s="3048"/>
    </row>
    <row r="34" spans="1:23" s="3052" customFormat="1" ht="13.2" customHeight="1">
      <c r="A34" s="3130">
        <v>5</v>
      </c>
      <c r="B34" s="3131" t="s">
        <v>3114</v>
      </c>
      <c r="C34" s="3176"/>
      <c r="D34" s="3177"/>
      <c r="E34" s="3178"/>
      <c r="F34" s="3135"/>
      <c r="G34" s="3129"/>
      <c r="H34" s="3157"/>
      <c r="I34" s="3148"/>
      <c r="J34" s="3534" t="s">
        <v>3017</v>
      </c>
      <c r="K34" s="3535"/>
      <c r="L34" s="3060"/>
      <c r="M34" s="3060"/>
      <c r="N34" s="3060"/>
      <c r="O34" s="3060"/>
      <c r="P34" s="3060"/>
      <c r="Q34" s="3061"/>
      <c r="R34" s="3179">
        <f>SUM(L34:Q34)</f>
        <v>0</v>
      </c>
      <c r="S34" s="3121"/>
      <c r="T34" s="3040"/>
      <c r="U34" s="3040" t="e">
        <f>ROUND(R35*10000/365/R33,1)</f>
        <v>#DIV/0!</v>
      </c>
      <c r="V34" s="3048"/>
    </row>
    <row r="35" spans="1:23" s="3052" customFormat="1" ht="13.2" customHeight="1">
      <c r="A35" s="3130">
        <v>6</v>
      </c>
      <c r="B35" s="3131" t="s">
        <v>3115</v>
      </c>
      <c r="C35" s="3180"/>
      <c r="D35" s="3181"/>
      <c r="E35" s="3182"/>
      <c r="F35" s="3135"/>
      <c r="G35" s="3183"/>
      <c r="H35" s="3047"/>
      <c r="I35" s="3148"/>
      <c r="J35" s="3066" t="s">
        <v>3019</v>
      </c>
      <c r="K35" s="3067"/>
      <c r="L35" s="3067"/>
      <c r="M35" s="3068"/>
      <c r="N35" s="3068"/>
      <c r="O35" s="3068"/>
      <c r="P35" s="3068"/>
      <c r="Q35" s="3068"/>
      <c r="R35" s="3184">
        <f>R40+R41+R43</f>
        <v>0</v>
      </c>
      <c r="S35" s="3121"/>
      <c r="T35" s="3040" t="s">
        <v>3020</v>
      </c>
      <c r="U35" s="3040"/>
      <c r="V35" s="3048"/>
    </row>
    <row r="36" spans="1:23" s="3052" customFormat="1" ht="13.2" customHeight="1" thickBot="1">
      <c r="A36" s="3130">
        <v>7</v>
      </c>
      <c r="B36" s="3185" t="s">
        <v>3116</v>
      </c>
      <c r="C36" s="3186"/>
      <c r="D36" s="3187"/>
      <c r="E36" s="3188"/>
      <c r="F36" s="3189">
        <f>C36+D36+E36</f>
        <v>0</v>
      </c>
      <c r="G36" s="3129"/>
      <c r="H36" s="3047"/>
      <c r="I36" s="3048"/>
      <c r="J36" s="3539">
        <v>1</v>
      </c>
      <c r="K36" s="3540" t="s">
        <v>3117</v>
      </c>
      <c r="L36" s="3073"/>
      <c r="M36" s="3074"/>
      <c r="N36" s="3074"/>
      <c r="O36" s="3074"/>
      <c r="P36" s="3074"/>
      <c r="Q36" s="3074"/>
      <c r="R36" s="3057" t="s">
        <v>3029</v>
      </c>
      <c r="S36" s="3121"/>
      <c r="T36" s="3040" t="s">
        <v>3030</v>
      </c>
      <c r="U36" s="3040"/>
      <c r="V36" s="3048"/>
    </row>
    <row r="37" spans="1:23" s="3052" customFormat="1" ht="13.2" customHeight="1">
      <c r="A37" s="3130"/>
      <c r="B37" s="3131"/>
      <c r="C37" s="3131"/>
      <c r="D37" s="3131"/>
      <c r="E37" s="3131"/>
      <c r="F37" s="3135"/>
      <c r="G37" s="3129"/>
      <c r="H37" s="3047"/>
      <c r="I37" s="3048"/>
      <c r="J37" s="3539"/>
      <c r="K37" s="3541"/>
      <c r="L37" s="3082"/>
      <c r="M37" s="3083"/>
      <c r="N37" s="3059"/>
      <c r="O37" s="3084"/>
      <c r="P37" s="3084"/>
      <c r="Q37" s="3085"/>
      <c r="R37" s="3086"/>
      <c r="S37" s="3121"/>
      <c r="T37" s="3040" t="s">
        <v>3033</v>
      </c>
      <c r="U37" s="3040"/>
      <c r="V37" s="3048"/>
    </row>
    <row r="38" spans="1:23" s="3052" customFormat="1" ht="13.2" customHeight="1">
      <c r="A38" s="3130">
        <v>8</v>
      </c>
      <c r="B38" s="3131"/>
      <c r="C38" s="3088" t="e">
        <f>ROUND(C32*(1-((1+C35)/(1+C34))^C36)/(C34-C35),0)</f>
        <v>#DIV/0!</v>
      </c>
      <c r="D38" s="3088">
        <f>IF(D23=0,0,ROUND(D32*(1-((1+D35)/(1+D34))^D36)/(D34-D35),0))</f>
        <v>0</v>
      </c>
      <c r="E38" s="3088">
        <f>IF(E23=0,0,ROUND(E32*(1-((1+E35)/(1+E34))^E36)/(E34-E35),0))</f>
        <v>0</v>
      </c>
      <c r="F38" s="3135"/>
      <c r="G38" s="3129"/>
      <c r="H38" s="3047"/>
      <c r="I38" s="3048"/>
      <c r="J38" s="3539"/>
      <c r="K38" s="3541"/>
      <c r="L38" s="3082"/>
      <c r="M38" s="3083"/>
      <c r="N38" s="3059"/>
      <c r="O38" s="3084"/>
      <c r="P38" s="3084"/>
      <c r="Q38" s="3085"/>
      <c r="R38" s="3086"/>
      <c r="S38" s="3121"/>
      <c r="T38" s="3040" t="s">
        <v>3040</v>
      </c>
      <c r="U38" s="3040"/>
      <c r="V38" s="3048"/>
    </row>
    <row r="39" spans="1:23" s="3052" customFormat="1" ht="13.2" customHeight="1">
      <c r="A39" s="3130">
        <v>9</v>
      </c>
      <c r="B39" s="3131" t="s">
        <v>3118</v>
      </c>
      <c r="C39" s="3096" t="e">
        <f>C38</f>
        <v>#DIV/0!</v>
      </c>
      <c r="D39" s="3131">
        <f>D38/(1+D34)^C36</f>
        <v>0</v>
      </c>
      <c r="E39" s="3131">
        <f>E38/(1+E34)^(C36+D36)</f>
        <v>0</v>
      </c>
      <c r="F39" s="3135"/>
      <c r="G39" s="3190"/>
      <c r="H39" s="3047"/>
      <c r="I39" s="3048"/>
      <c r="J39" s="3539"/>
      <c r="K39" s="3541"/>
      <c r="L39" s="3082"/>
      <c r="M39" s="3083"/>
      <c r="N39" s="3059"/>
      <c r="O39" s="3084"/>
      <c r="P39" s="3084"/>
      <c r="Q39" s="3085"/>
      <c r="R39" s="3086"/>
      <c r="S39" s="3121"/>
      <c r="T39" s="3040"/>
      <c r="U39" s="3040"/>
      <c r="V39" s="3048"/>
    </row>
    <row r="40" spans="1:23" s="3052" customFormat="1" ht="13.2" customHeight="1">
      <c r="A40" s="3191">
        <v>10</v>
      </c>
      <c r="B40" s="3131" t="s">
        <v>3119</v>
      </c>
      <c r="C40" s="3192" t="e">
        <f>C39+D39+E39</f>
        <v>#DIV/0!</v>
      </c>
      <c r="D40" s="3193"/>
      <c r="E40" s="3193"/>
      <c r="F40" s="3194"/>
      <c r="G40" s="3129"/>
      <c r="H40" s="3047"/>
      <c r="I40" s="3048"/>
      <c r="J40" s="3539"/>
      <c r="K40" s="3542"/>
      <c r="L40" s="3102" t="s">
        <v>3058</v>
      </c>
      <c r="M40" s="3103"/>
      <c r="N40" s="3103"/>
      <c r="O40" s="3104"/>
      <c r="P40" s="3104"/>
      <c r="Q40" s="3105"/>
      <c r="R40" s="3051">
        <f>SUM(R37:R39)</f>
        <v>0</v>
      </c>
      <c r="S40" s="3121"/>
      <c r="T40" s="3040"/>
      <c r="U40" s="3040"/>
      <c r="V40" s="3048"/>
    </row>
    <row r="41" spans="1:23" s="3052" customFormat="1" ht="13.2" customHeight="1" thickBot="1">
      <c r="A41" s="3195">
        <v>11</v>
      </c>
      <c r="B41" s="3196" t="s">
        <v>3120</v>
      </c>
      <c r="C41" s="3196" t="e">
        <f>ROUND(C40*10000/B4,0)</f>
        <v>#DIV/0!</v>
      </c>
      <c r="D41" s="3197"/>
      <c r="E41" s="3197"/>
      <c r="F41" s="3198"/>
      <c r="G41" s="3199"/>
      <c r="H41" s="3047"/>
      <c r="I41" s="3048"/>
      <c r="J41" s="3143">
        <v>2</v>
      </c>
      <c r="K41" s="3144" t="s">
        <v>3098</v>
      </c>
      <c r="L41" s="3145"/>
      <c r="M41" s="3145"/>
      <c r="N41" s="3145"/>
      <c r="O41" s="3145"/>
      <c r="P41" s="3146"/>
      <c r="Q41" s="3147"/>
      <c r="R41" s="3118">
        <f>ROUND(R40*Q41,0)</f>
        <v>0</v>
      </c>
      <c r="S41" s="3121"/>
      <c r="T41" s="3040"/>
      <c r="U41" s="3155"/>
      <c r="V41" s="3048"/>
    </row>
    <row r="42" spans="1:23" s="3052" customFormat="1" ht="13.2" customHeight="1">
      <c r="G42" s="3199"/>
      <c r="H42" s="3047"/>
      <c r="I42" s="3048"/>
      <c r="J42" s="3549">
        <v>3</v>
      </c>
      <c r="K42" s="3150" t="s">
        <v>3100</v>
      </c>
      <c r="L42" s="3151"/>
      <c r="M42" s="3152"/>
      <c r="N42" s="3153" t="s">
        <v>3101</v>
      </c>
      <c r="O42" s="3153" t="s">
        <v>3102</v>
      </c>
      <c r="P42" s="3154" t="s">
        <v>3103</v>
      </c>
      <c r="Q42" s="3154" t="s">
        <v>3104</v>
      </c>
      <c r="R42" s="3057" t="s">
        <v>3029</v>
      </c>
      <c r="S42" s="3155"/>
      <c r="T42" s="3155"/>
      <c r="U42" s="3040"/>
      <c r="V42" s="3048"/>
    </row>
    <row r="43" spans="1:23" ht="13.2" customHeight="1">
      <c r="A43" s="3052"/>
      <c r="B43" s="3052"/>
      <c r="C43" s="3052"/>
      <c r="D43" s="3052"/>
      <c r="E43" s="3052"/>
      <c r="F43" s="3052"/>
      <c r="I43" s="3035"/>
      <c r="J43" s="3550"/>
      <c r="K43" s="3158"/>
      <c r="L43" s="3159"/>
      <c r="M43" s="3160"/>
      <c r="N43" s="3083"/>
      <c r="O43" s="3083"/>
      <c r="P43" s="3083"/>
      <c r="Q43" s="3147"/>
      <c r="R43" s="3118">
        <f>ROUND(O43*N43*P43*(1-Q43)/10000,0)</f>
        <v>0</v>
      </c>
      <c r="S43" s="3121"/>
      <c r="T43" s="3040"/>
      <c r="V43" s="3201"/>
      <c r="W43" s="3202"/>
    </row>
    <row r="44" spans="1:23" ht="13.2" customHeight="1" thickBot="1">
      <c r="J44" s="3163">
        <v>6</v>
      </c>
      <c r="K44" s="3164" t="s">
        <v>3107</v>
      </c>
      <c r="L44" s="3203" t="s">
        <v>3108</v>
      </c>
      <c r="M44" s="3166"/>
      <c r="N44" s="3203" t="s">
        <v>3109</v>
      </c>
      <c r="O44" s="3166"/>
      <c r="P44" s="3203" t="s">
        <v>3110</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7" sqref="D7"/>
    </sheetView>
  </sheetViews>
  <sheetFormatPr defaultColWidth="9" defaultRowHeight="13.8"/>
  <cols>
    <col min="1" max="1" width="23.6640625" style="1630" customWidth="1"/>
    <col min="2" max="2" width="12" style="1630" customWidth="1"/>
    <col min="3" max="3" width="9" style="1630"/>
    <col min="4" max="4" width="14.109375" style="1630" customWidth="1"/>
    <col min="5" max="5" width="9" style="1630"/>
    <col min="6" max="6" width="12.88671875" style="1630" customWidth="1"/>
    <col min="7" max="16384" width="9" style="1630"/>
  </cols>
  <sheetData>
    <row r="1" spans="1:22" ht="21.6">
      <c r="A1" s="2021" t="s">
        <v>2287</v>
      </c>
      <c r="B1" s="2022"/>
      <c r="C1" s="2022"/>
      <c r="D1" s="2022"/>
      <c r="E1" s="2023"/>
      <c r="F1" s="2904"/>
      <c r="G1" s="1642"/>
      <c r="H1" s="1642"/>
      <c r="I1" s="1642"/>
      <c r="J1" s="1642"/>
      <c r="K1" s="1642"/>
      <c r="L1" s="1642"/>
      <c r="M1" s="1642"/>
      <c r="N1" s="1642"/>
      <c r="O1" s="1642"/>
      <c r="P1" s="1642"/>
      <c r="Q1" s="1642"/>
      <c r="R1" s="1642"/>
      <c r="S1" s="1642"/>
    </row>
    <row r="2" spans="1:22" ht="15.6">
      <c r="A2" s="2024" t="s">
        <v>2088</v>
      </c>
      <c r="B2" s="2025">
        <f ca="1">SUMIF(B6:B13,"&lt;&gt;#ref!",B6:B13)</f>
        <v>8800</v>
      </c>
      <c r="C2" s="2026" t="s">
        <v>2280</v>
      </c>
      <c r="D2" s="2027" t="s">
        <v>2281</v>
      </c>
      <c r="E2" s="2801">
        <f>SUM(E6:E13)</f>
        <v>24880.78</v>
      </c>
      <c r="F2" s="2904"/>
      <c r="G2" s="1642"/>
      <c r="H2" s="1642"/>
      <c r="I2" s="1642"/>
      <c r="J2" s="1642"/>
      <c r="K2" s="1642"/>
      <c r="L2" s="1642"/>
      <c r="M2" s="1642"/>
      <c r="N2" s="1642"/>
      <c r="O2" s="1642"/>
      <c r="P2" s="1642"/>
      <c r="Q2" s="1642"/>
      <c r="R2" s="1642"/>
      <c r="S2" s="1642"/>
    </row>
    <row r="3" spans="1:22" ht="15.6">
      <c r="A3" s="2024" t="s">
        <v>1300</v>
      </c>
      <c r="B3" s="2795">
        <f ca="1">ROUND(B2*10000/E2,0)</f>
        <v>3537</v>
      </c>
      <c r="C3" s="2026" t="s">
        <v>2288</v>
      </c>
      <c r="D3" s="2906"/>
      <c r="E3" s="2908"/>
      <c r="F3" s="2904"/>
      <c r="G3" s="1642"/>
      <c r="H3" s="1642"/>
      <c r="I3" s="1642"/>
      <c r="J3" s="1642"/>
      <c r="K3" s="1642"/>
      <c r="L3" s="1642"/>
      <c r="M3" s="1642"/>
      <c r="N3" s="1642"/>
      <c r="O3" s="1642"/>
      <c r="P3" s="1642"/>
      <c r="Q3" s="1642"/>
      <c r="R3" s="1642"/>
      <c r="S3" s="1642"/>
    </row>
    <row r="4" spans="1:22" ht="15.6">
      <c r="A4" s="2909"/>
      <c r="B4" s="2906"/>
      <c r="C4" s="2906"/>
      <c r="D4" s="2906"/>
      <c r="E4" s="2908"/>
      <c r="F4" s="2904"/>
      <c r="G4" s="1642"/>
      <c r="H4" s="1642"/>
      <c r="I4" s="1642"/>
      <c r="J4" s="1642"/>
      <c r="K4" s="1642"/>
      <c r="L4" s="1642"/>
      <c r="M4" s="1642"/>
      <c r="N4" s="1642"/>
      <c r="O4" s="1642"/>
      <c r="P4" s="1642"/>
      <c r="Q4" s="1642"/>
      <c r="R4" s="1642"/>
      <c r="S4" s="1642"/>
    </row>
    <row r="5" spans="1:22" ht="14.4">
      <c r="A5" s="2797" t="s">
        <v>2282</v>
      </c>
      <c r="B5" s="3551" t="s">
        <v>2283</v>
      </c>
      <c r="C5" s="3552"/>
      <c r="D5" s="2905"/>
      <c r="E5" s="2028" t="s">
        <v>2284</v>
      </c>
      <c r="F5" s="2029" t="s">
        <v>2285</v>
      </c>
      <c r="G5" s="1642"/>
      <c r="H5" s="1642"/>
      <c r="I5" s="1642"/>
      <c r="J5" s="1642"/>
      <c r="K5" s="1642"/>
      <c r="L5" s="1642"/>
      <c r="M5" s="1642"/>
      <c r="N5" s="1642"/>
      <c r="O5" s="1642"/>
      <c r="P5" s="1642"/>
      <c r="Q5" s="1642"/>
      <c r="R5" s="1642"/>
      <c r="S5" s="1642"/>
    </row>
    <row r="6" spans="1:22" ht="14.4">
      <c r="A6" s="2798" t="str">
        <f>'数据-取费表'!AN6</f>
        <v>收益法</v>
      </c>
      <c r="B6" s="2796">
        <f ca="1">IF(F6="是",'数据-取费表'!AO6,0)</f>
        <v>8800</v>
      </c>
      <c r="C6" s="2026" t="s">
        <v>2280</v>
      </c>
      <c r="D6" s="2906"/>
      <c r="E6" s="2800">
        <f>IF(OR(A6=0,F6="否"),0,'数据-取费表'!K6+'数据-取费表'!S6)</f>
        <v>24880.78</v>
      </c>
      <c r="F6" s="2030" t="s">
        <v>2286</v>
      </c>
      <c r="G6" s="1642"/>
      <c r="H6" s="1642"/>
      <c r="I6" s="1642"/>
      <c r="J6" s="1642"/>
      <c r="K6" s="1642"/>
      <c r="L6" s="1642"/>
      <c r="M6" s="1642"/>
      <c r="N6" s="1642"/>
      <c r="O6" s="1642"/>
      <c r="P6" s="1642"/>
      <c r="Q6" s="1642"/>
      <c r="R6" s="1642"/>
      <c r="S6" s="1642"/>
    </row>
    <row r="7" spans="1:22" ht="14.4">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ht="14.4">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ht="14.4">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ht="14.4">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ht="14.4">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ht="14.4">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24880.78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4.4">
      <c r="A4" s="360" t="s">
        <v>2296</v>
      </c>
      <c r="B4" s="361"/>
      <c r="C4" s="3494" t="s">
        <v>2297</v>
      </c>
      <c r="D4" s="3495"/>
      <c r="E4" s="3496" t="s">
        <v>2298</v>
      </c>
      <c r="F4" s="3497"/>
      <c r="G4" s="3494" t="s">
        <v>2299</v>
      </c>
      <c r="H4" s="3495"/>
      <c r="I4" s="3494" t="s">
        <v>2300</v>
      </c>
      <c r="J4" s="3495"/>
      <c r="K4" s="2043" t="s">
        <v>2301</v>
      </c>
      <c r="L4" s="2912"/>
      <c r="M4" s="2913"/>
      <c r="N4" s="2913"/>
      <c r="O4" s="2913"/>
      <c r="P4" s="3498" t="s">
        <v>2302</v>
      </c>
      <c r="Q4" s="3499"/>
      <c r="R4" s="3511" t="s">
        <v>2298</v>
      </c>
      <c r="S4" s="3512"/>
      <c r="T4" s="3511" t="s">
        <v>2299</v>
      </c>
      <c r="U4" s="3512"/>
      <c r="V4" s="3486" t="s">
        <v>2300</v>
      </c>
      <c r="W4" s="3486"/>
      <c r="X4" s="1507"/>
      <c r="Y4" s="3511" t="s">
        <v>2302</v>
      </c>
      <c r="Z4" s="3512"/>
      <c r="AA4" s="3491" t="s">
        <v>2298</v>
      </c>
      <c r="AB4" s="3491" t="s">
        <v>2299</v>
      </c>
      <c r="AC4" s="3491" t="s">
        <v>2300</v>
      </c>
    </row>
    <row r="5" spans="1:29">
      <c r="A5" s="363"/>
      <c r="B5" s="364"/>
      <c r="C5" s="3515" t="s">
        <v>2303</v>
      </c>
      <c r="D5" s="3516"/>
      <c r="E5" s="3504" t="s">
        <v>2304</v>
      </c>
      <c r="F5" s="3505"/>
      <c r="G5" s="3515" t="s">
        <v>2305</v>
      </c>
      <c r="H5" s="3516"/>
      <c r="I5" s="3515" t="s">
        <v>2306</v>
      </c>
      <c r="J5" s="3516"/>
      <c r="K5" s="2044"/>
      <c r="L5" s="2912"/>
      <c r="M5" s="2913"/>
      <c r="N5" s="2913"/>
      <c r="O5" s="2913"/>
      <c r="P5" s="3500"/>
      <c r="Q5" s="3501"/>
      <c r="R5" s="3513"/>
      <c r="S5" s="3514"/>
      <c r="T5" s="3513"/>
      <c r="U5" s="3514"/>
      <c r="V5" s="3486"/>
      <c r="W5" s="3486"/>
      <c r="X5" s="1507"/>
      <c r="Y5" s="3513"/>
      <c r="Z5" s="3514"/>
      <c r="AA5" s="3492"/>
      <c r="AB5" s="3492"/>
      <c r="AC5" s="3492"/>
    </row>
    <row r="6" spans="1:29" ht="15" thickBot="1">
      <c r="A6" s="365"/>
      <c r="B6" s="366"/>
      <c r="C6" s="3553" t="s">
        <v>2307</v>
      </c>
      <c r="D6" s="3554"/>
      <c r="E6" s="3555" t="s">
        <v>2307</v>
      </c>
      <c r="F6" s="3556"/>
      <c r="G6" s="3553" t="s">
        <v>2307</v>
      </c>
      <c r="H6" s="3554"/>
      <c r="I6" s="3553" t="s">
        <v>2307</v>
      </c>
      <c r="J6" s="3554"/>
      <c r="K6" s="2044" t="s">
        <v>2308</v>
      </c>
      <c r="L6" s="2912"/>
      <c r="M6" s="2913"/>
      <c r="N6" s="2913"/>
      <c r="O6" s="2913"/>
      <c r="P6" s="3502"/>
      <c r="Q6" s="3503"/>
      <c r="R6" s="3513"/>
      <c r="S6" s="3514"/>
      <c r="T6" s="3522"/>
      <c r="U6" s="3523"/>
      <c r="V6" s="3486"/>
      <c r="W6" s="3486"/>
      <c r="X6" s="1507"/>
      <c r="Y6" s="3522"/>
      <c r="Z6" s="3523"/>
      <c r="AA6" s="3493"/>
      <c r="AB6" s="3493"/>
      <c r="AC6" s="3493"/>
    </row>
    <row r="7" spans="1:29" s="112" customFormat="1" ht="1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506" t="s">
        <v>2310</v>
      </c>
      <c r="Q7" s="3519"/>
      <c r="R7" s="709" t="s">
        <v>23</v>
      </c>
      <c r="S7" s="710">
        <f t="shared" ref="S7:S15" si="0">F7</f>
        <v>0</v>
      </c>
      <c r="T7" s="709" t="s">
        <v>23</v>
      </c>
      <c r="U7" s="710">
        <f t="shared" ref="U7:U15" si="1">H7</f>
        <v>0</v>
      </c>
      <c r="V7" s="709" t="s">
        <v>23</v>
      </c>
      <c r="W7" s="710">
        <f t="shared" ref="W7:W15" si="2">J7</f>
        <v>0</v>
      </c>
      <c r="X7" s="711"/>
      <c r="Y7" s="3506" t="s">
        <v>2310</v>
      </c>
      <c r="Z7" s="3507"/>
      <c r="AA7" s="712" t="e">
        <f>D7/F7</f>
        <v>#DIV/0!</v>
      </c>
      <c r="AB7" s="712" t="e">
        <f>D7/H7</f>
        <v>#DIV/0!</v>
      </c>
      <c r="AC7" s="712" t="e">
        <f>D7/J7</f>
        <v>#DIV/0!</v>
      </c>
    </row>
    <row r="8" spans="1:29" s="112" customFormat="1" ht="1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506" t="s">
        <v>2313</v>
      </c>
      <c r="Q8" s="3507"/>
      <c r="R8" s="709" t="s">
        <v>23</v>
      </c>
      <c r="S8" s="710">
        <f t="shared" si="0"/>
        <v>0</v>
      </c>
      <c r="T8" s="709" t="s">
        <v>23</v>
      </c>
      <c r="U8" s="710">
        <f t="shared" si="1"/>
        <v>0</v>
      </c>
      <c r="V8" s="709" t="s">
        <v>23</v>
      </c>
      <c r="W8" s="710">
        <f t="shared" si="2"/>
        <v>0</v>
      </c>
      <c r="X8" s="711"/>
      <c r="Y8" s="3506" t="s">
        <v>2313</v>
      </c>
      <c r="Z8" s="3507"/>
      <c r="AA8" s="712" t="e">
        <f t="shared" ref="AA8:AA19" si="3">D8/F8</f>
        <v>#DIV/0!</v>
      </c>
      <c r="AB8" s="712" t="e">
        <f t="shared" ref="AB8:AB19" si="4">D8/H8</f>
        <v>#DIV/0!</v>
      </c>
      <c r="AC8" s="712" t="e">
        <f t="shared" ref="AC8:AC19" si="5">D8/J8</f>
        <v>#DIV/0!</v>
      </c>
    </row>
    <row r="9" spans="1:29" s="112" customFormat="1" ht="14.4">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509"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509"/>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509"/>
      <c r="Q11" s="1495" t="str">
        <f t="shared" si="6"/>
        <v>容积率</v>
      </c>
      <c r="R11" s="709" t="s">
        <v>21</v>
      </c>
      <c r="S11" s="710" t="e">
        <f t="shared" si="0"/>
        <v>#N/A</v>
      </c>
      <c r="T11" s="709" t="s">
        <v>21</v>
      </c>
      <c r="U11" s="710" t="e">
        <f t="shared" si="1"/>
        <v>#N/A</v>
      </c>
      <c r="V11" s="709" t="s">
        <v>21</v>
      </c>
      <c r="W11" s="710" t="e">
        <f t="shared" si="2"/>
        <v>#N/A</v>
      </c>
      <c r="X11" s="711"/>
      <c r="Y11" s="3428"/>
      <c r="Z11" s="54" t="str">
        <f t="shared" si="7"/>
        <v>容积率</v>
      </c>
      <c r="AA11" s="712" t="e">
        <f t="shared" si="3"/>
        <v>#N/A</v>
      </c>
      <c r="AB11" s="712" t="e">
        <f t="shared" si="4"/>
        <v>#N/A</v>
      </c>
      <c r="AC11" s="712" t="e">
        <f t="shared" si="5"/>
        <v>#N/A</v>
      </c>
    </row>
    <row r="12" spans="1:29" s="112"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509"/>
      <c r="Q12" s="1495">
        <f t="shared" si="6"/>
        <v>111</v>
      </c>
      <c r="R12" s="709" t="s">
        <v>21</v>
      </c>
      <c r="S12" s="710">
        <f t="shared" si="0"/>
        <v>100</v>
      </c>
      <c r="T12" s="709" t="s">
        <v>21</v>
      </c>
      <c r="U12" s="710">
        <f t="shared" si="1"/>
        <v>100</v>
      </c>
      <c r="V12" s="709" t="s">
        <v>21</v>
      </c>
      <c r="W12" s="710">
        <f t="shared" si="2"/>
        <v>100</v>
      </c>
      <c r="X12" s="711"/>
      <c r="Y12" s="3428"/>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509"/>
      <c r="Q13" s="1495">
        <f t="shared" si="6"/>
        <v>111</v>
      </c>
      <c r="R13" s="709" t="s">
        <v>21</v>
      </c>
      <c r="S13" s="710">
        <f t="shared" si="0"/>
        <v>100</v>
      </c>
      <c r="T13" s="709" t="s">
        <v>21</v>
      </c>
      <c r="U13" s="710">
        <f t="shared" si="1"/>
        <v>100</v>
      </c>
      <c r="V13" s="709" t="s">
        <v>21</v>
      </c>
      <c r="W13" s="710">
        <f t="shared" si="2"/>
        <v>100</v>
      </c>
      <c r="X13" s="711"/>
      <c r="Y13" s="3428"/>
      <c r="Z13" s="54">
        <f t="shared" si="7"/>
        <v>111</v>
      </c>
      <c r="AA13" s="712">
        <f t="shared" si="3"/>
        <v>1</v>
      </c>
      <c r="AB13" s="712">
        <f t="shared" si="4"/>
        <v>1</v>
      </c>
      <c r="AC13" s="712">
        <f t="shared" si="5"/>
        <v>1</v>
      </c>
    </row>
    <row r="14" spans="1:29" ht="15.6"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509"/>
      <c r="Q14" s="1495">
        <f t="shared" si="6"/>
        <v>111</v>
      </c>
      <c r="R14" s="709" t="s">
        <v>21</v>
      </c>
      <c r="S14" s="710">
        <f t="shared" si="0"/>
        <v>100</v>
      </c>
      <c r="T14" s="709" t="s">
        <v>21</v>
      </c>
      <c r="U14" s="710">
        <f t="shared" si="1"/>
        <v>100</v>
      </c>
      <c r="V14" s="709" t="s">
        <v>21</v>
      </c>
      <c r="W14" s="710">
        <f t="shared" si="2"/>
        <v>100</v>
      </c>
      <c r="X14" s="711"/>
      <c r="Y14" s="3428"/>
      <c r="Z14" s="54">
        <f t="shared" si="7"/>
        <v>111</v>
      </c>
      <c r="AA14" s="712">
        <f t="shared" si="3"/>
        <v>1</v>
      </c>
      <c r="AB14" s="712">
        <f t="shared" si="4"/>
        <v>1</v>
      </c>
      <c r="AC14" s="712">
        <f t="shared" si="5"/>
        <v>1</v>
      </c>
    </row>
    <row r="15" spans="1:29" ht="96.6">
      <c r="A15" s="398" t="s">
        <v>2320</v>
      </c>
      <c r="B15" s="64"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63" t="s">
        <v>2321</v>
      </c>
      <c r="Q15" s="1504" t="str">
        <f t="shared" si="6"/>
        <v>居住社区成熟度</v>
      </c>
      <c r="R15" s="713" t="s">
        <v>21</v>
      </c>
      <c r="S15" s="714">
        <f t="shared" si="0"/>
        <v>100</v>
      </c>
      <c r="T15" s="713" t="s">
        <v>21</v>
      </c>
      <c r="U15" s="714">
        <f t="shared" si="1"/>
        <v>100</v>
      </c>
      <c r="V15" s="713" t="s">
        <v>21</v>
      </c>
      <c r="W15" s="714">
        <f t="shared" si="2"/>
        <v>100</v>
      </c>
      <c r="X15" s="1507"/>
      <c r="Y15" s="3487"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64"/>
      <c r="Q16" s="1504"/>
      <c r="R16" s="713"/>
      <c r="S16" s="714"/>
      <c r="T16" s="713"/>
      <c r="U16" s="714"/>
      <c r="V16" s="713"/>
      <c r="W16" s="714"/>
      <c r="X16" s="1507"/>
      <c r="Y16" s="3488"/>
      <c r="Z16" s="1508"/>
      <c r="AA16" s="1505">
        <v>1</v>
      </c>
      <c r="AB16" s="1505">
        <v>1</v>
      </c>
      <c r="AC16" s="1505">
        <v>1</v>
      </c>
    </row>
    <row r="17" spans="1:29" ht="82.8">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64"/>
      <c r="Q17" s="1504" t="str">
        <f>B17</f>
        <v>交通便捷度</v>
      </c>
      <c r="R17" s="713" t="s">
        <v>21</v>
      </c>
      <c r="S17" s="714">
        <f>F17</f>
        <v>100</v>
      </c>
      <c r="T17" s="713" t="s">
        <v>21</v>
      </c>
      <c r="U17" s="714">
        <f>H17</f>
        <v>100</v>
      </c>
      <c r="V17" s="713" t="s">
        <v>21</v>
      </c>
      <c r="W17" s="714">
        <f>J17</f>
        <v>100</v>
      </c>
      <c r="X17" s="1507"/>
      <c r="Y17" s="3488"/>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64"/>
      <c r="Q18" s="1504"/>
      <c r="R18" s="713"/>
      <c r="S18" s="714"/>
      <c r="T18" s="713"/>
      <c r="U18" s="714"/>
      <c r="V18" s="713"/>
      <c r="W18" s="714"/>
      <c r="X18" s="1507"/>
      <c r="Y18" s="3488"/>
      <c r="Z18" s="1508"/>
      <c r="AA18" s="1505">
        <v>1</v>
      </c>
      <c r="AB18" s="1505">
        <v>1</v>
      </c>
      <c r="AC18" s="1505">
        <v>1</v>
      </c>
    </row>
    <row r="19" spans="1:29" ht="41.4">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64"/>
      <c r="Q19" s="1504" t="str">
        <f>B19</f>
        <v>公共配套设施</v>
      </c>
      <c r="R19" s="713" t="s">
        <v>21</v>
      </c>
      <c r="S19" s="714">
        <f>F19</f>
        <v>100</v>
      </c>
      <c r="T19" s="713" t="s">
        <v>21</v>
      </c>
      <c r="U19" s="714">
        <f>H19</f>
        <v>100</v>
      </c>
      <c r="V19" s="713" t="s">
        <v>21</v>
      </c>
      <c r="W19" s="714">
        <f>J19</f>
        <v>100</v>
      </c>
      <c r="X19" s="1507"/>
      <c r="Y19" s="3488"/>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64"/>
      <c r="Q20" s="1504"/>
      <c r="R20" s="713"/>
      <c r="S20" s="714"/>
      <c r="T20" s="713"/>
      <c r="U20" s="714"/>
      <c r="V20" s="713"/>
      <c r="W20" s="714"/>
      <c r="X20" s="1507"/>
      <c r="Y20" s="3488"/>
      <c r="Z20" s="1508"/>
      <c r="AA20" s="1505">
        <v>1</v>
      </c>
      <c r="AB20" s="1505">
        <v>1</v>
      </c>
      <c r="AC20" s="1505">
        <v>1</v>
      </c>
    </row>
    <row r="21" spans="1:29" ht="27.6">
      <c r="A21" s="386"/>
      <c r="B21" s="1264"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64"/>
      <c r="Q21" s="1504" t="str">
        <f>B21</f>
        <v>基础设施水平</v>
      </c>
      <c r="R21" s="713" t="s">
        <v>17</v>
      </c>
      <c r="S21" s="714">
        <f>F21</f>
        <v>100</v>
      </c>
      <c r="T21" s="713" t="s">
        <v>17</v>
      </c>
      <c r="U21" s="714">
        <f>H21</f>
        <v>100</v>
      </c>
      <c r="V21" s="713" t="s">
        <v>17</v>
      </c>
      <c r="W21" s="714">
        <f>J21</f>
        <v>100</v>
      </c>
      <c r="X21" s="1507"/>
      <c r="Y21" s="348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6"/>
      <c r="G22" s="2058"/>
      <c r="H22" s="406"/>
      <c r="I22" s="405"/>
      <c r="J22" s="406"/>
      <c r="K22" s="2059"/>
      <c r="L22" s="2919"/>
      <c r="M22" s="2913"/>
      <c r="N22" s="2913"/>
      <c r="O22" s="2913"/>
      <c r="P22" s="3564"/>
      <c r="Q22" s="1504"/>
      <c r="R22" s="713"/>
      <c r="S22" s="714"/>
      <c r="T22" s="713"/>
      <c r="U22" s="714"/>
      <c r="V22" s="713"/>
      <c r="W22" s="714"/>
      <c r="X22" s="1507"/>
      <c r="Y22" s="3488"/>
      <c r="Z22" s="1508"/>
      <c r="AA22" s="1505">
        <v>1</v>
      </c>
      <c r="AB22" s="1505">
        <v>1</v>
      </c>
      <c r="AC22" s="1505">
        <v>1</v>
      </c>
    </row>
    <row r="23" spans="1:29" ht="55.2">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64"/>
      <c r="Q23" s="1504" t="str">
        <f>B23</f>
        <v>自然及人文环境</v>
      </c>
      <c r="R23" s="713" t="s">
        <v>21</v>
      </c>
      <c r="S23" s="714">
        <f>F23</f>
        <v>100</v>
      </c>
      <c r="T23" s="713" t="s">
        <v>21</v>
      </c>
      <c r="U23" s="714">
        <f>H23</f>
        <v>100</v>
      </c>
      <c r="V23" s="713" t="s">
        <v>21</v>
      </c>
      <c r="W23" s="714">
        <f>J23</f>
        <v>100</v>
      </c>
      <c r="X23" s="1507"/>
      <c r="Y23" s="3488"/>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64"/>
      <c r="Q24" s="1504"/>
      <c r="R24" s="713"/>
      <c r="S24" s="714"/>
      <c r="T24" s="713"/>
      <c r="U24" s="714"/>
      <c r="V24" s="713"/>
      <c r="W24" s="714"/>
      <c r="X24" s="1507"/>
      <c r="Y24" s="3488"/>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64"/>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88"/>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64"/>
      <c r="Q26" s="1504" t="str">
        <f t="shared" si="11"/>
        <v>朝向</v>
      </c>
      <c r="R26" s="713" t="s">
        <v>21</v>
      </c>
      <c r="S26" s="714">
        <f t="shared" si="12"/>
        <v>100</v>
      </c>
      <c r="T26" s="713" t="s">
        <v>21</v>
      </c>
      <c r="U26" s="714">
        <f t="shared" si="13"/>
        <v>100</v>
      </c>
      <c r="V26" s="713" t="s">
        <v>21</v>
      </c>
      <c r="W26" s="714">
        <f t="shared" si="14"/>
        <v>100</v>
      </c>
      <c r="X26" s="1507"/>
      <c r="Y26" s="3488"/>
      <c r="Z26" s="1508" t="str">
        <f>Q26</f>
        <v>朝向</v>
      </c>
      <c r="AA26" s="1505">
        <f t="shared" si="15"/>
        <v>1</v>
      </c>
      <c r="AB26" s="1505">
        <f t="shared" si="16"/>
        <v>1</v>
      </c>
      <c r="AC26" s="1505">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64"/>
      <c r="Q27" s="1495">
        <f t="shared" si="11"/>
        <v>111</v>
      </c>
      <c r="R27" s="709" t="s">
        <v>21</v>
      </c>
      <c r="S27" s="710">
        <f t="shared" si="12"/>
        <v>100</v>
      </c>
      <c r="T27" s="709" t="s">
        <v>21</v>
      </c>
      <c r="U27" s="710">
        <f t="shared" si="13"/>
        <v>100</v>
      </c>
      <c r="V27" s="709" t="s">
        <v>21</v>
      </c>
      <c r="W27" s="710">
        <f t="shared" si="14"/>
        <v>100</v>
      </c>
      <c r="X27" s="711"/>
      <c r="Y27" s="3488"/>
      <c r="Z27" s="54">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64"/>
      <c r="Q28" s="1504">
        <f t="shared" si="11"/>
        <v>111</v>
      </c>
      <c r="R28" s="713" t="s">
        <v>21</v>
      </c>
      <c r="S28" s="714">
        <f t="shared" si="12"/>
        <v>100</v>
      </c>
      <c r="T28" s="713" t="s">
        <v>21</v>
      </c>
      <c r="U28" s="714">
        <f t="shared" si="13"/>
        <v>100</v>
      </c>
      <c r="V28" s="713" t="s">
        <v>21</v>
      </c>
      <c r="W28" s="714">
        <f t="shared" si="14"/>
        <v>100</v>
      </c>
      <c r="X28" s="1507"/>
      <c r="Y28" s="3488"/>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64"/>
      <c r="Q29" s="1504">
        <f t="shared" si="11"/>
        <v>111</v>
      </c>
      <c r="R29" s="713" t="s">
        <v>21</v>
      </c>
      <c r="S29" s="714">
        <f t="shared" si="12"/>
        <v>100</v>
      </c>
      <c r="T29" s="713" t="s">
        <v>21</v>
      </c>
      <c r="U29" s="714">
        <f t="shared" si="13"/>
        <v>100</v>
      </c>
      <c r="V29" s="713" t="s">
        <v>21</v>
      </c>
      <c r="W29" s="714">
        <f t="shared" si="14"/>
        <v>100</v>
      </c>
      <c r="X29" s="1507"/>
      <c r="Y29" s="3488"/>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64"/>
      <c r="Q30" s="1504">
        <f t="shared" si="11"/>
        <v>111</v>
      </c>
      <c r="R30" s="713" t="s">
        <v>21</v>
      </c>
      <c r="S30" s="714">
        <f t="shared" si="12"/>
        <v>100</v>
      </c>
      <c r="T30" s="713" t="s">
        <v>21</v>
      </c>
      <c r="U30" s="714">
        <f t="shared" si="13"/>
        <v>100</v>
      </c>
      <c r="V30" s="713" t="s">
        <v>21</v>
      </c>
      <c r="W30" s="714">
        <f t="shared" si="14"/>
        <v>100</v>
      </c>
      <c r="X30" s="1507"/>
      <c r="Y30" s="3488"/>
      <c r="Z30" s="1508">
        <f t="shared" si="18"/>
        <v>111</v>
      </c>
      <c r="AA30" s="1505">
        <f t="shared" si="15"/>
        <v>1</v>
      </c>
      <c r="AB30" s="1505">
        <f t="shared" si="16"/>
        <v>1</v>
      </c>
      <c r="AC30" s="1505">
        <f t="shared" si="17"/>
        <v>1</v>
      </c>
    </row>
    <row r="31" spans="1:29" ht="15.6"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64"/>
      <c r="Q31" s="1504">
        <f t="shared" si="11"/>
        <v>111</v>
      </c>
      <c r="R31" s="713" t="s">
        <v>21</v>
      </c>
      <c r="S31" s="714">
        <f t="shared" si="12"/>
        <v>100</v>
      </c>
      <c r="T31" s="713" t="s">
        <v>21</v>
      </c>
      <c r="U31" s="714">
        <f t="shared" si="13"/>
        <v>100</v>
      </c>
      <c r="V31" s="713" t="s">
        <v>21</v>
      </c>
      <c r="W31" s="714">
        <f t="shared" si="14"/>
        <v>100</v>
      </c>
      <c r="X31" s="1507"/>
      <c r="Y31" s="3488"/>
      <c r="Z31" s="1508">
        <f t="shared" si="18"/>
        <v>111</v>
      </c>
      <c r="AA31" s="1505">
        <f t="shared" si="15"/>
        <v>1</v>
      </c>
      <c r="AB31" s="1505">
        <f t="shared" si="16"/>
        <v>1</v>
      </c>
      <c r="AC31" s="1505">
        <f t="shared" si="17"/>
        <v>1</v>
      </c>
    </row>
    <row r="32" spans="1:29" ht="15">
      <c r="A32" s="398" t="s">
        <v>2324</v>
      </c>
      <c r="B32" s="66"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59" t="s">
        <v>2326</v>
      </c>
      <c r="Q32" s="1504" t="str">
        <f t="shared" si="11"/>
        <v>建筑类型</v>
      </c>
      <c r="R32" s="713" t="s">
        <v>21</v>
      </c>
      <c r="S32" s="714">
        <f t="shared" si="12"/>
        <v>100</v>
      </c>
      <c r="T32" s="713" t="s">
        <v>21</v>
      </c>
      <c r="U32" s="714">
        <f t="shared" si="13"/>
        <v>100</v>
      </c>
      <c r="V32" s="713" t="s">
        <v>21</v>
      </c>
      <c r="W32" s="714">
        <f t="shared" si="14"/>
        <v>100</v>
      </c>
      <c r="X32" s="1507"/>
      <c r="Y32" s="3490"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60"/>
      <c r="Q33" s="715" t="str">
        <f t="shared" si="11"/>
        <v>项目建筑规模</v>
      </c>
      <c r="R33" s="716" t="s">
        <v>21</v>
      </c>
      <c r="S33" s="717" t="e">
        <f t="shared" si="12"/>
        <v>#N/A</v>
      </c>
      <c r="T33" s="716" t="s">
        <v>21</v>
      </c>
      <c r="U33" s="717" t="e">
        <f t="shared" si="13"/>
        <v>#N/A</v>
      </c>
      <c r="V33" s="716" t="s">
        <v>21</v>
      </c>
      <c r="W33" s="717" t="e">
        <f t="shared" si="14"/>
        <v>#N/A</v>
      </c>
      <c r="X33" s="718"/>
      <c r="Y33" s="3490"/>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60"/>
      <c r="Q34" s="1504" t="str">
        <f t="shared" si="11"/>
        <v>建筑结构</v>
      </c>
      <c r="R34" s="713" t="s">
        <v>21</v>
      </c>
      <c r="S34" s="714">
        <f t="shared" si="12"/>
        <v>100</v>
      </c>
      <c r="T34" s="713" t="s">
        <v>21</v>
      </c>
      <c r="U34" s="714">
        <f t="shared" si="13"/>
        <v>100</v>
      </c>
      <c r="V34" s="713" t="s">
        <v>21</v>
      </c>
      <c r="W34" s="714">
        <f t="shared" si="14"/>
        <v>100</v>
      </c>
      <c r="X34" s="1507"/>
      <c r="Y34" s="3490"/>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60"/>
      <c r="Q35" s="1504" t="str">
        <f t="shared" si="11"/>
        <v>建筑品质</v>
      </c>
      <c r="R35" s="713" t="s">
        <v>21</v>
      </c>
      <c r="S35" s="714">
        <f t="shared" si="12"/>
        <v>100</v>
      </c>
      <c r="T35" s="713" t="s">
        <v>21</v>
      </c>
      <c r="U35" s="714">
        <f t="shared" si="13"/>
        <v>100</v>
      </c>
      <c r="V35" s="713" t="s">
        <v>21</v>
      </c>
      <c r="W35" s="714">
        <f t="shared" si="14"/>
        <v>100</v>
      </c>
      <c r="X35" s="1507"/>
      <c r="Y35" s="3490"/>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60"/>
      <c r="Q36" s="1504" t="str">
        <f t="shared" si="11"/>
        <v>公共部分装修</v>
      </c>
      <c r="R36" s="713" t="s">
        <v>21</v>
      </c>
      <c r="S36" s="714">
        <f t="shared" si="12"/>
        <v>100</v>
      </c>
      <c r="T36" s="713" t="s">
        <v>21</v>
      </c>
      <c r="U36" s="714">
        <f t="shared" si="13"/>
        <v>100</v>
      </c>
      <c r="V36" s="713" t="s">
        <v>21</v>
      </c>
      <c r="W36" s="714">
        <f t="shared" si="14"/>
        <v>100</v>
      </c>
      <c r="X36" s="1507"/>
      <c r="Y36" s="3490"/>
      <c r="Z36" s="1508" t="str">
        <f t="shared" si="18"/>
        <v>公共部分装修</v>
      </c>
      <c r="AA36" s="1505">
        <f t="shared" si="15"/>
        <v>1</v>
      </c>
      <c r="AB36" s="1505">
        <f t="shared" si="16"/>
        <v>1</v>
      </c>
      <c r="AC36" s="1505">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60"/>
      <c r="Q37" s="1495" t="str">
        <f t="shared" si="11"/>
        <v>成新度</v>
      </c>
      <c r="R37" s="709" t="s">
        <v>21</v>
      </c>
      <c r="S37" s="710" t="e">
        <f t="shared" si="12"/>
        <v>#N/A</v>
      </c>
      <c r="T37" s="709" t="s">
        <v>21</v>
      </c>
      <c r="U37" s="710" t="e">
        <f t="shared" si="13"/>
        <v>#N/A</v>
      </c>
      <c r="V37" s="709" t="s">
        <v>21</v>
      </c>
      <c r="W37" s="710" t="e">
        <f t="shared" si="14"/>
        <v>#N/A</v>
      </c>
      <c r="X37" s="711"/>
      <c r="Y37" s="3490"/>
      <c r="Z37" s="54"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60" t="s">
        <v>2326</v>
      </c>
      <c r="Q38" s="1504" t="str">
        <f t="shared" si="11"/>
        <v>物业管理</v>
      </c>
      <c r="R38" s="713" t="s">
        <v>21</v>
      </c>
      <c r="S38" s="714">
        <f t="shared" si="12"/>
        <v>100</v>
      </c>
      <c r="T38" s="713" t="s">
        <v>21</v>
      </c>
      <c r="U38" s="714">
        <f t="shared" si="13"/>
        <v>100</v>
      </c>
      <c r="V38" s="713" t="s">
        <v>21</v>
      </c>
      <c r="W38" s="714">
        <f t="shared" si="14"/>
        <v>100</v>
      </c>
      <c r="X38" s="1507"/>
      <c r="Y38" s="3490"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60"/>
      <c r="Q39" s="1504" t="str">
        <f t="shared" si="11"/>
        <v>市政基础设施</v>
      </c>
      <c r="R39" s="713" t="s">
        <v>21</v>
      </c>
      <c r="S39" s="714">
        <f t="shared" si="12"/>
        <v>100</v>
      </c>
      <c r="T39" s="713" t="s">
        <v>21</v>
      </c>
      <c r="U39" s="714">
        <f t="shared" si="13"/>
        <v>100</v>
      </c>
      <c r="V39" s="713" t="s">
        <v>21</v>
      </c>
      <c r="W39" s="714">
        <f t="shared" si="14"/>
        <v>100</v>
      </c>
      <c r="X39" s="1507"/>
      <c r="Y39" s="3490"/>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60"/>
      <c r="Q40" s="1504" t="str">
        <f t="shared" si="11"/>
        <v>房型</v>
      </c>
      <c r="R40" s="713" t="s">
        <v>21</v>
      </c>
      <c r="S40" s="714">
        <f t="shared" si="12"/>
        <v>100</v>
      </c>
      <c r="T40" s="713" t="s">
        <v>21</v>
      </c>
      <c r="U40" s="714">
        <f t="shared" si="13"/>
        <v>100</v>
      </c>
      <c r="V40" s="713" t="s">
        <v>21</v>
      </c>
      <c r="W40" s="714">
        <f t="shared" si="14"/>
        <v>100</v>
      </c>
      <c r="X40" s="1507"/>
      <c r="Y40" s="3490"/>
      <c r="Z40" s="1508" t="str">
        <f t="shared" si="18"/>
        <v>房型</v>
      </c>
      <c r="AA40" s="1505">
        <f t="shared" si="15"/>
        <v>1</v>
      </c>
      <c r="AB40" s="1505">
        <f t="shared" si="16"/>
        <v>1</v>
      </c>
      <c r="AC40" s="1505">
        <f t="shared" si="17"/>
        <v>1</v>
      </c>
    </row>
    <row r="41" spans="1:29" s="429" customFormat="1" ht="28.8">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60"/>
      <c r="Q41" s="715" t="str">
        <f t="shared" si="11"/>
        <v>单套/主力户型建筑面积</v>
      </c>
      <c r="R41" s="716" t="s">
        <v>21</v>
      </c>
      <c r="S41" s="717">
        <f t="shared" si="12"/>
        <v>100</v>
      </c>
      <c r="T41" s="716" t="s">
        <v>21</v>
      </c>
      <c r="U41" s="717">
        <f t="shared" si="13"/>
        <v>100</v>
      </c>
      <c r="V41" s="716" t="s">
        <v>21</v>
      </c>
      <c r="W41" s="717">
        <f t="shared" si="14"/>
        <v>100</v>
      </c>
      <c r="X41" s="718"/>
      <c r="Y41" s="3490"/>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60"/>
      <c r="Q42" s="1504" t="str">
        <f t="shared" si="11"/>
        <v>内部装修</v>
      </c>
      <c r="R42" s="713" t="s">
        <v>21</v>
      </c>
      <c r="S42" s="714">
        <f t="shared" si="12"/>
        <v>100</v>
      </c>
      <c r="T42" s="713" t="s">
        <v>21</v>
      </c>
      <c r="U42" s="714">
        <f t="shared" si="13"/>
        <v>100</v>
      </c>
      <c r="V42" s="713" t="s">
        <v>21</v>
      </c>
      <c r="W42" s="714">
        <f t="shared" si="14"/>
        <v>100</v>
      </c>
      <c r="X42" s="1507"/>
      <c r="Y42" s="3490"/>
      <c r="Z42" s="1508" t="str">
        <f t="shared" si="18"/>
        <v>内部装修</v>
      </c>
      <c r="AA42" s="1505">
        <f t="shared" si="15"/>
        <v>1</v>
      </c>
      <c r="AB42" s="1505">
        <f t="shared" si="16"/>
        <v>1</v>
      </c>
      <c r="AC42" s="1505">
        <f t="shared" si="17"/>
        <v>1</v>
      </c>
    </row>
    <row r="43" spans="1:29" ht="28.8">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60"/>
      <c r="Q43" s="1504" t="str">
        <f t="shared" si="11"/>
        <v>内部装修维护情况</v>
      </c>
      <c r="R43" s="713" t="s">
        <v>21</v>
      </c>
      <c r="S43" s="714">
        <f t="shared" si="12"/>
        <v>100</v>
      </c>
      <c r="T43" s="713" t="s">
        <v>21</v>
      </c>
      <c r="U43" s="714">
        <f t="shared" si="13"/>
        <v>100</v>
      </c>
      <c r="V43" s="713" t="s">
        <v>21</v>
      </c>
      <c r="W43" s="714">
        <f t="shared" si="14"/>
        <v>100</v>
      </c>
      <c r="X43" s="1507"/>
      <c r="Y43" s="3490"/>
      <c r="Z43" s="1508" t="str">
        <f t="shared" si="18"/>
        <v>内部装修维护情况</v>
      </c>
      <c r="AA43" s="1505">
        <f t="shared" si="15"/>
        <v>1</v>
      </c>
      <c r="AB43" s="1505">
        <f t="shared" si="16"/>
        <v>1</v>
      </c>
      <c r="AC43" s="1505">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60"/>
      <c r="Q44" s="1495">
        <f t="shared" si="11"/>
        <v>111</v>
      </c>
      <c r="R44" s="709" t="s">
        <v>21</v>
      </c>
      <c r="S44" s="710">
        <f t="shared" si="12"/>
        <v>100</v>
      </c>
      <c r="T44" s="709" t="s">
        <v>21</v>
      </c>
      <c r="U44" s="710">
        <f t="shared" si="13"/>
        <v>100</v>
      </c>
      <c r="V44" s="709" t="s">
        <v>21</v>
      </c>
      <c r="W44" s="710">
        <f t="shared" si="14"/>
        <v>100</v>
      </c>
      <c r="X44" s="711"/>
      <c r="Y44" s="3490"/>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60"/>
      <c r="Q45" s="1504">
        <f t="shared" si="11"/>
        <v>111</v>
      </c>
      <c r="R45" s="713" t="s">
        <v>21</v>
      </c>
      <c r="S45" s="714">
        <f t="shared" si="12"/>
        <v>100</v>
      </c>
      <c r="T45" s="713" t="s">
        <v>21</v>
      </c>
      <c r="U45" s="714">
        <f t="shared" si="13"/>
        <v>100</v>
      </c>
      <c r="V45" s="713" t="s">
        <v>21</v>
      </c>
      <c r="W45" s="714">
        <f t="shared" si="14"/>
        <v>100</v>
      </c>
      <c r="X45" s="1507"/>
      <c r="Y45" s="3490"/>
      <c r="Z45" s="1508">
        <f t="shared" si="18"/>
        <v>111</v>
      </c>
      <c r="AA45" s="1505">
        <f t="shared" si="15"/>
        <v>1</v>
      </c>
      <c r="AB45" s="1505">
        <f t="shared" si="16"/>
        <v>1</v>
      </c>
      <c r="AC45" s="1505">
        <f t="shared" si="17"/>
        <v>1</v>
      </c>
    </row>
    <row r="46" spans="1:29" ht="15.6"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61"/>
      <c r="Q46" s="1504">
        <f t="shared" si="11"/>
        <v>111</v>
      </c>
      <c r="R46" s="713" t="s">
        <v>20</v>
      </c>
      <c r="S46" s="714">
        <f t="shared" si="12"/>
        <v>100</v>
      </c>
      <c r="T46" s="713" t="s">
        <v>20</v>
      </c>
      <c r="U46" s="714">
        <f t="shared" si="13"/>
        <v>100</v>
      </c>
      <c r="V46" s="713" t="s">
        <v>20</v>
      </c>
      <c r="W46" s="714">
        <f t="shared" si="14"/>
        <v>100</v>
      </c>
      <c r="X46" s="1507"/>
      <c r="Y46" s="3562"/>
      <c r="Z46" s="1508">
        <f t="shared" si="18"/>
        <v>111</v>
      </c>
      <c r="AA46" s="1505">
        <f t="shared" si="15"/>
        <v>1</v>
      </c>
      <c r="AB46" s="1505">
        <f t="shared" si="16"/>
        <v>1</v>
      </c>
      <c r="AC46" s="1505">
        <f t="shared" si="17"/>
        <v>1</v>
      </c>
    </row>
    <row r="47" spans="1:29" ht="14.4">
      <c r="A47" s="437" t="s">
        <v>2338</v>
      </c>
      <c r="B47" s="438"/>
      <c r="C47" s="1287" t="s">
        <v>19</v>
      </c>
      <c r="D47" s="1288"/>
      <c r="E47" s="1289"/>
      <c r="F47" s="1290"/>
      <c r="G47" s="1291"/>
      <c r="H47" s="1292"/>
      <c r="I47" s="1289"/>
      <c r="J47" s="1292"/>
      <c r="K47" s="2068"/>
      <c r="L47" s="2921"/>
      <c r="M47" s="2922"/>
      <c r="N47" s="2913"/>
      <c r="O47" s="2922"/>
      <c r="P47" s="3484" t="str">
        <f>A47</f>
        <v>成交单价（元/平方米）</v>
      </c>
      <c r="Q47" s="3484"/>
      <c r="R47" s="3558">
        <f>E47</f>
        <v>0</v>
      </c>
      <c r="S47" s="3558"/>
      <c r="T47" s="3558">
        <f>G47</f>
        <v>0</v>
      </c>
      <c r="U47" s="3558"/>
      <c r="V47" s="3558">
        <f>I47</f>
        <v>0</v>
      </c>
      <c r="W47" s="3558"/>
      <c r="X47" s="698"/>
      <c r="Y47" s="720"/>
      <c r="Z47" s="698"/>
      <c r="AA47" s="698"/>
      <c r="AB47" s="698"/>
      <c r="AC47" s="698"/>
    </row>
    <row r="48" spans="1:29" ht="15" thickBot="1">
      <c r="A48" s="444" t="s">
        <v>2339</v>
      </c>
      <c r="B48" s="445"/>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484" t="str">
        <f>A48</f>
        <v>比较价值（元/平方米）</v>
      </c>
      <c r="Q48" s="3484"/>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8"/>
      <c r="Y48" s="698"/>
      <c r="Z48" s="698"/>
      <c r="AA48" s="698"/>
      <c r="AB48" s="698"/>
      <c r="AC48" s="698"/>
    </row>
    <row r="49" spans="1:29" ht="15" thickBot="1">
      <c r="A49" s="448" t="s">
        <v>2340</v>
      </c>
      <c r="B49" s="449"/>
      <c r="C49" s="1295" t="e">
        <f>R49</f>
        <v>#DIV/0!</v>
      </c>
      <c r="D49" s="1296"/>
      <c r="E49" s="1296"/>
      <c r="F49" s="1296"/>
      <c r="G49" s="1296"/>
      <c r="H49" s="1296"/>
      <c r="I49" s="1296"/>
      <c r="J49" s="1296"/>
      <c r="K49" s="2069"/>
      <c r="L49" s="2921"/>
      <c r="M49" s="2922"/>
      <c r="N49" s="2922"/>
      <c r="O49" s="2922"/>
      <c r="P49" s="3481" t="str">
        <f>A49</f>
        <v>估价对象XX用房的比较价值（楼面单价，元/平方米）</v>
      </c>
      <c r="Q49" s="3482"/>
      <c r="R49" s="3557" t="e">
        <f>IF(F1="售价",ROUND(IF(D48="简单平均",AVERAGE(R48:V48),R48*F48+T48*H48+V48*J48),0),ROUND(IF(D48="简单平均",AVERAGE(R48:V48),R48*F48+T48*H48+V48*J48),1))</f>
        <v>#DIV/0!</v>
      </c>
      <c r="S49" s="3557"/>
      <c r="T49" s="3557"/>
      <c r="U49" s="3557"/>
      <c r="V49" s="3557"/>
      <c r="W49" s="3557"/>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2.2" thickBot="1">
      <c r="A57" s="702" t="s">
        <v>2344</v>
      </c>
      <c r="B57" s="698"/>
      <c r="C57" s="703"/>
      <c r="D57" s="703"/>
      <c r="E57" s="703"/>
      <c r="F57" s="704"/>
      <c r="G57" s="704"/>
      <c r="H57" s="703"/>
      <c r="I57" s="703"/>
      <c r="J57" s="703"/>
      <c r="K57" s="1071"/>
      <c r="L57" s="1072"/>
      <c r="M57" s="1070"/>
      <c r="N57" s="1070"/>
      <c r="O57" s="1070"/>
      <c r="P57" s="2072"/>
      <c r="Q57" s="460"/>
    </row>
    <row r="58" spans="1:29" s="464" customFormat="1" ht="14.4">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2" customFormat="1">
      <c r="A59" s="465"/>
      <c r="B59" s="2073"/>
      <c r="C59" s="1315">
        <v>100</v>
      </c>
      <c r="D59" s="467"/>
      <c r="E59" s="468"/>
      <c r="F59" s="468"/>
      <c r="G59" s="468"/>
      <c r="H59" s="468"/>
      <c r="I59" s="468"/>
      <c r="J59" s="468"/>
      <c r="K59" s="468"/>
      <c r="L59" s="468"/>
      <c r="M59" s="469"/>
      <c r="N59" s="468"/>
      <c r="O59" s="469"/>
      <c r="P59" s="2074"/>
    </row>
    <row r="60" spans="1:29" s="112" customFormat="1" ht="15" thickBot="1">
      <c r="A60" s="471" t="s">
        <v>2346</v>
      </c>
      <c r="B60" s="472"/>
      <c r="C60" s="473"/>
      <c r="D60" s="474"/>
      <c r="E60" s="474"/>
      <c r="F60" s="474"/>
      <c r="G60" s="474"/>
      <c r="H60" s="474"/>
      <c r="I60" s="474"/>
      <c r="J60" s="474"/>
      <c r="K60" s="474"/>
      <c r="L60" s="474"/>
      <c r="M60" s="475"/>
      <c r="N60" s="474"/>
      <c r="O60" s="475"/>
      <c r="P60" s="2074"/>
      <c r="Q60" s="460"/>
    </row>
    <row r="61" spans="1:29" s="112" customFormat="1" ht="14.4">
      <c r="A61" s="477" t="s">
        <v>2347</v>
      </c>
      <c r="B61" s="466"/>
      <c r="C61" s="478" t="s">
        <v>2348</v>
      </c>
      <c r="D61" s="479"/>
      <c r="E61" s="479"/>
      <c r="F61" s="479"/>
      <c r="G61" s="479"/>
      <c r="H61" s="479"/>
      <c r="I61" s="479"/>
      <c r="J61" s="479"/>
      <c r="K61" s="479"/>
      <c r="L61" s="480"/>
      <c r="M61" s="481"/>
      <c r="N61" s="1062"/>
      <c r="O61" s="1062"/>
      <c r="P61" s="2075"/>
      <c r="Q61" s="460"/>
    </row>
    <row r="62" spans="1:29" s="112" customFormat="1" ht="14.4" thickBot="1">
      <c r="A62" s="477"/>
      <c r="B62" s="466"/>
      <c r="C62" s="467">
        <v>100</v>
      </c>
      <c r="D62" s="468"/>
      <c r="E62" s="468"/>
      <c r="F62" s="468"/>
      <c r="G62" s="468"/>
      <c r="H62" s="468"/>
      <c r="I62" s="468"/>
      <c r="J62" s="468"/>
      <c r="K62" s="468"/>
      <c r="L62" s="468"/>
      <c r="M62" s="470"/>
      <c r="N62" s="1062"/>
      <c r="O62" s="1062"/>
      <c r="P62" s="2074"/>
      <c r="Q62" s="460"/>
    </row>
    <row r="63" spans="1:29" ht="14.4">
      <c r="A63" s="483" t="s">
        <v>2349</v>
      </c>
      <c r="B63" s="484" t="s">
        <v>2315</v>
      </c>
      <c r="C63" s="485">
        <f>C9</f>
        <v>0</v>
      </c>
      <c r="D63" s="486"/>
      <c r="E63" s="486"/>
      <c r="F63" s="486"/>
      <c r="G63" s="486"/>
      <c r="H63" s="486"/>
      <c r="I63" s="486"/>
      <c r="J63" s="486"/>
      <c r="K63" s="487"/>
      <c r="L63" s="488"/>
      <c r="M63" s="489"/>
      <c r="N63" s="1063"/>
      <c r="O63" s="1063"/>
      <c r="P63" s="2076"/>
      <c r="Q63" s="460"/>
    </row>
    <row r="64" spans="1:29" ht="14.4" thickBot="1">
      <c r="A64" s="490"/>
      <c r="B64" s="491"/>
      <c r="C64" s="492">
        <v>100</v>
      </c>
      <c r="D64" s="492"/>
      <c r="E64" s="492"/>
      <c r="F64" s="492"/>
      <c r="G64" s="492"/>
      <c r="H64" s="492"/>
      <c r="I64" s="492"/>
      <c r="J64" s="492"/>
      <c r="K64" s="492"/>
      <c r="L64" s="492"/>
      <c r="M64" s="493"/>
      <c r="N64" s="1064"/>
      <c r="O64" s="1064"/>
      <c r="P64" s="2076"/>
      <c r="Q64" s="460"/>
    </row>
    <row r="65" spans="1:17" ht="29.4"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c r="A68" s="490"/>
      <c r="B68" s="504"/>
      <c r="C68" s="505"/>
      <c r="D68" s="505"/>
      <c r="E68" s="505"/>
      <c r="F68" s="505"/>
      <c r="G68" s="505"/>
      <c r="H68" s="505"/>
      <c r="I68" s="505"/>
      <c r="J68" s="505"/>
      <c r="K68" s="506"/>
      <c r="L68" s="507"/>
      <c r="M68" s="508"/>
      <c r="N68" s="1063"/>
      <c r="O68" s="1063"/>
      <c r="P68" s="2076"/>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4.4" thickTop="1">
      <c r="A70" s="509"/>
      <c r="B70" s="494">
        <f>B12</f>
        <v>111</v>
      </c>
      <c r="C70" s="510"/>
      <c r="D70" s="510"/>
      <c r="E70" s="510"/>
      <c r="F70" s="510"/>
      <c r="G70" s="510"/>
      <c r="H70" s="511"/>
      <c r="I70" s="511"/>
      <c r="J70" s="511"/>
      <c r="K70" s="511"/>
      <c r="L70" s="512"/>
      <c r="M70" s="513"/>
      <c r="N70" s="1065"/>
      <c r="O70" s="1065"/>
      <c r="P70" s="2077"/>
      <c r="Q70" s="515"/>
    </row>
    <row r="71" spans="1:17" s="429" customFormat="1" ht="14.4" thickBot="1">
      <c r="A71" s="509"/>
      <c r="B71" s="499"/>
      <c r="C71" s="516"/>
      <c r="D71" s="492"/>
      <c r="E71" s="492"/>
      <c r="F71" s="492"/>
      <c r="G71" s="492"/>
      <c r="H71" s="492"/>
      <c r="I71" s="492"/>
      <c r="J71" s="492"/>
      <c r="K71" s="492"/>
      <c r="L71" s="492"/>
      <c r="M71" s="493"/>
      <c r="N71" s="1064"/>
      <c r="O71" s="1064"/>
      <c r="P71" s="2077"/>
      <c r="Q71" s="515"/>
    </row>
    <row r="72" spans="1:17" s="429" customFormat="1" ht="14.4" thickTop="1">
      <c r="A72" s="509"/>
      <c r="B72" s="494">
        <f>B13</f>
        <v>111</v>
      </c>
      <c r="C72" s="510"/>
      <c r="D72" s="510"/>
      <c r="E72" s="510"/>
      <c r="F72" s="510"/>
      <c r="G72" s="510"/>
      <c r="H72" s="511"/>
      <c r="I72" s="511"/>
      <c r="J72" s="511"/>
      <c r="K72" s="511"/>
      <c r="L72" s="512"/>
      <c r="M72" s="513"/>
      <c r="N72" s="1065"/>
      <c r="O72" s="1065"/>
      <c r="P72" s="2078"/>
      <c r="Q72" s="517"/>
    </row>
    <row r="73" spans="1:17" s="429" customFormat="1" ht="14.4" thickBot="1">
      <c r="A73" s="509"/>
      <c r="B73" s="499"/>
      <c r="C73" s="516"/>
      <c r="D73" s="516"/>
      <c r="E73" s="516"/>
      <c r="F73" s="516"/>
      <c r="G73" s="516"/>
      <c r="H73" s="518"/>
      <c r="I73" s="518"/>
      <c r="J73" s="518"/>
      <c r="K73" s="518"/>
      <c r="L73" s="518"/>
      <c r="M73" s="519"/>
      <c r="N73" s="1065"/>
      <c r="O73" s="1065"/>
      <c r="P73" s="2077"/>
      <c r="Q73" s="515"/>
    </row>
    <row r="74" spans="1:17" s="429" customFormat="1" ht="14.4" thickTop="1">
      <c r="A74" s="509"/>
      <c r="B74" s="502">
        <f>B14</f>
        <v>111</v>
      </c>
      <c r="C74" s="510"/>
      <c r="D74" s="510"/>
      <c r="E74" s="510"/>
      <c r="F74" s="510"/>
      <c r="G74" s="479"/>
      <c r="H74" s="520"/>
      <c r="I74" s="520"/>
      <c r="J74" s="520"/>
      <c r="K74" s="520"/>
      <c r="L74" s="521"/>
      <c r="M74" s="522"/>
      <c r="N74" s="1065"/>
      <c r="O74" s="1065"/>
      <c r="P74" s="2079"/>
      <c r="Q74" s="515"/>
    </row>
    <row r="75" spans="1:17" s="429" customFormat="1" ht="14.4" thickBot="1">
      <c r="A75" s="524"/>
      <c r="B75" s="525"/>
      <c r="C75" s="526"/>
      <c r="D75" s="526"/>
      <c r="E75" s="526"/>
      <c r="F75" s="526"/>
      <c r="G75" s="526"/>
      <c r="H75" s="527"/>
      <c r="I75" s="527"/>
      <c r="J75" s="527"/>
      <c r="K75" s="527"/>
      <c r="L75" s="527"/>
      <c r="M75" s="528"/>
      <c r="N75" s="1065"/>
      <c r="O75" s="1065"/>
      <c r="P75" s="2077"/>
      <c r="Q75" s="515"/>
    </row>
    <row r="76" spans="1:17" ht="14.4">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 thickTop="1">
      <c r="A82" s="490"/>
      <c r="B82" s="502" t="s">
        <v>1886</v>
      </c>
      <c r="C82" s="495" t="s">
        <v>2365</v>
      </c>
      <c r="D82" s="495" t="s">
        <v>2366</v>
      </c>
      <c r="E82" s="495" t="s">
        <v>2367</v>
      </c>
      <c r="F82" s="495" t="s">
        <v>2368</v>
      </c>
      <c r="G82" s="495" t="s">
        <v>2369</v>
      </c>
      <c r="H82" s="495"/>
      <c r="I82" s="495"/>
      <c r="J82" s="495"/>
      <c r="K82" s="495"/>
      <c r="L82" s="495"/>
      <c r="M82" s="1262"/>
      <c r="N82" s="1064"/>
      <c r="O82" s="1064"/>
      <c r="P82" s="2076"/>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2" customFormat="1" ht="15" thickTop="1">
      <c r="A86" s="535"/>
      <c r="B86" s="494" t="s">
        <v>2371</v>
      </c>
      <c r="C86" s="510"/>
      <c r="D86" s="510"/>
      <c r="E86" s="510"/>
      <c r="F86" s="510"/>
      <c r="G86" s="510"/>
      <c r="H86" s="510"/>
      <c r="I86" s="510"/>
      <c r="J86" s="510"/>
      <c r="K86" s="510"/>
      <c r="L86" s="536"/>
      <c r="M86" s="537"/>
      <c r="N86" s="1062"/>
      <c r="O86" s="1062"/>
      <c r="P86" s="2076"/>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2" customFormat="1" ht="15" thickTop="1">
      <c r="A88" s="535"/>
      <c r="B88" s="494" t="s">
        <v>2372</v>
      </c>
      <c r="C88" s="510"/>
      <c r="D88" s="510"/>
      <c r="E88" s="510"/>
      <c r="F88" s="2081"/>
      <c r="G88" s="510"/>
      <c r="H88" s="510"/>
      <c r="I88" s="510"/>
      <c r="J88" s="510"/>
      <c r="K88" s="510"/>
      <c r="L88" s="510"/>
      <c r="M88" s="537"/>
      <c r="N88" s="1062"/>
      <c r="O88" s="1062"/>
      <c r="P88" s="2076"/>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4.4" thickTop="1">
      <c r="A90" s="509"/>
      <c r="B90" s="494">
        <f>B27</f>
        <v>111</v>
      </c>
      <c r="C90" s="510"/>
      <c r="D90" s="510"/>
      <c r="E90" s="510"/>
      <c r="F90" s="510"/>
      <c r="G90" s="510"/>
      <c r="H90" s="511"/>
      <c r="I90" s="511"/>
      <c r="J90" s="511"/>
      <c r="K90" s="511"/>
      <c r="L90" s="512"/>
      <c r="M90" s="513"/>
      <c r="N90" s="1065"/>
      <c r="O90" s="1065"/>
      <c r="P90" s="2077"/>
      <c r="Q90" s="515"/>
    </row>
    <row r="91" spans="1:17" s="429" customFormat="1" ht="14.4" thickBot="1">
      <c r="A91" s="509"/>
      <c r="B91" s="499"/>
      <c r="C91" s="516"/>
      <c r="D91" s="516"/>
      <c r="E91" s="516"/>
      <c r="F91" s="516"/>
      <c r="G91" s="516"/>
      <c r="H91" s="518"/>
      <c r="I91" s="518"/>
      <c r="J91" s="518"/>
      <c r="K91" s="518"/>
      <c r="L91" s="518"/>
      <c r="M91" s="519"/>
      <c r="N91" s="1065"/>
      <c r="O91" s="1065"/>
      <c r="P91" s="2077"/>
      <c r="Q91" s="515"/>
    </row>
    <row r="92" spans="1:17" ht="14.4" thickTop="1">
      <c r="A92" s="490"/>
      <c r="B92" s="494">
        <f>B28</f>
        <v>111</v>
      </c>
      <c r="C92" s="510"/>
      <c r="D92" s="510"/>
      <c r="E92" s="510"/>
      <c r="F92" s="510"/>
      <c r="G92" s="539"/>
      <c r="H92" s="539"/>
      <c r="I92" s="539"/>
      <c r="J92" s="539"/>
      <c r="K92" s="540"/>
      <c r="L92" s="541"/>
      <c r="M92" s="542"/>
      <c r="N92" s="1063"/>
      <c r="O92" s="1063"/>
      <c r="P92" s="2076"/>
      <c r="Q92" s="460"/>
    </row>
    <row r="93" spans="1:17" ht="14.4" thickBot="1">
      <c r="A93" s="490"/>
      <c r="B93" s="499"/>
      <c r="C93" s="516"/>
      <c r="D93" s="492"/>
      <c r="E93" s="492"/>
      <c r="F93" s="492"/>
      <c r="G93" s="492"/>
      <c r="H93" s="492"/>
      <c r="I93" s="492"/>
      <c r="J93" s="492"/>
      <c r="K93" s="492"/>
      <c r="L93" s="492"/>
      <c r="M93" s="493"/>
      <c r="N93" s="1064"/>
      <c r="O93" s="1064"/>
      <c r="P93" s="2076"/>
      <c r="Q93" s="460"/>
    </row>
    <row r="94" spans="1:17" ht="14.4" thickTop="1">
      <c r="A94" s="490"/>
      <c r="B94" s="494">
        <f>B29</f>
        <v>111</v>
      </c>
      <c r="C94" s="510"/>
      <c r="D94" s="510"/>
      <c r="E94" s="510"/>
      <c r="F94" s="510"/>
      <c r="G94" s="539"/>
      <c r="H94" s="539"/>
      <c r="I94" s="539"/>
      <c r="J94" s="539"/>
      <c r="K94" s="540"/>
      <c r="L94" s="541"/>
      <c r="M94" s="542"/>
      <c r="N94" s="1063"/>
      <c r="O94" s="1063"/>
      <c r="P94" s="2076"/>
      <c r="Q94" s="460"/>
    </row>
    <row r="95" spans="1:17" ht="14.4" thickBot="1">
      <c r="A95" s="490"/>
      <c r="B95" s="499"/>
      <c r="C95" s="516"/>
      <c r="D95" s="516"/>
      <c r="E95" s="516"/>
      <c r="F95" s="516"/>
      <c r="G95" s="492"/>
      <c r="H95" s="492"/>
      <c r="I95" s="492"/>
      <c r="J95" s="492"/>
      <c r="K95" s="492"/>
      <c r="L95" s="492"/>
      <c r="M95" s="493"/>
      <c r="N95" s="1064"/>
      <c r="O95" s="1064"/>
      <c r="P95" s="2076"/>
      <c r="Q95" s="460"/>
    </row>
    <row r="96" spans="1:17" ht="14.4" thickTop="1">
      <c r="A96" s="490"/>
      <c r="B96" s="494">
        <f>B30</f>
        <v>111</v>
      </c>
      <c r="C96" s="510"/>
      <c r="D96" s="510"/>
      <c r="E96" s="510"/>
      <c r="F96" s="510"/>
      <c r="G96" s="539"/>
      <c r="H96" s="539"/>
      <c r="I96" s="539"/>
      <c r="J96" s="539"/>
      <c r="K96" s="540"/>
      <c r="L96" s="541"/>
      <c r="M96" s="542"/>
      <c r="N96" s="1063"/>
      <c r="O96" s="1063"/>
      <c r="P96" s="2076"/>
      <c r="Q96" s="460"/>
    </row>
    <row r="97" spans="1:17" ht="14.4" thickBot="1">
      <c r="A97" s="490"/>
      <c r="B97" s="499"/>
      <c r="C97" s="526"/>
      <c r="D97" s="526"/>
      <c r="E97" s="526"/>
      <c r="F97" s="526"/>
      <c r="G97" s="492"/>
      <c r="H97" s="492"/>
      <c r="I97" s="492"/>
      <c r="J97" s="492"/>
      <c r="K97" s="492"/>
      <c r="L97" s="492"/>
      <c r="M97" s="493"/>
      <c r="N97" s="1064"/>
      <c r="O97" s="1064"/>
      <c r="P97" s="2076"/>
      <c r="Q97" s="460"/>
    </row>
    <row r="98" spans="1:17" ht="14.4" thickTop="1">
      <c r="A98" s="490"/>
      <c r="B98" s="502">
        <f>B31</f>
        <v>111</v>
      </c>
      <c r="C98" s="543"/>
      <c r="D98" s="543"/>
      <c r="E98" s="543"/>
      <c r="F98" s="543"/>
      <c r="G98" s="543"/>
      <c r="H98" s="543"/>
      <c r="I98" s="543"/>
      <c r="J98" s="543"/>
      <c r="K98" s="544"/>
      <c r="L98" s="545"/>
      <c r="M98" s="546"/>
      <c r="N98" s="1063"/>
      <c r="O98" s="1063"/>
      <c r="P98" s="2076"/>
      <c r="Q98" s="460"/>
    </row>
    <row r="99" spans="1:17" ht="14.4" thickBot="1">
      <c r="A99" s="2082"/>
      <c r="B99" s="525"/>
      <c r="C99" s="547"/>
      <c r="D99" s="547"/>
      <c r="E99" s="547"/>
      <c r="F99" s="547"/>
      <c r="G99" s="547"/>
      <c r="H99" s="547"/>
      <c r="I99" s="547"/>
      <c r="J99" s="547"/>
      <c r="K99" s="547"/>
      <c r="L99" s="547"/>
      <c r="M99" s="548"/>
      <c r="N99" s="1064"/>
      <c r="O99" s="1064"/>
      <c r="P99" s="2076"/>
      <c r="Q99" s="460"/>
    </row>
    <row r="100" spans="1:17" ht="14.4">
      <c r="A100" s="483" t="s">
        <v>2324</v>
      </c>
      <c r="B100" s="484" t="s">
        <v>2373</v>
      </c>
      <c r="C100" s="486"/>
      <c r="D100" s="486"/>
      <c r="E100" s="486"/>
      <c r="F100" s="486"/>
      <c r="G100" s="486"/>
      <c r="H100" s="486"/>
      <c r="I100" s="486"/>
      <c r="J100" s="486"/>
      <c r="K100" s="487"/>
      <c r="L100" s="488"/>
      <c r="M100" s="489"/>
      <c r="N100" s="1063"/>
      <c r="O100" s="1063"/>
      <c r="P100" s="2076"/>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4.4"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9.4"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4.4"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29.4"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4.4"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4.4" thickBot="1">
      <c r="A127" s="509"/>
      <c r="B127" s="499"/>
      <c r="C127" s="516"/>
      <c r="D127" s="492"/>
      <c r="E127" s="492"/>
      <c r="F127" s="492"/>
      <c r="G127" s="516"/>
      <c r="H127" s="518"/>
      <c r="I127" s="518"/>
      <c r="J127" s="518"/>
      <c r="K127" s="518"/>
      <c r="L127" s="518"/>
      <c r="M127" s="519"/>
      <c r="N127" s="1065"/>
      <c r="O127" s="1065"/>
      <c r="P127" s="2077"/>
      <c r="Q127" s="515"/>
    </row>
    <row r="128" spans="1:17" ht="14.4" thickTop="1">
      <c r="A128" s="555"/>
      <c r="B128" s="494">
        <f>B45</f>
        <v>111</v>
      </c>
      <c r="C128" s="510"/>
      <c r="D128" s="510"/>
      <c r="E128" s="510"/>
      <c r="F128" s="510"/>
      <c r="G128" s="539"/>
      <c r="H128" s="539"/>
      <c r="I128" s="539"/>
      <c r="J128" s="539"/>
      <c r="K128" s="540"/>
      <c r="L128" s="541"/>
      <c r="M128" s="542"/>
      <c r="N128" s="1063"/>
      <c r="O128" s="1063"/>
      <c r="P128" s="2076"/>
      <c r="Q128" s="460"/>
    </row>
    <row r="129" spans="1:17" ht="14.4" thickBot="1">
      <c r="A129" s="490"/>
      <c r="B129" s="499"/>
      <c r="C129" s="516"/>
      <c r="D129" s="516"/>
      <c r="E129" s="516"/>
      <c r="F129" s="516"/>
      <c r="G129" s="492"/>
      <c r="H129" s="492"/>
      <c r="I129" s="492"/>
      <c r="J129" s="492"/>
      <c r="K129" s="492"/>
      <c r="L129" s="492"/>
      <c r="M129" s="493"/>
      <c r="N129" s="1064"/>
      <c r="O129" s="1064"/>
      <c r="P129" s="2076"/>
      <c r="Q129" s="460"/>
    </row>
    <row r="130" spans="1:17" ht="14.4" thickTop="1">
      <c r="A130" s="555"/>
      <c r="B130" s="502">
        <f>B46</f>
        <v>111</v>
      </c>
      <c r="C130" s="510"/>
      <c r="D130" s="510"/>
      <c r="E130" s="510"/>
      <c r="F130" s="510"/>
      <c r="G130" s="543"/>
      <c r="H130" s="543"/>
      <c r="I130" s="543"/>
      <c r="J130" s="543"/>
      <c r="K130" s="479"/>
      <c r="L130" s="480"/>
      <c r="M130" s="546"/>
      <c r="N130" s="1063"/>
      <c r="O130" s="1063"/>
      <c r="P130" s="2076"/>
      <c r="Q130" s="460"/>
    </row>
    <row r="131" spans="1:17" ht="14.4"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6.2"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ht="14.4">
      <c r="B147" s="2083" t="s">
        <v>2401</v>
      </c>
    </row>
    <row r="148" spans="2:11" ht="14.4">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4.4">
      <c r="A4" s="360" t="s">
        <v>2406</v>
      </c>
      <c r="B4" s="361"/>
      <c r="C4" s="3494" t="s">
        <v>2407</v>
      </c>
      <c r="D4" s="3495"/>
      <c r="E4" s="3496" t="s">
        <v>2408</v>
      </c>
      <c r="F4" s="3497"/>
      <c r="G4" s="3494" t="s">
        <v>2409</v>
      </c>
      <c r="H4" s="3495"/>
      <c r="I4" s="3494" t="s">
        <v>2410</v>
      </c>
      <c r="J4" s="3495"/>
      <c r="K4" s="566" t="s">
        <v>2411</v>
      </c>
      <c r="L4" s="2912"/>
      <c r="M4" s="2913"/>
      <c r="N4" s="2913"/>
      <c r="O4" s="2913"/>
      <c r="P4" s="3498" t="s">
        <v>2412</v>
      </c>
      <c r="Q4" s="3499"/>
      <c r="R4" s="3511" t="s">
        <v>2408</v>
      </c>
      <c r="S4" s="3512"/>
      <c r="T4" s="3511" t="s">
        <v>2409</v>
      </c>
      <c r="U4" s="3512"/>
      <c r="V4" s="3486" t="s">
        <v>2410</v>
      </c>
      <c r="W4" s="3486"/>
      <c r="X4" s="1507"/>
      <c r="Y4" s="3511" t="s">
        <v>2412</v>
      </c>
      <c r="Z4" s="3512"/>
      <c r="AA4" s="3491" t="s">
        <v>2408</v>
      </c>
      <c r="AB4" s="3486" t="s">
        <v>2409</v>
      </c>
      <c r="AC4" s="3491" t="s">
        <v>2410</v>
      </c>
    </row>
    <row r="5" spans="1:29">
      <c r="A5" s="363"/>
      <c r="B5" s="364"/>
      <c r="C5" s="3515" t="s">
        <v>2303</v>
      </c>
      <c r="D5" s="3516"/>
      <c r="E5" s="3504" t="s">
        <v>2304</v>
      </c>
      <c r="F5" s="3505"/>
      <c r="G5" s="3515" t="s">
        <v>2305</v>
      </c>
      <c r="H5" s="3516"/>
      <c r="I5" s="3515" t="s">
        <v>2306</v>
      </c>
      <c r="J5" s="3516"/>
      <c r="K5" s="566"/>
      <c r="L5" s="2912"/>
      <c r="M5" s="2913"/>
      <c r="N5" s="2913"/>
      <c r="O5" s="2913"/>
      <c r="P5" s="3500"/>
      <c r="Q5" s="3501"/>
      <c r="R5" s="3513"/>
      <c r="S5" s="3514"/>
      <c r="T5" s="3513"/>
      <c r="U5" s="3514"/>
      <c r="V5" s="3486"/>
      <c r="W5" s="3486"/>
      <c r="X5" s="1507"/>
      <c r="Y5" s="3513"/>
      <c r="Z5" s="3514"/>
      <c r="AA5" s="3492"/>
      <c r="AB5" s="3486"/>
      <c r="AC5" s="3492"/>
    </row>
    <row r="6" spans="1:29" ht="15" thickBot="1">
      <c r="A6" s="365"/>
      <c r="B6" s="366"/>
      <c r="C6" s="3553" t="s">
        <v>2307</v>
      </c>
      <c r="D6" s="3554"/>
      <c r="E6" s="3555" t="s">
        <v>2307</v>
      </c>
      <c r="F6" s="3556"/>
      <c r="G6" s="3553" t="s">
        <v>2307</v>
      </c>
      <c r="H6" s="3554"/>
      <c r="I6" s="3553" t="s">
        <v>2307</v>
      </c>
      <c r="J6" s="3554"/>
      <c r="K6" s="566" t="s">
        <v>2308</v>
      </c>
      <c r="L6" s="2912"/>
      <c r="M6" s="2913"/>
      <c r="N6" s="2913"/>
      <c r="O6" s="2913"/>
      <c r="P6" s="3502"/>
      <c r="Q6" s="3503"/>
      <c r="R6" s="3513"/>
      <c r="S6" s="3514"/>
      <c r="T6" s="3522"/>
      <c r="U6" s="3523"/>
      <c r="V6" s="3486"/>
      <c r="W6" s="3486"/>
      <c r="X6" s="1507"/>
      <c r="Y6" s="3522"/>
      <c r="Z6" s="3523"/>
      <c r="AA6" s="3493"/>
      <c r="AB6" s="3486"/>
      <c r="AC6" s="3493"/>
    </row>
    <row r="7" spans="1:29" s="112" customFormat="1" ht="1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567"/>
      <c r="L7" s="2914"/>
      <c r="M7" s="2915"/>
      <c r="N7" s="2915"/>
      <c r="O7" s="2915"/>
      <c r="P7" s="3506" t="s">
        <v>2310</v>
      </c>
      <c r="Q7" s="3519"/>
      <c r="R7" s="709" t="s">
        <v>17</v>
      </c>
      <c r="S7" s="710">
        <f t="shared" ref="S7:S15" si="0">F7</f>
        <v>0</v>
      </c>
      <c r="T7" s="709" t="s">
        <v>17</v>
      </c>
      <c r="U7" s="710">
        <f t="shared" ref="U7:U15" si="1">H7</f>
        <v>0</v>
      </c>
      <c r="V7" s="709" t="s">
        <v>17</v>
      </c>
      <c r="W7" s="710">
        <f t="shared" ref="W7:W15" si="2">J7</f>
        <v>0</v>
      </c>
      <c r="X7" s="711"/>
      <c r="Y7" s="3506" t="s">
        <v>2310</v>
      </c>
      <c r="Z7" s="3507"/>
      <c r="AA7" s="712" t="e">
        <f>D7/F7</f>
        <v>#DIV/0!</v>
      </c>
      <c r="AB7" s="712" t="e">
        <f>D7/H7</f>
        <v>#DIV/0!</v>
      </c>
      <c r="AC7" s="712" t="e">
        <f>D7/J7</f>
        <v>#DIV/0!</v>
      </c>
    </row>
    <row r="8" spans="1:29" s="112" customFormat="1" ht="1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506" t="s">
        <v>2313</v>
      </c>
      <c r="Q8" s="3507"/>
      <c r="R8" s="709" t="s">
        <v>17</v>
      </c>
      <c r="S8" s="710">
        <f t="shared" si="0"/>
        <v>0</v>
      </c>
      <c r="T8" s="709" t="s">
        <v>17</v>
      </c>
      <c r="U8" s="710">
        <f t="shared" si="1"/>
        <v>0</v>
      </c>
      <c r="V8" s="709" t="s">
        <v>17</v>
      </c>
      <c r="W8" s="710">
        <f t="shared" si="2"/>
        <v>0</v>
      </c>
      <c r="X8" s="711"/>
      <c r="Y8" s="3506" t="s">
        <v>2313</v>
      </c>
      <c r="Z8" s="3507"/>
      <c r="AA8" s="712" t="e">
        <f t="shared" ref="AA8:AA46" si="3">D8/F8</f>
        <v>#DIV/0!</v>
      </c>
      <c r="AB8" s="712" t="e">
        <f t="shared" ref="AB8:AB46" si="4">D8/H8</f>
        <v>#DIV/0!</v>
      </c>
      <c r="AC8" s="712" t="e">
        <f t="shared" ref="AC8:AC46" si="5">D8/J8</f>
        <v>#DIV/0!</v>
      </c>
    </row>
    <row r="9" spans="1:29" s="112" customFormat="1" ht="14.4">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509"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509"/>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509"/>
      <c r="Q11" s="1495" t="str">
        <f t="shared" si="6"/>
        <v>容积率</v>
      </c>
      <c r="R11" s="709" t="s">
        <v>17</v>
      </c>
      <c r="S11" s="710" t="e">
        <f t="shared" si="0"/>
        <v>#N/A</v>
      </c>
      <c r="T11" s="709" t="s">
        <v>17</v>
      </c>
      <c r="U11" s="710" t="e">
        <f t="shared" si="1"/>
        <v>#N/A</v>
      </c>
      <c r="V11" s="709" t="s">
        <v>17</v>
      </c>
      <c r="W11" s="710" t="e">
        <f t="shared" si="2"/>
        <v>#N/A</v>
      </c>
      <c r="X11" s="711"/>
      <c r="Y11" s="3428"/>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509"/>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509"/>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712">
        <f t="shared" si="5"/>
        <v>1</v>
      </c>
    </row>
    <row r="14" spans="1:29" ht="15.6"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509"/>
      <c r="Q14" s="1495">
        <f t="shared" si="6"/>
        <v>111</v>
      </c>
      <c r="R14" s="709" t="s">
        <v>17</v>
      </c>
      <c r="S14" s="710">
        <f t="shared" si="0"/>
        <v>100</v>
      </c>
      <c r="T14" s="709" t="s">
        <v>17</v>
      </c>
      <c r="U14" s="710">
        <f t="shared" si="1"/>
        <v>100</v>
      </c>
      <c r="V14" s="709" t="s">
        <v>17</v>
      </c>
      <c r="W14" s="710">
        <f t="shared" si="2"/>
        <v>100</v>
      </c>
      <c r="X14" s="711"/>
      <c r="Y14" s="3428"/>
      <c r="Z14" s="54">
        <f t="shared" si="7"/>
        <v>111</v>
      </c>
      <c r="AA14" s="712">
        <f t="shared" si="3"/>
        <v>1</v>
      </c>
      <c r="AB14" s="712">
        <f t="shared" si="4"/>
        <v>1</v>
      </c>
      <c r="AC14" s="712">
        <f t="shared" si="5"/>
        <v>1</v>
      </c>
    </row>
    <row r="15" spans="1:29" ht="69">
      <c r="A15" s="398" t="s">
        <v>2320</v>
      </c>
      <c r="B15" s="64"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63" t="s">
        <v>2321</v>
      </c>
      <c r="Q15" s="1504" t="str">
        <f t="shared" si="6"/>
        <v>商业繁华度</v>
      </c>
      <c r="R15" s="713" t="s">
        <v>17</v>
      </c>
      <c r="S15" s="714">
        <f t="shared" si="0"/>
        <v>100</v>
      </c>
      <c r="T15" s="713" t="s">
        <v>17</v>
      </c>
      <c r="U15" s="714">
        <f t="shared" si="1"/>
        <v>100</v>
      </c>
      <c r="V15" s="713" t="s">
        <v>17</v>
      </c>
      <c r="W15" s="714">
        <f t="shared" si="2"/>
        <v>100</v>
      </c>
      <c r="X15" s="1507"/>
      <c r="Y15" s="3487"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64"/>
      <c r="Q16" s="1504"/>
      <c r="R16" s="713"/>
      <c r="S16" s="714"/>
      <c r="T16" s="713"/>
      <c r="U16" s="714"/>
      <c r="V16" s="713"/>
      <c r="W16" s="714"/>
      <c r="X16" s="1507"/>
      <c r="Y16" s="3488"/>
      <c r="Z16" s="1508"/>
      <c r="AA16" s="1505">
        <v>1</v>
      </c>
      <c r="AB16" s="1505">
        <v>1</v>
      </c>
      <c r="AC16" s="1505">
        <v>1</v>
      </c>
    </row>
    <row r="17" spans="1:29" ht="82.8">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64"/>
      <c r="Q17" s="1504" t="str">
        <f>B17</f>
        <v>交通便捷度</v>
      </c>
      <c r="R17" s="713" t="s">
        <v>17</v>
      </c>
      <c r="S17" s="714">
        <f>F17</f>
        <v>100</v>
      </c>
      <c r="T17" s="713" t="s">
        <v>17</v>
      </c>
      <c r="U17" s="714">
        <f>H17</f>
        <v>100</v>
      </c>
      <c r="V17" s="713" t="s">
        <v>17</v>
      </c>
      <c r="W17" s="714">
        <f>J17</f>
        <v>100</v>
      </c>
      <c r="X17" s="1507"/>
      <c r="Y17" s="348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64"/>
      <c r="Q18" s="1504"/>
      <c r="R18" s="713"/>
      <c r="S18" s="714"/>
      <c r="T18" s="713"/>
      <c r="U18" s="714"/>
      <c r="V18" s="713"/>
      <c r="W18" s="714"/>
      <c r="X18" s="1507"/>
      <c r="Y18" s="3488"/>
      <c r="Z18" s="1508"/>
      <c r="AA18" s="1505">
        <v>1</v>
      </c>
      <c r="AB18" s="1505">
        <v>1</v>
      </c>
      <c r="AC18" s="1505">
        <v>1</v>
      </c>
    </row>
    <row r="19" spans="1:29" ht="41.4">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64"/>
      <c r="Q19" s="1504" t="str">
        <f>B19</f>
        <v>公共配套设施</v>
      </c>
      <c r="R19" s="713" t="s">
        <v>17</v>
      </c>
      <c r="S19" s="714">
        <f>F19</f>
        <v>100</v>
      </c>
      <c r="T19" s="713" t="s">
        <v>17</v>
      </c>
      <c r="U19" s="714">
        <f>H19</f>
        <v>100</v>
      </c>
      <c r="V19" s="713" t="s">
        <v>17</v>
      </c>
      <c r="W19" s="714">
        <f>J19</f>
        <v>100</v>
      </c>
      <c r="X19" s="1507"/>
      <c r="Y19" s="348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64"/>
      <c r="Q20" s="1504"/>
      <c r="R20" s="713"/>
      <c r="S20" s="714"/>
      <c r="T20" s="713"/>
      <c r="U20" s="714"/>
      <c r="V20" s="713"/>
      <c r="W20" s="714"/>
      <c r="X20" s="1507"/>
      <c r="Y20" s="3488"/>
      <c r="Z20" s="1508"/>
      <c r="AA20" s="1505">
        <v>1</v>
      </c>
      <c r="AB20" s="1505">
        <v>1</v>
      </c>
      <c r="AC20" s="1505">
        <v>1</v>
      </c>
    </row>
    <row r="21" spans="1:29" ht="27.6">
      <c r="A21" s="386"/>
      <c r="B21" s="1264"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64"/>
      <c r="Q21" s="1504" t="str">
        <f>B21</f>
        <v>基础设施水平</v>
      </c>
      <c r="R21" s="713" t="s">
        <v>17</v>
      </c>
      <c r="S21" s="714">
        <f>F21</f>
        <v>100</v>
      </c>
      <c r="T21" s="713" t="s">
        <v>17</v>
      </c>
      <c r="U21" s="714">
        <f>H21</f>
        <v>100</v>
      </c>
      <c r="V21" s="713" t="s">
        <v>17</v>
      </c>
      <c r="W21" s="714">
        <f>J21</f>
        <v>100</v>
      </c>
      <c r="X21" s="1507"/>
      <c r="Y21" s="348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9"/>
      <c r="M22" s="2913"/>
      <c r="N22" s="2913"/>
      <c r="O22" s="2913"/>
      <c r="P22" s="3564"/>
      <c r="Q22" s="1504"/>
      <c r="R22" s="713"/>
      <c r="S22" s="714"/>
      <c r="T22" s="713"/>
      <c r="U22" s="714"/>
      <c r="V22" s="713"/>
      <c r="W22" s="714"/>
      <c r="X22" s="1507"/>
      <c r="Y22" s="3488"/>
      <c r="Z22" s="1508"/>
      <c r="AA22" s="1505">
        <v>1</v>
      </c>
      <c r="AB22" s="1505">
        <v>1</v>
      </c>
      <c r="AC22" s="1505">
        <v>1</v>
      </c>
    </row>
    <row r="23" spans="1:29" ht="55.2">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64"/>
      <c r="Q23" s="1504" t="str">
        <f>B23</f>
        <v>自然及人文环境</v>
      </c>
      <c r="R23" s="713" t="s">
        <v>17</v>
      </c>
      <c r="S23" s="714">
        <f>F23</f>
        <v>100</v>
      </c>
      <c r="T23" s="713" t="s">
        <v>17</v>
      </c>
      <c r="U23" s="714">
        <f>H23</f>
        <v>100</v>
      </c>
      <c r="V23" s="713" t="s">
        <v>17</v>
      </c>
      <c r="W23" s="714">
        <f>J23</f>
        <v>100</v>
      </c>
      <c r="X23" s="1507"/>
      <c r="Y23" s="3488"/>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64"/>
      <c r="Q24" s="1504"/>
      <c r="R24" s="713"/>
      <c r="S24" s="714"/>
      <c r="T24" s="713"/>
      <c r="U24" s="714"/>
      <c r="V24" s="713"/>
      <c r="W24" s="714"/>
      <c r="X24" s="1507"/>
      <c r="Y24" s="3488"/>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64"/>
      <c r="Q25" s="1504" t="str">
        <f t="shared" ref="Q25:Q46" si="11">B25</f>
        <v>临街状况</v>
      </c>
      <c r="R25" s="713" t="s">
        <v>17</v>
      </c>
      <c r="S25" s="714">
        <f>F25</f>
        <v>100</v>
      </c>
      <c r="T25" s="713" t="s">
        <v>17</v>
      </c>
      <c r="U25" s="714">
        <f>H25</f>
        <v>100</v>
      </c>
      <c r="V25" s="713" t="s">
        <v>17</v>
      </c>
      <c r="W25" s="714">
        <f>J25</f>
        <v>100</v>
      </c>
      <c r="X25" s="1507"/>
      <c r="Y25" s="3488"/>
      <c r="Z25" s="1508" t="str">
        <f>Q25</f>
        <v>临街状况</v>
      </c>
      <c r="AA25" s="1505">
        <f t="shared" si="3"/>
        <v>1</v>
      </c>
      <c r="AB25" s="1505">
        <f t="shared" si="4"/>
        <v>1</v>
      </c>
      <c r="AC25" s="1505">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64"/>
      <c r="Q26" s="1504" t="str">
        <f t="shared" si="11"/>
        <v>平面位置/可视性</v>
      </c>
      <c r="R26" s="713" t="s">
        <v>17</v>
      </c>
      <c r="S26" s="714">
        <f>F26</f>
        <v>100</v>
      </c>
      <c r="T26" s="713" t="s">
        <v>17</v>
      </c>
      <c r="U26" s="714">
        <f>H26</f>
        <v>100</v>
      </c>
      <c r="V26" s="713" t="s">
        <v>17</v>
      </c>
      <c r="W26" s="714">
        <f>J26</f>
        <v>100</v>
      </c>
      <c r="X26" s="1507"/>
      <c r="Y26" s="3488"/>
      <c r="Z26" s="1508" t="str">
        <f>Q26</f>
        <v>平面位置/可视性</v>
      </c>
      <c r="AA26" s="1505">
        <f t="shared" si="3"/>
        <v>1</v>
      </c>
      <c r="AB26" s="1505">
        <f t="shared" si="4"/>
        <v>1</v>
      </c>
      <c r="AC26" s="1505">
        <f t="shared" si="5"/>
        <v>1</v>
      </c>
    </row>
    <row r="27" spans="1:29" s="112"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64"/>
      <c r="Q27" s="1495" t="str">
        <f t="shared" si="11"/>
        <v>人流量</v>
      </c>
      <c r="R27" s="709" t="s">
        <v>17</v>
      </c>
      <c r="S27" s="710">
        <f>F27</f>
        <v>100</v>
      </c>
      <c r="T27" s="709" t="s">
        <v>17</v>
      </c>
      <c r="U27" s="710">
        <f>H27</f>
        <v>100</v>
      </c>
      <c r="V27" s="709" t="s">
        <v>17</v>
      </c>
      <c r="W27" s="710">
        <f>J27</f>
        <v>100</v>
      </c>
      <c r="X27" s="711"/>
      <c r="Y27" s="3488"/>
      <c r="Z27" s="54"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64"/>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88"/>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64"/>
      <c r="Q29" s="1504">
        <f t="shared" si="11"/>
        <v>111</v>
      </c>
      <c r="R29" s="713" t="s">
        <v>17</v>
      </c>
      <c r="S29" s="714">
        <f t="shared" si="12"/>
        <v>100</v>
      </c>
      <c r="T29" s="713" t="s">
        <v>17</v>
      </c>
      <c r="U29" s="714">
        <f t="shared" si="13"/>
        <v>100</v>
      </c>
      <c r="V29" s="713" t="s">
        <v>17</v>
      </c>
      <c r="W29" s="714">
        <f t="shared" si="14"/>
        <v>100</v>
      </c>
      <c r="X29" s="1507"/>
      <c r="Y29" s="3488"/>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64"/>
      <c r="Q30" s="1504">
        <f t="shared" si="11"/>
        <v>111</v>
      </c>
      <c r="R30" s="713" t="s">
        <v>17</v>
      </c>
      <c r="S30" s="714">
        <f t="shared" si="12"/>
        <v>100</v>
      </c>
      <c r="T30" s="713" t="s">
        <v>17</v>
      </c>
      <c r="U30" s="714">
        <f t="shared" si="13"/>
        <v>100</v>
      </c>
      <c r="V30" s="713" t="s">
        <v>17</v>
      </c>
      <c r="W30" s="714">
        <f t="shared" si="14"/>
        <v>100</v>
      </c>
      <c r="X30" s="1507"/>
      <c r="Y30" s="3488"/>
      <c r="Z30" s="1508">
        <f t="shared" si="15"/>
        <v>111</v>
      </c>
      <c r="AA30" s="1505">
        <f t="shared" si="3"/>
        <v>1</v>
      </c>
      <c r="AB30" s="1505">
        <f t="shared" si="4"/>
        <v>1</v>
      </c>
      <c r="AC30" s="1505">
        <f t="shared" si="5"/>
        <v>1</v>
      </c>
    </row>
    <row r="31" spans="1:29" ht="15.6"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64"/>
      <c r="Q31" s="1504">
        <f t="shared" si="11"/>
        <v>111</v>
      </c>
      <c r="R31" s="713" t="s">
        <v>17</v>
      </c>
      <c r="S31" s="714">
        <f t="shared" si="12"/>
        <v>100</v>
      </c>
      <c r="T31" s="713" t="s">
        <v>17</v>
      </c>
      <c r="U31" s="714">
        <f t="shared" si="13"/>
        <v>100</v>
      </c>
      <c r="V31" s="713" t="s">
        <v>17</v>
      </c>
      <c r="W31" s="714">
        <f t="shared" si="14"/>
        <v>100</v>
      </c>
      <c r="X31" s="1507"/>
      <c r="Y31" s="3488"/>
      <c r="Z31" s="1508">
        <f t="shared" si="15"/>
        <v>111</v>
      </c>
      <c r="AA31" s="1505">
        <f t="shared" si="3"/>
        <v>1</v>
      </c>
      <c r="AB31" s="1505">
        <f t="shared" si="4"/>
        <v>1</v>
      </c>
      <c r="AC31" s="1505">
        <f t="shared" si="5"/>
        <v>1</v>
      </c>
    </row>
    <row r="32" spans="1:29" ht="15">
      <c r="A32" s="398" t="s">
        <v>2324</v>
      </c>
      <c r="B32" s="66"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59" t="s">
        <v>2326</v>
      </c>
      <c r="Q32" s="1504" t="str">
        <f t="shared" si="11"/>
        <v>商业类型</v>
      </c>
      <c r="R32" s="713" t="s">
        <v>17</v>
      </c>
      <c r="S32" s="714">
        <f t="shared" si="12"/>
        <v>100</v>
      </c>
      <c r="T32" s="713" t="s">
        <v>17</v>
      </c>
      <c r="U32" s="714">
        <f t="shared" si="13"/>
        <v>100</v>
      </c>
      <c r="V32" s="713" t="s">
        <v>17</v>
      </c>
      <c r="W32" s="714">
        <f t="shared" si="14"/>
        <v>100</v>
      </c>
      <c r="X32" s="1507"/>
      <c r="Y32" s="3490"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60"/>
      <c r="Q33" s="715" t="str">
        <f t="shared" si="11"/>
        <v>项目建筑规模</v>
      </c>
      <c r="R33" s="716" t="s">
        <v>17</v>
      </c>
      <c r="S33" s="717" t="e">
        <f t="shared" si="12"/>
        <v>#N/A</v>
      </c>
      <c r="T33" s="716" t="s">
        <v>17</v>
      </c>
      <c r="U33" s="717" t="e">
        <f t="shared" si="13"/>
        <v>#N/A</v>
      </c>
      <c r="V33" s="716" t="s">
        <v>17</v>
      </c>
      <c r="W33" s="717" t="e">
        <f t="shared" si="14"/>
        <v>#N/A</v>
      </c>
      <c r="X33" s="718"/>
      <c r="Y33" s="3490"/>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60"/>
      <c r="Q34" s="1504" t="str">
        <f t="shared" si="11"/>
        <v>建筑结构</v>
      </c>
      <c r="R34" s="713" t="s">
        <v>17</v>
      </c>
      <c r="S34" s="714">
        <f t="shared" si="12"/>
        <v>100</v>
      </c>
      <c r="T34" s="713" t="s">
        <v>17</v>
      </c>
      <c r="U34" s="714">
        <f t="shared" si="13"/>
        <v>100</v>
      </c>
      <c r="V34" s="713" t="s">
        <v>17</v>
      </c>
      <c r="W34" s="714">
        <f t="shared" si="14"/>
        <v>100</v>
      </c>
      <c r="X34" s="1507"/>
      <c r="Y34" s="3490"/>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60"/>
      <c r="Q35" s="1504" t="str">
        <f t="shared" si="11"/>
        <v>公共部分装修</v>
      </c>
      <c r="R35" s="713" t="s">
        <v>17</v>
      </c>
      <c r="S35" s="714">
        <f t="shared" si="12"/>
        <v>100</v>
      </c>
      <c r="T35" s="713" t="s">
        <v>17</v>
      </c>
      <c r="U35" s="714">
        <f t="shared" si="13"/>
        <v>100</v>
      </c>
      <c r="V35" s="713" t="s">
        <v>17</v>
      </c>
      <c r="W35" s="714">
        <f t="shared" si="14"/>
        <v>100</v>
      </c>
      <c r="X35" s="1507"/>
      <c r="Y35" s="3490"/>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60"/>
      <c r="Q36" s="1504" t="str">
        <f t="shared" si="11"/>
        <v>成新度</v>
      </c>
      <c r="R36" s="713" t="s">
        <v>17</v>
      </c>
      <c r="S36" s="714" t="e">
        <f t="shared" si="12"/>
        <v>#N/A</v>
      </c>
      <c r="T36" s="713" t="s">
        <v>17</v>
      </c>
      <c r="U36" s="714" t="e">
        <f t="shared" si="13"/>
        <v>#N/A</v>
      </c>
      <c r="V36" s="713" t="s">
        <v>17</v>
      </c>
      <c r="W36" s="714" t="e">
        <f t="shared" si="14"/>
        <v>#N/A</v>
      </c>
      <c r="X36" s="1507"/>
      <c r="Y36" s="3490"/>
      <c r="Z36" s="1508" t="str">
        <f t="shared" si="15"/>
        <v>成新度</v>
      </c>
      <c r="AA36" s="1505" t="e">
        <f t="shared" si="3"/>
        <v>#N/A</v>
      </c>
      <c r="AB36" s="1505" t="e">
        <f t="shared" si="4"/>
        <v>#N/A</v>
      </c>
      <c r="AC36" s="1505" t="e">
        <f t="shared" si="5"/>
        <v>#N/A</v>
      </c>
    </row>
    <row r="37" spans="1:29" s="112"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60"/>
      <c r="Q37" s="1495" t="str">
        <f t="shared" si="11"/>
        <v>市政基础设施</v>
      </c>
      <c r="R37" s="709" t="s">
        <v>17</v>
      </c>
      <c r="S37" s="710">
        <f t="shared" si="12"/>
        <v>100</v>
      </c>
      <c r="T37" s="709" t="s">
        <v>17</v>
      </c>
      <c r="U37" s="710">
        <f t="shared" si="13"/>
        <v>100</v>
      </c>
      <c r="V37" s="709" t="s">
        <v>17</v>
      </c>
      <c r="W37" s="710">
        <f t="shared" si="14"/>
        <v>100</v>
      </c>
      <c r="X37" s="711"/>
      <c r="Y37" s="3490"/>
      <c r="Z37" s="54"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60" t="s">
        <v>2326</v>
      </c>
      <c r="Q38" s="1504" t="str">
        <f t="shared" si="11"/>
        <v>业态</v>
      </c>
      <c r="R38" s="713" t="s">
        <v>17</v>
      </c>
      <c r="S38" s="714">
        <f t="shared" si="12"/>
        <v>100</v>
      </c>
      <c r="T38" s="713" t="s">
        <v>17</v>
      </c>
      <c r="U38" s="714">
        <f t="shared" si="13"/>
        <v>100</v>
      </c>
      <c r="V38" s="713" t="s">
        <v>17</v>
      </c>
      <c r="W38" s="714">
        <f t="shared" si="14"/>
        <v>100</v>
      </c>
      <c r="X38" s="1507"/>
      <c r="Y38" s="3490"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60"/>
      <c r="Q39" s="1504" t="str">
        <f t="shared" si="11"/>
        <v>层高</v>
      </c>
      <c r="R39" s="713" t="s">
        <v>17</v>
      </c>
      <c r="S39" s="714">
        <f t="shared" si="12"/>
        <v>100</v>
      </c>
      <c r="T39" s="713" t="s">
        <v>17</v>
      </c>
      <c r="U39" s="714">
        <f t="shared" si="13"/>
        <v>100</v>
      </c>
      <c r="V39" s="713" t="s">
        <v>17</v>
      </c>
      <c r="W39" s="714">
        <f t="shared" si="14"/>
        <v>100</v>
      </c>
      <c r="X39" s="1507"/>
      <c r="Y39" s="3490"/>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60"/>
      <c r="Q40" s="1504" t="str">
        <f t="shared" si="11"/>
        <v>单套建筑面积</v>
      </c>
      <c r="R40" s="713" t="s">
        <v>17</v>
      </c>
      <c r="S40" s="714">
        <f t="shared" si="12"/>
        <v>100</v>
      </c>
      <c r="T40" s="713" t="s">
        <v>17</v>
      </c>
      <c r="U40" s="714">
        <f t="shared" si="13"/>
        <v>100</v>
      </c>
      <c r="V40" s="713" t="s">
        <v>17</v>
      </c>
      <c r="W40" s="714">
        <f t="shared" si="14"/>
        <v>100</v>
      </c>
      <c r="X40" s="1507"/>
      <c r="Y40" s="3490"/>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60"/>
      <c r="Q41" s="715" t="str">
        <f t="shared" si="11"/>
        <v>进深比</v>
      </c>
      <c r="R41" s="716" t="s">
        <v>17</v>
      </c>
      <c r="S41" s="717">
        <f t="shared" si="12"/>
        <v>100</v>
      </c>
      <c r="T41" s="716" t="s">
        <v>17</v>
      </c>
      <c r="U41" s="717">
        <f t="shared" si="13"/>
        <v>100</v>
      </c>
      <c r="V41" s="716" t="s">
        <v>17</v>
      </c>
      <c r="W41" s="717">
        <f t="shared" si="14"/>
        <v>100</v>
      </c>
      <c r="X41" s="718"/>
      <c r="Y41" s="3490"/>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60"/>
      <c r="Q42" s="1504" t="str">
        <f t="shared" si="11"/>
        <v>内部装修</v>
      </c>
      <c r="R42" s="713" t="s">
        <v>17</v>
      </c>
      <c r="S42" s="714">
        <f t="shared" si="12"/>
        <v>100</v>
      </c>
      <c r="T42" s="713" t="s">
        <v>17</v>
      </c>
      <c r="U42" s="714">
        <f t="shared" si="13"/>
        <v>100</v>
      </c>
      <c r="V42" s="713" t="s">
        <v>17</v>
      </c>
      <c r="W42" s="714">
        <f t="shared" si="14"/>
        <v>100</v>
      </c>
      <c r="X42" s="1507"/>
      <c r="Y42" s="3490"/>
      <c r="Z42" s="1508" t="str">
        <f t="shared" si="15"/>
        <v>内部装修</v>
      </c>
      <c r="AA42" s="1505">
        <f t="shared" si="3"/>
        <v>1</v>
      </c>
      <c r="AB42" s="1505">
        <f t="shared" si="4"/>
        <v>1</v>
      </c>
      <c r="AC42" s="1505">
        <f t="shared" si="5"/>
        <v>1</v>
      </c>
    </row>
    <row r="43" spans="1:29" ht="28.8">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60"/>
      <c r="Q43" s="1504" t="str">
        <f t="shared" si="11"/>
        <v>内部装修维护情况</v>
      </c>
      <c r="R43" s="713" t="s">
        <v>17</v>
      </c>
      <c r="S43" s="714">
        <f t="shared" si="12"/>
        <v>100</v>
      </c>
      <c r="T43" s="713" t="s">
        <v>17</v>
      </c>
      <c r="U43" s="714">
        <f t="shared" si="13"/>
        <v>100</v>
      </c>
      <c r="V43" s="713" t="s">
        <v>17</v>
      </c>
      <c r="W43" s="714">
        <f t="shared" si="14"/>
        <v>100</v>
      </c>
      <c r="X43" s="1507"/>
      <c r="Y43" s="3490"/>
      <c r="Z43" s="1508" t="str">
        <f t="shared" si="15"/>
        <v>内部装修维护情况</v>
      </c>
      <c r="AA43" s="1505">
        <f t="shared" si="3"/>
        <v>1</v>
      </c>
      <c r="AB43" s="1505">
        <f t="shared" si="4"/>
        <v>1</v>
      </c>
      <c r="AC43" s="1505">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60"/>
      <c r="Q44" s="1495">
        <f t="shared" si="11"/>
        <v>111</v>
      </c>
      <c r="R44" s="709" t="s">
        <v>17</v>
      </c>
      <c r="S44" s="710">
        <f t="shared" si="12"/>
        <v>100</v>
      </c>
      <c r="T44" s="709" t="s">
        <v>17</v>
      </c>
      <c r="U44" s="710">
        <f t="shared" si="13"/>
        <v>100</v>
      </c>
      <c r="V44" s="709" t="s">
        <v>17</v>
      </c>
      <c r="W44" s="710">
        <f t="shared" si="14"/>
        <v>100</v>
      </c>
      <c r="X44" s="711"/>
      <c r="Y44" s="3490"/>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60"/>
      <c r="Q45" s="1504">
        <f t="shared" si="11"/>
        <v>111</v>
      </c>
      <c r="R45" s="713" t="s">
        <v>17</v>
      </c>
      <c r="S45" s="714">
        <f t="shared" si="12"/>
        <v>100</v>
      </c>
      <c r="T45" s="713" t="s">
        <v>17</v>
      </c>
      <c r="U45" s="714">
        <f t="shared" si="13"/>
        <v>100</v>
      </c>
      <c r="V45" s="713" t="s">
        <v>17</v>
      </c>
      <c r="W45" s="714">
        <f t="shared" si="14"/>
        <v>100</v>
      </c>
      <c r="X45" s="1507"/>
      <c r="Y45" s="3490"/>
      <c r="Z45" s="1508">
        <f t="shared" si="15"/>
        <v>111</v>
      </c>
      <c r="AA45" s="1505">
        <f t="shared" si="3"/>
        <v>1</v>
      </c>
      <c r="AB45" s="1505">
        <f t="shared" si="4"/>
        <v>1</v>
      </c>
      <c r="AC45" s="1505">
        <f t="shared" si="5"/>
        <v>1</v>
      </c>
    </row>
    <row r="46" spans="1:29" ht="15.6"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61"/>
      <c r="Q46" s="1504">
        <f t="shared" si="11"/>
        <v>111</v>
      </c>
      <c r="R46" s="713" t="s">
        <v>17</v>
      </c>
      <c r="S46" s="714">
        <f t="shared" si="12"/>
        <v>100</v>
      </c>
      <c r="T46" s="713" t="s">
        <v>17</v>
      </c>
      <c r="U46" s="714">
        <f t="shared" si="13"/>
        <v>100</v>
      </c>
      <c r="V46" s="713" t="s">
        <v>17</v>
      </c>
      <c r="W46" s="714">
        <f t="shared" si="14"/>
        <v>100</v>
      </c>
      <c r="X46" s="1507"/>
      <c r="Y46" s="3562"/>
      <c r="Z46" s="1508">
        <f t="shared" si="15"/>
        <v>111</v>
      </c>
      <c r="AA46" s="1505">
        <f t="shared" si="3"/>
        <v>1</v>
      </c>
      <c r="AB46" s="1505">
        <f t="shared" si="4"/>
        <v>1</v>
      </c>
      <c r="AC46" s="1505">
        <f t="shared" si="5"/>
        <v>1</v>
      </c>
    </row>
    <row r="47" spans="1:29" ht="14.4">
      <c r="A47" s="437" t="s">
        <v>2338</v>
      </c>
      <c r="B47" s="438"/>
      <c r="C47" s="1287" t="s">
        <v>1</v>
      </c>
      <c r="D47" s="1288"/>
      <c r="E47" s="1289"/>
      <c r="F47" s="1290"/>
      <c r="G47" s="1291"/>
      <c r="H47" s="1292"/>
      <c r="I47" s="1289"/>
      <c r="J47" s="1292"/>
      <c r="K47" s="722"/>
      <c r="L47" s="2921"/>
      <c r="M47" s="2922"/>
      <c r="N47" s="2913"/>
      <c r="O47" s="2922"/>
      <c r="P47" s="3484" t="str">
        <f>A47</f>
        <v>成交单价（元/平方米）</v>
      </c>
      <c r="Q47" s="3484"/>
      <c r="R47" s="3486">
        <f>E47</f>
        <v>0</v>
      </c>
      <c r="S47" s="3486"/>
      <c r="T47" s="3486">
        <f>G47</f>
        <v>0</v>
      </c>
      <c r="U47" s="3486"/>
      <c r="V47" s="3486">
        <f>I47</f>
        <v>0</v>
      </c>
      <c r="W47" s="3486"/>
      <c r="X47" s="698"/>
      <c r="Y47" s="720"/>
      <c r="Z47" s="698"/>
      <c r="AA47" s="698"/>
      <c r="AB47" s="698"/>
      <c r="AC47" s="698"/>
    </row>
    <row r="48" spans="1:29" ht="15" thickBot="1">
      <c r="A48" s="444" t="s">
        <v>2430</v>
      </c>
      <c r="B48" s="445"/>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484" t="str">
        <f>A48</f>
        <v>比较价值（元/平方米）</v>
      </c>
      <c r="Q48" s="3484"/>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8"/>
      <c r="Y48" s="698"/>
      <c r="Z48" s="698"/>
      <c r="AA48" s="698"/>
      <c r="AB48" s="698"/>
      <c r="AC48" s="698"/>
    </row>
    <row r="49" spans="1:29" ht="15" thickBot="1">
      <c r="A49" s="448" t="s">
        <v>2431</v>
      </c>
      <c r="B49" s="449"/>
      <c r="C49" s="1296" t="e">
        <f>R49</f>
        <v>#DIV/0!</v>
      </c>
      <c r="D49" s="1296"/>
      <c r="E49" s="1296"/>
      <c r="F49" s="1296"/>
      <c r="G49" s="1296"/>
      <c r="H49" s="1296"/>
      <c r="I49" s="1296"/>
      <c r="J49" s="1296"/>
      <c r="K49" s="723"/>
      <c r="L49" s="2921"/>
      <c r="M49" s="2922"/>
      <c r="N49" s="2913"/>
      <c r="O49" s="2922"/>
      <c r="P49" s="3481" t="str">
        <f>A49</f>
        <v>估价对象XX用房的比较价值（楼面单价，元/平方米）</v>
      </c>
      <c r="Q49" s="3482"/>
      <c r="R49" s="3557" t="e">
        <f>IF(F1="售价",ROUND(IF(D48="简单平均",AVERAGE(R48:V48),R48*F48+T48*H48+V48*J48),0),ROUND(IF(D48="简单平均",AVERAGE(R48:V48),R48*F48+T48*H48+V48*J48),1))</f>
        <v>#DIV/0!</v>
      </c>
      <c r="S49" s="3557"/>
      <c r="T49" s="3557"/>
      <c r="U49" s="3557"/>
      <c r="V49" s="3557"/>
      <c r="W49" s="3557"/>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4.4">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2" customFormat="1">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2" customFormat="1" ht="1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2" customFormat="1" ht="14.4">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2" customFormat="1" ht="14.4"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ht="14.4">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4.4"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9.4"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4.4"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4.4"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4.4"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4.4"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4.4"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4.4"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ht="14.4">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 thickTop="1">
      <c r="A82" s="490"/>
      <c r="B82" s="502" t="s">
        <v>2416</v>
      </c>
      <c r="C82" s="615" t="s">
        <v>2436</v>
      </c>
      <c r="D82" s="615" t="s">
        <v>2437</v>
      </c>
      <c r="E82" s="615" t="s">
        <v>2438</v>
      </c>
      <c r="F82" s="615" t="s">
        <v>2439</v>
      </c>
      <c r="G82" s="615" t="s">
        <v>2440</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2" customFormat="1" ht="1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2" customFormat="1" ht="14.4"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2" customFormat="1" ht="14.4"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4.4"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4.4"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4.4"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4.4"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4.4"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4.4"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4.4"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4.4"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ht="14.4">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4.4"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4.4"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4.4"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4.4"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4.4"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4.4"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4.4"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4.4"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4.4">
      <c r="A4" s="360" t="s">
        <v>2406</v>
      </c>
      <c r="B4" s="361"/>
      <c r="C4" s="3494" t="s">
        <v>2407</v>
      </c>
      <c r="D4" s="3495"/>
      <c r="E4" s="3496" t="s">
        <v>2408</v>
      </c>
      <c r="F4" s="3497"/>
      <c r="G4" s="3494" t="s">
        <v>2409</v>
      </c>
      <c r="H4" s="3495"/>
      <c r="I4" s="3494" t="s">
        <v>2410</v>
      </c>
      <c r="J4" s="3495"/>
      <c r="K4" s="566" t="s">
        <v>2411</v>
      </c>
      <c r="L4" s="2912"/>
      <c r="M4" s="2913"/>
      <c r="N4" s="2913"/>
      <c r="O4" s="2913"/>
      <c r="P4" s="3571" t="s">
        <v>2412</v>
      </c>
      <c r="Q4" s="3572"/>
      <c r="R4" s="3566" t="s">
        <v>2408</v>
      </c>
      <c r="S4" s="3567"/>
      <c r="T4" s="3566" t="s">
        <v>2409</v>
      </c>
      <c r="U4" s="3567"/>
      <c r="V4" s="3575" t="s">
        <v>2410</v>
      </c>
      <c r="W4" s="3575"/>
      <c r="X4" s="2112"/>
      <c r="Y4" s="3566" t="s">
        <v>2412</v>
      </c>
      <c r="Z4" s="3567"/>
      <c r="AA4" s="3565" t="s">
        <v>2408</v>
      </c>
      <c r="AB4" s="3565" t="s">
        <v>2409</v>
      </c>
      <c r="AC4" s="3568" t="s">
        <v>2410</v>
      </c>
    </row>
    <row r="5" spans="1:29">
      <c r="A5" s="363"/>
      <c r="B5" s="364"/>
      <c r="C5" s="3515" t="s">
        <v>2303</v>
      </c>
      <c r="D5" s="3516"/>
      <c r="E5" s="3504" t="s">
        <v>2304</v>
      </c>
      <c r="F5" s="3505"/>
      <c r="G5" s="3515" t="s">
        <v>2305</v>
      </c>
      <c r="H5" s="3516"/>
      <c r="I5" s="3515" t="s">
        <v>2306</v>
      </c>
      <c r="J5" s="3516"/>
      <c r="K5" s="566"/>
      <c r="L5" s="2912"/>
      <c r="M5" s="2913"/>
      <c r="N5" s="2913"/>
      <c r="O5" s="2913"/>
      <c r="P5" s="3573"/>
      <c r="Q5" s="3501"/>
      <c r="R5" s="3513"/>
      <c r="S5" s="3514"/>
      <c r="T5" s="3513"/>
      <c r="U5" s="3514"/>
      <c r="V5" s="3486"/>
      <c r="W5" s="3486"/>
      <c r="X5" s="1507"/>
      <c r="Y5" s="3513"/>
      <c r="Z5" s="3514"/>
      <c r="AA5" s="3492"/>
      <c r="AB5" s="3492"/>
      <c r="AC5" s="3569"/>
    </row>
    <row r="6" spans="1:29" ht="15" thickBot="1">
      <c r="A6" s="365"/>
      <c r="B6" s="366"/>
      <c r="C6" s="3553" t="s">
        <v>2307</v>
      </c>
      <c r="D6" s="3554"/>
      <c r="E6" s="3555" t="s">
        <v>2307</v>
      </c>
      <c r="F6" s="3556"/>
      <c r="G6" s="3553" t="s">
        <v>2307</v>
      </c>
      <c r="H6" s="3554"/>
      <c r="I6" s="3553" t="s">
        <v>2307</v>
      </c>
      <c r="J6" s="3554"/>
      <c r="K6" s="566" t="s">
        <v>2308</v>
      </c>
      <c r="L6" s="2912"/>
      <c r="M6" s="2913"/>
      <c r="N6" s="2913"/>
      <c r="O6" s="2913"/>
      <c r="P6" s="3574"/>
      <c r="Q6" s="3503"/>
      <c r="R6" s="3513"/>
      <c r="S6" s="3514"/>
      <c r="T6" s="3522"/>
      <c r="U6" s="3523"/>
      <c r="V6" s="3486"/>
      <c r="W6" s="3486"/>
      <c r="X6" s="1507"/>
      <c r="Y6" s="3522"/>
      <c r="Z6" s="3523"/>
      <c r="AA6" s="3493"/>
      <c r="AB6" s="3493"/>
      <c r="AC6" s="3570"/>
    </row>
    <row r="7" spans="1:29" s="112" customFormat="1" ht="15" thickBot="1">
      <c r="A7" s="367" t="s">
        <v>2309</v>
      </c>
      <c r="B7" s="368"/>
      <c r="C7" s="369">
        <f>'数据-取费表'!B2</f>
        <v>44567</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76" t="s">
        <v>2310</v>
      </c>
      <c r="Q7" s="3519"/>
      <c r="R7" s="709" t="s">
        <v>17</v>
      </c>
      <c r="S7" s="710">
        <f t="shared" ref="S7:S15" si="0">F7</f>
        <v>0</v>
      </c>
      <c r="T7" s="709" t="s">
        <v>17</v>
      </c>
      <c r="U7" s="710">
        <f t="shared" ref="U7:U15" si="1">H7</f>
        <v>0</v>
      </c>
      <c r="V7" s="709" t="s">
        <v>17</v>
      </c>
      <c r="W7" s="710">
        <f t="shared" ref="W7:W15" si="2">J7</f>
        <v>0</v>
      </c>
      <c r="X7" s="711"/>
      <c r="Y7" s="3506" t="s">
        <v>2310</v>
      </c>
      <c r="Z7" s="3507"/>
      <c r="AA7" s="712" t="e">
        <f>D7/F7</f>
        <v>#DIV/0!</v>
      </c>
      <c r="AB7" s="712" t="e">
        <f>D7/H7</f>
        <v>#DIV/0!</v>
      </c>
      <c r="AC7" s="2113" t="e">
        <f>D7/J7</f>
        <v>#DIV/0!</v>
      </c>
    </row>
    <row r="8" spans="1:29" s="112" customFormat="1" ht="1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76" t="s">
        <v>2313</v>
      </c>
      <c r="Q8" s="3507"/>
      <c r="R8" s="709" t="s">
        <v>17</v>
      </c>
      <c r="S8" s="710">
        <f t="shared" si="0"/>
        <v>0</v>
      </c>
      <c r="T8" s="709" t="s">
        <v>17</v>
      </c>
      <c r="U8" s="710">
        <f t="shared" si="1"/>
        <v>0</v>
      </c>
      <c r="V8" s="709" t="s">
        <v>17</v>
      </c>
      <c r="W8" s="710">
        <f t="shared" si="2"/>
        <v>0</v>
      </c>
      <c r="X8" s="711"/>
      <c r="Y8" s="3506" t="s">
        <v>2313</v>
      </c>
      <c r="Z8" s="3507"/>
      <c r="AA8" s="712" t="e">
        <f t="shared" ref="AA8:AA47" si="3">D8/F8</f>
        <v>#DIV/0!</v>
      </c>
      <c r="AB8" s="712" t="e">
        <f t="shared" ref="AB8:AB47" si="4">D8/H8</f>
        <v>#DIV/0!</v>
      </c>
      <c r="AC8" s="2113" t="e">
        <f t="shared" ref="AC8:AC47" si="5">D8/J8</f>
        <v>#DIV/0!</v>
      </c>
    </row>
    <row r="9" spans="1:29" s="112" customFormat="1" ht="14.4">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509"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2113">
        <f t="shared" si="5"/>
        <v>1</v>
      </c>
    </row>
    <row r="10" spans="1:29" s="385" customFormat="1" ht="28.8">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509"/>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509"/>
      <c r="Q11" s="1495" t="str">
        <f t="shared" si="6"/>
        <v>容积率</v>
      </c>
      <c r="R11" s="709" t="s">
        <v>17</v>
      </c>
      <c r="S11" s="710" t="e">
        <f t="shared" si="0"/>
        <v>#N/A</v>
      </c>
      <c r="T11" s="709" t="s">
        <v>17</v>
      </c>
      <c r="U11" s="710" t="e">
        <f t="shared" si="1"/>
        <v>#N/A</v>
      </c>
      <c r="V11" s="709" t="s">
        <v>17</v>
      </c>
      <c r="W11" s="710" t="e">
        <f t="shared" si="2"/>
        <v>#N/A</v>
      </c>
      <c r="X11" s="711"/>
      <c r="Y11" s="3428"/>
      <c r="Z11" s="54" t="str">
        <f t="shared" si="7"/>
        <v>容积率</v>
      </c>
      <c r="AA11" s="712" t="e">
        <f t="shared" si="3"/>
        <v>#N/A</v>
      </c>
      <c r="AB11" s="712" t="e">
        <f t="shared" si="4"/>
        <v>#N/A</v>
      </c>
      <c r="AC11" s="2113" t="e">
        <f t="shared" si="5"/>
        <v>#N/A</v>
      </c>
    </row>
    <row r="12" spans="1:29" s="112"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509"/>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509"/>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2113">
        <f t="shared" si="5"/>
        <v>1</v>
      </c>
    </row>
    <row r="14" spans="1:29" ht="15.6"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509"/>
      <c r="Q14" s="1495">
        <f t="shared" si="6"/>
        <v>111</v>
      </c>
      <c r="R14" s="709" t="s">
        <v>17</v>
      </c>
      <c r="S14" s="710">
        <f t="shared" si="0"/>
        <v>100</v>
      </c>
      <c r="T14" s="709" t="s">
        <v>17</v>
      </c>
      <c r="U14" s="710">
        <f t="shared" si="1"/>
        <v>100</v>
      </c>
      <c r="V14" s="709" t="s">
        <v>17</v>
      </c>
      <c r="W14" s="710">
        <f t="shared" si="2"/>
        <v>100</v>
      </c>
      <c r="X14" s="711"/>
      <c r="Y14" s="3428"/>
      <c r="Z14" s="54">
        <f t="shared" si="7"/>
        <v>111</v>
      </c>
      <c r="AA14" s="712">
        <f t="shared" si="3"/>
        <v>1</v>
      </c>
      <c r="AB14" s="712">
        <f t="shared" si="4"/>
        <v>1</v>
      </c>
      <c r="AC14" s="2113">
        <f t="shared" si="5"/>
        <v>1</v>
      </c>
    </row>
    <row r="15" spans="1:29" ht="69">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63" t="s">
        <v>2321</v>
      </c>
      <c r="Q15" s="1504" t="str">
        <f t="shared" si="6"/>
        <v>办公集聚程度</v>
      </c>
      <c r="R15" s="713" t="s">
        <v>17</v>
      </c>
      <c r="S15" s="714">
        <f t="shared" si="0"/>
        <v>100</v>
      </c>
      <c r="T15" s="713" t="s">
        <v>17</v>
      </c>
      <c r="U15" s="714">
        <f t="shared" si="1"/>
        <v>100</v>
      </c>
      <c r="V15" s="713" t="s">
        <v>17</v>
      </c>
      <c r="W15" s="714">
        <f t="shared" si="2"/>
        <v>100</v>
      </c>
      <c r="X15" s="1507"/>
      <c r="Y15" s="3487"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64"/>
      <c r="Q16" s="1504"/>
      <c r="R16" s="713"/>
      <c r="S16" s="714"/>
      <c r="T16" s="713"/>
      <c r="U16" s="714"/>
      <c r="V16" s="713"/>
      <c r="W16" s="714"/>
      <c r="X16" s="1507"/>
      <c r="Y16" s="3488"/>
      <c r="Z16" s="1508"/>
      <c r="AA16" s="1505">
        <v>1</v>
      </c>
      <c r="AB16" s="1505">
        <v>1</v>
      </c>
      <c r="AC16" s="2116">
        <v>1</v>
      </c>
    </row>
    <row r="17" spans="1:29" ht="82.8">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64"/>
      <c r="Q17" s="1504" t="str">
        <f>B17</f>
        <v>交通便捷度</v>
      </c>
      <c r="R17" s="713" t="s">
        <v>17</v>
      </c>
      <c r="S17" s="714">
        <f>F17</f>
        <v>100</v>
      </c>
      <c r="T17" s="713" t="s">
        <v>17</v>
      </c>
      <c r="U17" s="714">
        <f>H17</f>
        <v>100</v>
      </c>
      <c r="V17" s="713" t="s">
        <v>17</v>
      </c>
      <c r="W17" s="714">
        <f>J17</f>
        <v>100</v>
      </c>
      <c r="X17" s="1507"/>
      <c r="Y17" s="3488"/>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64"/>
      <c r="Q18" s="1504"/>
      <c r="R18" s="713"/>
      <c r="S18" s="714"/>
      <c r="T18" s="713"/>
      <c r="U18" s="714"/>
      <c r="V18" s="713"/>
      <c r="W18" s="714"/>
      <c r="X18" s="1507"/>
      <c r="Y18" s="3488"/>
      <c r="Z18" s="1508"/>
      <c r="AA18" s="1505">
        <v>1</v>
      </c>
      <c r="AB18" s="1505">
        <v>1</v>
      </c>
      <c r="AC18" s="2116">
        <v>1</v>
      </c>
    </row>
    <row r="19" spans="1:29" ht="41.4">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64"/>
      <c r="Q19" s="1504" t="str">
        <f>B19</f>
        <v>公共配套设施</v>
      </c>
      <c r="R19" s="713" t="s">
        <v>17</v>
      </c>
      <c r="S19" s="714">
        <f>F19</f>
        <v>100</v>
      </c>
      <c r="T19" s="713" t="s">
        <v>17</v>
      </c>
      <c r="U19" s="714">
        <f>H19</f>
        <v>100</v>
      </c>
      <c r="V19" s="713" t="s">
        <v>17</v>
      </c>
      <c r="W19" s="714">
        <f>J19</f>
        <v>100</v>
      </c>
      <c r="X19" s="1507"/>
      <c r="Y19" s="3488"/>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64"/>
      <c r="Q20" s="1504"/>
      <c r="R20" s="713"/>
      <c r="S20" s="714"/>
      <c r="T20" s="713"/>
      <c r="U20" s="714"/>
      <c r="V20" s="713"/>
      <c r="W20" s="714"/>
      <c r="X20" s="1507"/>
      <c r="Y20" s="3488"/>
      <c r="Z20" s="1508"/>
      <c r="AA20" s="1505">
        <v>1</v>
      </c>
      <c r="AB20" s="1505">
        <v>1</v>
      </c>
      <c r="AC20" s="2116">
        <v>1</v>
      </c>
    </row>
    <row r="21" spans="1:29" ht="27.6">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64"/>
      <c r="Q21" s="1504" t="str">
        <f>B21</f>
        <v>基础设施水平</v>
      </c>
      <c r="R21" s="713" t="s">
        <v>17</v>
      </c>
      <c r="S21" s="714">
        <f>F21</f>
        <v>100</v>
      </c>
      <c r="T21" s="713" t="s">
        <v>17</v>
      </c>
      <c r="U21" s="714">
        <f>H21</f>
        <v>100</v>
      </c>
      <c r="V21" s="713" t="s">
        <v>17</v>
      </c>
      <c r="W21" s="714">
        <f>J21</f>
        <v>100</v>
      </c>
      <c r="X21" s="1507"/>
      <c r="Y21" s="3488"/>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3"/>
      <c r="L22" s="2919"/>
      <c r="M22" s="2913"/>
      <c r="N22" s="2913"/>
      <c r="O22" s="2913"/>
      <c r="P22" s="3564"/>
      <c r="Q22" s="1504"/>
      <c r="R22" s="713"/>
      <c r="S22" s="714"/>
      <c r="T22" s="713"/>
      <c r="U22" s="714"/>
      <c r="V22" s="713"/>
      <c r="W22" s="714"/>
      <c r="X22" s="1507"/>
      <c r="Y22" s="3488"/>
      <c r="Z22" s="1508"/>
      <c r="AA22" s="1505">
        <v>1</v>
      </c>
      <c r="AB22" s="1505">
        <v>1</v>
      </c>
      <c r="AC22" s="2116">
        <v>1</v>
      </c>
    </row>
    <row r="23" spans="1:29" ht="55.2">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64"/>
      <c r="Q23" s="1504" t="str">
        <f>B23</f>
        <v>环境质量</v>
      </c>
      <c r="R23" s="713" t="s">
        <v>17</v>
      </c>
      <c r="S23" s="714">
        <f>F23</f>
        <v>100</v>
      </c>
      <c r="T23" s="713" t="s">
        <v>17</v>
      </c>
      <c r="U23" s="714">
        <f>H23</f>
        <v>100</v>
      </c>
      <c r="V23" s="713" t="s">
        <v>17</v>
      </c>
      <c r="W23" s="714">
        <f>J23</f>
        <v>100</v>
      </c>
      <c r="X23" s="1507"/>
      <c r="Y23" s="3488"/>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64"/>
      <c r="Q24" s="1504"/>
      <c r="R24" s="713"/>
      <c r="S24" s="714"/>
      <c r="T24" s="713"/>
      <c r="U24" s="714"/>
      <c r="V24" s="713"/>
      <c r="W24" s="714"/>
      <c r="X24" s="1507"/>
      <c r="Y24" s="3488"/>
      <c r="Z24" s="1508"/>
      <c r="AA24" s="1505">
        <v>1</v>
      </c>
      <c r="AB24" s="1505">
        <v>1</v>
      </c>
      <c r="AC24" s="2116">
        <v>1</v>
      </c>
    </row>
    <row r="25" spans="1:29" ht="28.8">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64"/>
      <c r="Q25" s="1504" t="str">
        <f>B25</f>
        <v>毗邻道路的类型与等级</v>
      </c>
      <c r="R25" s="713" t="s">
        <v>17</v>
      </c>
      <c r="S25" s="714">
        <f>F25</f>
        <v>100</v>
      </c>
      <c r="T25" s="713" t="s">
        <v>17</v>
      </c>
      <c r="U25" s="714">
        <f>H25</f>
        <v>100</v>
      </c>
      <c r="V25" s="713" t="s">
        <v>17</v>
      </c>
      <c r="W25" s="714">
        <f>J25</f>
        <v>100</v>
      </c>
      <c r="X25" s="1507"/>
      <c r="Y25" s="3488"/>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64"/>
      <c r="Q26" s="1504"/>
      <c r="R26" s="713"/>
      <c r="S26" s="714"/>
      <c r="T26" s="713"/>
      <c r="U26" s="714"/>
      <c r="V26" s="713"/>
      <c r="W26" s="714"/>
      <c r="X26" s="1507"/>
      <c r="Y26" s="3488"/>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64"/>
      <c r="Q27" s="1504" t="str">
        <f t="shared" ref="Q27:Q47" si="11">B27</f>
        <v>楼层</v>
      </c>
      <c r="R27" s="713" t="s">
        <v>17</v>
      </c>
      <c r="S27" s="714">
        <f>F27</f>
        <v>100</v>
      </c>
      <c r="T27" s="713" t="s">
        <v>17</v>
      </c>
      <c r="U27" s="714">
        <f>H27</f>
        <v>100</v>
      </c>
      <c r="V27" s="713" t="s">
        <v>17</v>
      </c>
      <c r="W27" s="714">
        <f>J27</f>
        <v>100</v>
      </c>
      <c r="X27" s="1507"/>
      <c r="Y27" s="3488"/>
      <c r="Z27" s="1508" t="str">
        <f>Q27</f>
        <v>楼层</v>
      </c>
      <c r="AA27" s="1505">
        <f t="shared" si="3"/>
        <v>1</v>
      </c>
      <c r="AB27" s="1505">
        <f t="shared" si="4"/>
        <v>1</v>
      </c>
      <c r="AC27" s="2116">
        <f t="shared" si="5"/>
        <v>1</v>
      </c>
    </row>
    <row r="28" spans="1:29" s="112"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64"/>
      <c r="Q28" s="1495" t="str">
        <f t="shared" si="11"/>
        <v>朝向</v>
      </c>
      <c r="R28" s="709" t="s">
        <v>17</v>
      </c>
      <c r="S28" s="710">
        <f>F28</f>
        <v>100</v>
      </c>
      <c r="T28" s="709" t="s">
        <v>17</v>
      </c>
      <c r="U28" s="710">
        <f>H28</f>
        <v>100</v>
      </c>
      <c r="V28" s="709" t="s">
        <v>17</v>
      </c>
      <c r="W28" s="710">
        <f>J28</f>
        <v>100</v>
      </c>
      <c r="X28" s="711"/>
      <c r="Y28" s="3488"/>
      <c r="Z28" s="54"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64"/>
      <c r="Q29" s="1504">
        <f t="shared" si="11"/>
        <v>111</v>
      </c>
      <c r="R29" s="713" t="s">
        <v>17</v>
      </c>
      <c r="S29" s="714">
        <f t="shared" ref="S29:S47" si="12">F29</f>
        <v>100</v>
      </c>
      <c r="T29" s="713" t="s">
        <v>17</v>
      </c>
      <c r="U29" s="714">
        <f t="shared" ref="U29:U47" si="13">H29</f>
        <v>100</v>
      </c>
      <c r="V29" s="713" t="s">
        <v>17</v>
      </c>
      <c r="W29" s="714">
        <f t="shared" ref="W29:W47" si="14">J29</f>
        <v>100</v>
      </c>
      <c r="X29" s="1507"/>
      <c r="Y29" s="3488"/>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64"/>
      <c r="Q30" s="1504">
        <f t="shared" si="11"/>
        <v>111</v>
      </c>
      <c r="R30" s="713" t="s">
        <v>17</v>
      </c>
      <c r="S30" s="714">
        <f t="shared" si="12"/>
        <v>100</v>
      </c>
      <c r="T30" s="713" t="s">
        <v>17</v>
      </c>
      <c r="U30" s="714">
        <f t="shared" si="13"/>
        <v>100</v>
      </c>
      <c r="V30" s="713" t="s">
        <v>17</v>
      </c>
      <c r="W30" s="714">
        <f t="shared" si="14"/>
        <v>100</v>
      </c>
      <c r="X30" s="1507"/>
      <c r="Y30" s="3488"/>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64"/>
      <c r="Q31" s="1504">
        <f t="shared" si="11"/>
        <v>111</v>
      </c>
      <c r="R31" s="713" t="s">
        <v>17</v>
      </c>
      <c r="S31" s="714">
        <f t="shared" si="12"/>
        <v>100</v>
      </c>
      <c r="T31" s="713" t="s">
        <v>17</v>
      </c>
      <c r="U31" s="714">
        <f t="shared" si="13"/>
        <v>100</v>
      </c>
      <c r="V31" s="713" t="s">
        <v>17</v>
      </c>
      <c r="W31" s="714">
        <f t="shared" si="14"/>
        <v>100</v>
      </c>
      <c r="X31" s="1507"/>
      <c r="Y31" s="3488"/>
      <c r="Z31" s="1508">
        <f t="shared" si="15"/>
        <v>111</v>
      </c>
      <c r="AA31" s="1505">
        <f t="shared" si="3"/>
        <v>1</v>
      </c>
      <c r="AB31" s="1505">
        <f t="shared" si="4"/>
        <v>1</v>
      </c>
      <c r="AC31" s="2116">
        <f t="shared" si="5"/>
        <v>1</v>
      </c>
    </row>
    <row r="32" spans="1:29" ht="15.6"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64"/>
      <c r="Q32" s="1504">
        <f t="shared" si="11"/>
        <v>111</v>
      </c>
      <c r="R32" s="713" t="s">
        <v>17</v>
      </c>
      <c r="S32" s="714">
        <f t="shared" si="12"/>
        <v>100</v>
      </c>
      <c r="T32" s="713" t="s">
        <v>17</v>
      </c>
      <c r="U32" s="714">
        <f t="shared" si="13"/>
        <v>100</v>
      </c>
      <c r="V32" s="713" t="s">
        <v>17</v>
      </c>
      <c r="W32" s="714">
        <f t="shared" si="14"/>
        <v>100</v>
      </c>
      <c r="X32" s="1507"/>
      <c r="Y32" s="3488"/>
      <c r="Z32" s="1508">
        <f t="shared" si="15"/>
        <v>111</v>
      </c>
      <c r="AA32" s="1505">
        <f t="shared" si="3"/>
        <v>1</v>
      </c>
      <c r="AB32" s="1505">
        <f t="shared" si="4"/>
        <v>1</v>
      </c>
      <c r="AC32" s="2116">
        <f t="shared" si="5"/>
        <v>1</v>
      </c>
    </row>
    <row r="33" spans="1:29" ht="15">
      <c r="A33" s="398" t="s">
        <v>2324</v>
      </c>
      <c r="B33" s="66"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59" t="s">
        <v>2326</v>
      </c>
      <c r="Q33" s="1504" t="str">
        <f t="shared" si="11"/>
        <v>建筑类型</v>
      </c>
      <c r="R33" s="713" t="s">
        <v>17</v>
      </c>
      <c r="S33" s="714">
        <f t="shared" si="12"/>
        <v>100</v>
      </c>
      <c r="T33" s="713" t="s">
        <v>17</v>
      </c>
      <c r="U33" s="714">
        <f t="shared" si="13"/>
        <v>100</v>
      </c>
      <c r="V33" s="713" t="s">
        <v>17</v>
      </c>
      <c r="W33" s="714">
        <f t="shared" si="14"/>
        <v>100</v>
      </c>
      <c r="X33" s="1507"/>
      <c r="Y33" s="3490"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60"/>
      <c r="Q34" s="715" t="str">
        <f t="shared" si="11"/>
        <v>项目建筑规模</v>
      </c>
      <c r="R34" s="716" t="s">
        <v>17</v>
      </c>
      <c r="S34" s="717" t="e">
        <f t="shared" si="12"/>
        <v>#N/A</v>
      </c>
      <c r="T34" s="716" t="s">
        <v>17</v>
      </c>
      <c r="U34" s="717" t="e">
        <f t="shared" si="13"/>
        <v>#N/A</v>
      </c>
      <c r="V34" s="716" t="s">
        <v>17</v>
      </c>
      <c r="W34" s="717" t="e">
        <f t="shared" si="14"/>
        <v>#N/A</v>
      </c>
      <c r="X34" s="718"/>
      <c r="Y34" s="3490"/>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60"/>
      <c r="Q35" s="1504" t="str">
        <f t="shared" si="11"/>
        <v>建筑结构</v>
      </c>
      <c r="R35" s="713" t="s">
        <v>17</v>
      </c>
      <c r="S35" s="714">
        <f t="shared" si="12"/>
        <v>100</v>
      </c>
      <c r="T35" s="713" t="s">
        <v>17</v>
      </c>
      <c r="U35" s="714">
        <f t="shared" si="13"/>
        <v>100</v>
      </c>
      <c r="V35" s="713" t="s">
        <v>17</v>
      </c>
      <c r="W35" s="714">
        <f t="shared" si="14"/>
        <v>100</v>
      </c>
      <c r="X35" s="1507"/>
      <c r="Y35" s="3490"/>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60"/>
      <c r="Q36" s="1504" t="str">
        <f t="shared" si="11"/>
        <v>公共部分装修</v>
      </c>
      <c r="R36" s="713" t="s">
        <v>17</v>
      </c>
      <c r="S36" s="714">
        <f t="shared" si="12"/>
        <v>100</v>
      </c>
      <c r="T36" s="713" t="s">
        <v>17</v>
      </c>
      <c r="U36" s="714">
        <f t="shared" si="13"/>
        <v>100</v>
      </c>
      <c r="V36" s="713" t="s">
        <v>17</v>
      </c>
      <c r="W36" s="714">
        <f t="shared" si="14"/>
        <v>100</v>
      </c>
      <c r="X36" s="1507"/>
      <c r="Y36" s="3490"/>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60"/>
      <c r="Q37" s="1504" t="str">
        <f t="shared" si="11"/>
        <v>成新度</v>
      </c>
      <c r="R37" s="713" t="s">
        <v>17</v>
      </c>
      <c r="S37" s="714" t="e">
        <f t="shared" si="12"/>
        <v>#N/A</v>
      </c>
      <c r="T37" s="713" t="s">
        <v>17</v>
      </c>
      <c r="U37" s="714" t="e">
        <f t="shared" si="13"/>
        <v>#N/A</v>
      </c>
      <c r="V37" s="713" t="s">
        <v>17</v>
      </c>
      <c r="W37" s="714" t="e">
        <f t="shared" si="14"/>
        <v>#N/A</v>
      </c>
      <c r="X37" s="1507"/>
      <c r="Y37" s="3490"/>
      <c r="Z37" s="1508" t="str">
        <f t="shared" si="15"/>
        <v>成新度</v>
      </c>
      <c r="AA37" s="1505" t="e">
        <f t="shared" si="3"/>
        <v>#N/A</v>
      </c>
      <c r="AB37" s="1505" t="e">
        <f t="shared" si="4"/>
        <v>#N/A</v>
      </c>
      <c r="AC37" s="2116"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60"/>
      <c r="Q38" s="1495" t="str">
        <f t="shared" si="11"/>
        <v>写字楼等级</v>
      </c>
      <c r="R38" s="709" t="s">
        <v>17</v>
      </c>
      <c r="S38" s="710">
        <f t="shared" si="12"/>
        <v>100</v>
      </c>
      <c r="T38" s="709" t="s">
        <v>17</v>
      </c>
      <c r="U38" s="710">
        <f t="shared" si="13"/>
        <v>100</v>
      </c>
      <c r="V38" s="709" t="s">
        <v>17</v>
      </c>
      <c r="W38" s="710">
        <f t="shared" si="14"/>
        <v>100</v>
      </c>
      <c r="X38" s="711"/>
      <c r="Y38" s="3490"/>
      <c r="Z38" s="54"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60" t="s">
        <v>2326</v>
      </c>
      <c r="Q39" s="1504" t="str">
        <f t="shared" si="11"/>
        <v>物业管理</v>
      </c>
      <c r="R39" s="713" t="s">
        <v>17</v>
      </c>
      <c r="S39" s="714">
        <f t="shared" si="12"/>
        <v>100</v>
      </c>
      <c r="T39" s="713" t="s">
        <v>17</v>
      </c>
      <c r="U39" s="714">
        <f t="shared" si="13"/>
        <v>100</v>
      </c>
      <c r="V39" s="713" t="s">
        <v>17</v>
      </c>
      <c r="W39" s="714">
        <f t="shared" si="14"/>
        <v>100</v>
      </c>
      <c r="X39" s="1507"/>
      <c r="Y39" s="3490"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60"/>
      <c r="Q40" s="1504" t="str">
        <f t="shared" si="11"/>
        <v>市政基础设施</v>
      </c>
      <c r="R40" s="713" t="s">
        <v>17</v>
      </c>
      <c r="S40" s="714">
        <f t="shared" si="12"/>
        <v>100</v>
      </c>
      <c r="T40" s="713" t="s">
        <v>17</v>
      </c>
      <c r="U40" s="714">
        <f t="shared" si="13"/>
        <v>100</v>
      </c>
      <c r="V40" s="713" t="s">
        <v>17</v>
      </c>
      <c r="W40" s="714">
        <f t="shared" si="14"/>
        <v>100</v>
      </c>
      <c r="X40" s="1507"/>
      <c r="Y40" s="3490"/>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60"/>
      <c r="Q41" s="1504" t="str">
        <f t="shared" si="11"/>
        <v>层高</v>
      </c>
      <c r="R41" s="713" t="s">
        <v>17</v>
      </c>
      <c r="S41" s="714">
        <f t="shared" si="12"/>
        <v>100</v>
      </c>
      <c r="T41" s="713" t="s">
        <v>17</v>
      </c>
      <c r="U41" s="714">
        <f t="shared" si="13"/>
        <v>100</v>
      </c>
      <c r="V41" s="713" t="s">
        <v>17</v>
      </c>
      <c r="W41" s="714">
        <f t="shared" si="14"/>
        <v>100</v>
      </c>
      <c r="X41" s="1507"/>
      <c r="Y41" s="3490"/>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60"/>
      <c r="Q42" s="715" t="str">
        <f t="shared" si="11"/>
        <v>单套建筑面积</v>
      </c>
      <c r="R42" s="716" t="s">
        <v>17</v>
      </c>
      <c r="S42" s="717">
        <f t="shared" si="12"/>
        <v>100</v>
      </c>
      <c r="T42" s="716" t="s">
        <v>17</v>
      </c>
      <c r="U42" s="717">
        <f t="shared" si="13"/>
        <v>100</v>
      </c>
      <c r="V42" s="716" t="s">
        <v>17</v>
      </c>
      <c r="W42" s="717">
        <f t="shared" si="14"/>
        <v>100</v>
      </c>
      <c r="X42" s="718"/>
      <c r="Y42" s="3490"/>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60"/>
      <c r="Q43" s="1504" t="str">
        <f t="shared" si="11"/>
        <v>内部装修</v>
      </c>
      <c r="R43" s="713" t="s">
        <v>17</v>
      </c>
      <c r="S43" s="714">
        <f t="shared" si="12"/>
        <v>100</v>
      </c>
      <c r="T43" s="713" t="s">
        <v>17</v>
      </c>
      <c r="U43" s="714">
        <f t="shared" si="13"/>
        <v>100</v>
      </c>
      <c r="V43" s="713" t="s">
        <v>17</v>
      </c>
      <c r="W43" s="714">
        <f t="shared" si="14"/>
        <v>100</v>
      </c>
      <c r="X43" s="1507"/>
      <c r="Y43" s="3490"/>
      <c r="Z43" s="1508" t="str">
        <f t="shared" si="15"/>
        <v>内部装修</v>
      </c>
      <c r="AA43" s="1505">
        <f t="shared" si="3"/>
        <v>1</v>
      </c>
      <c r="AB43" s="1505">
        <f t="shared" si="4"/>
        <v>1</v>
      </c>
      <c r="AC43" s="2116">
        <f t="shared" si="5"/>
        <v>1</v>
      </c>
    </row>
    <row r="44" spans="1:29" ht="28.8">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60"/>
      <c r="Q44" s="1504" t="str">
        <f t="shared" si="11"/>
        <v>内部装修维护情况</v>
      </c>
      <c r="R44" s="713" t="s">
        <v>17</v>
      </c>
      <c r="S44" s="714">
        <f t="shared" si="12"/>
        <v>100</v>
      </c>
      <c r="T44" s="713" t="s">
        <v>17</v>
      </c>
      <c r="U44" s="714">
        <f t="shared" si="13"/>
        <v>100</v>
      </c>
      <c r="V44" s="713" t="s">
        <v>17</v>
      </c>
      <c r="W44" s="714">
        <f t="shared" si="14"/>
        <v>100</v>
      </c>
      <c r="X44" s="1507"/>
      <c r="Y44" s="3490"/>
      <c r="Z44" s="1508" t="str">
        <f t="shared" si="15"/>
        <v>内部装修维护情况</v>
      </c>
      <c r="AA44" s="1505">
        <f t="shared" si="3"/>
        <v>1</v>
      </c>
      <c r="AB44" s="1505">
        <f t="shared" si="4"/>
        <v>1</v>
      </c>
      <c r="AC44" s="2116">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60"/>
      <c r="Q45" s="1495">
        <f t="shared" si="11"/>
        <v>111</v>
      </c>
      <c r="R45" s="709" t="s">
        <v>17</v>
      </c>
      <c r="S45" s="710">
        <f t="shared" si="12"/>
        <v>100</v>
      </c>
      <c r="T45" s="709" t="s">
        <v>17</v>
      </c>
      <c r="U45" s="710">
        <f t="shared" si="13"/>
        <v>100</v>
      </c>
      <c r="V45" s="709" t="s">
        <v>17</v>
      </c>
      <c r="W45" s="710">
        <f t="shared" si="14"/>
        <v>100</v>
      </c>
      <c r="X45" s="711"/>
      <c r="Y45" s="3490"/>
      <c r="Z45" s="54">
        <f t="shared" si="15"/>
        <v>111</v>
      </c>
      <c r="AA45" s="712">
        <f t="shared" si="3"/>
        <v>1</v>
      </c>
      <c r="AB45" s="712">
        <f t="shared" si="4"/>
        <v>1</v>
      </c>
      <c r="AC45" s="2113">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60"/>
      <c r="Q46" s="1504">
        <f t="shared" si="11"/>
        <v>111</v>
      </c>
      <c r="R46" s="713" t="s">
        <v>17</v>
      </c>
      <c r="S46" s="714">
        <f t="shared" si="12"/>
        <v>100</v>
      </c>
      <c r="T46" s="713" t="s">
        <v>17</v>
      </c>
      <c r="U46" s="714">
        <f t="shared" si="13"/>
        <v>100</v>
      </c>
      <c r="V46" s="713" t="s">
        <v>17</v>
      </c>
      <c r="W46" s="714">
        <f t="shared" si="14"/>
        <v>100</v>
      </c>
      <c r="X46" s="1507"/>
      <c r="Y46" s="3490"/>
      <c r="Z46" s="1508">
        <f t="shared" si="15"/>
        <v>111</v>
      </c>
      <c r="AA46" s="1505">
        <f t="shared" si="3"/>
        <v>1</v>
      </c>
      <c r="AB46" s="1505">
        <f t="shared" si="4"/>
        <v>1</v>
      </c>
      <c r="AC46" s="2116">
        <f t="shared" si="5"/>
        <v>1</v>
      </c>
    </row>
    <row r="47" spans="1:29" ht="15.6"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61"/>
      <c r="Q47" s="1504">
        <f t="shared" si="11"/>
        <v>111</v>
      </c>
      <c r="R47" s="713" t="s">
        <v>17</v>
      </c>
      <c r="S47" s="714">
        <f t="shared" si="12"/>
        <v>100</v>
      </c>
      <c r="T47" s="713" t="s">
        <v>17</v>
      </c>
      <c r="U47" s="714">
        <f t="shared" si="13"/>
        <v>100</v>
      </c>
      <c r="V47" s="713" t="s">
        <v>17</v>
      </c>
      <c r="W47" s="714">
        <f t="shared" si="14"/>
        <v>100</v>
      </c>
      <c r="X47" s="1507"/>
      <c r="Y47" s="3562"/>
      <c r="Z47" s="1508">
        <f t="shared" si="15"/>
        <v>111</v>
      </c>
      <c r="AA47" s="1505">
        <f t="shared" si="3"/>
        <v>1</v>
      </c>
      <c r="AB47" s="1505">
        <f t="shared" si="4"/>
        <v>1</v>
      </c>
      <c r="AC47" s="2116">
        <f t="shared" si="5"/>
        <v>1</v>
      </c>
    </row>
    <row r="48" spans="1:29" ht="14.4">
      <c r="A48" s="437" t="s">
        <v>2338</v>
      </c>
      <c r="B48" s="438"/>
      <c r="C48" s="1287" t="s">
        <v>1</v>
      </c>
      <c r="D48" s="1288"/>
      <c r="E48" s="1289"/>
      <c r="F48" s="1290"/>
      <c r="G48" s="1291"/>
      <c r="H48" s="1292"/>
      <c r="I48" s="1289"/>
      <c r="J48" s="443"/>
      <c r="K48" s="722"/>
      <c r="L48" s="2921"/>
      <c r="M48" s="2913"/>
      <c r="N48" s="2913"/>
      <c r="O48" s="2913"/>
      <c r="P48" s="3509" t="str">
        <f>A48</f>
        <v>成交单价（元/平方米）</v>
      </c>
      <c r="Q48" s="3484"/>
      <c r="R48" s="3558">
        <f>E48</f>
        <v>0</v>
      </c>
      <c r="S48" s="3558"/>
      <c r="T48" s="3558">
        <f>G48</f>
        <v>0</v>
      </c>
      <c r="U48" s="3558"/>
      <c r="V48" s="3558">
        <f>I48</f>
        <v>0</v>
      </c>
      <c r="W48" s="3558"/>
      <c r="X48" s="404"/>
      <c r="Y48" s="720"/>
      <c r="Z48" s="404"/>
      <c r="AA48" s="404"/>
      <c r="AB48" s="404"/>
      <c r="AC48" s="585"/>
    </row>
    <row r="49" spans="1:29" ht="15" thickBot="1">
      <c r="A49" s="444" t="s">
        <v>2430</v>
      </c>
      <c r="B49" s="445"/>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509" t="str">
        <f>A49</f>
        <v>比较价值（元/平方米）</v>
      </c>
      <c r="Q49" s="3484"/>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4"/>
      <c r="Y49" s="404"/>
      <c r="Z49" s="404"/>
      <c r="AA49" s="404"/>
      <c r="AB49" s="404"/>
      <c r="AC49" s="585"/>
    </row>
    <row r="50" spans="1:29" ht="15" thickBot="1">
      <c r="A50" s="448" t="s">
        <v>2431</v>
      </c>
      <c r="B50" s="449"/>
      <c r="C50" s="1296" t="e">
        <f>R50</f>
        <v>#DIV/0!</v>
      </c>
      <c r="D50" s="1296"/>
      <c r="E50" s="1296"/>
      <c r="F50" s="1296"/>
      <c r="G50" s="1296"/>
      <c r="H50" s="1296"/>
      <c r="I50" s="1296"/>
      <c r="J50" s="450"/>
      <c r="K50" s="723"/>
      <c r="L50" s="2921"/>
      <c r="M50" s="2913"/>
      <c r="N50" s="2913"/>
      <c r="O50" s="2913"/>
      <c r="P50" s="3577" t="str">
        <f>A50</f>
        <v>估价对象XX用房的比较价值（楼面单价，元/平方米）</v>
      </c>
      <c r="Q50" s="3578"/>
      <c r="R50" s="3579" t="e">
        <f>IF(F1="售价",ROUND(IF(D49="简单平均",AVERAGE(R49:V49),R49*F49+T49*H49+V49*J49),0),ROUND(IF(D49="简单平均",AVERAGE(R49:V49),R49*F49+T49*H49+V49*J49),1))</f>
        <v>#DIV/0!</v>
      </c>
      <c r="S50" s="3579"/>
      <c r="T50" s="3579"/>
      <c r="U50" s="3579"/>
      <c r="V50" s="3579"/>
      <c r="W50" s="3579"/>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4.4">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2" customFormat="1">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2" customFormat="1" ht="1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2" customFormat="1" ht="14.4">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2" customFormat="1" ht="14.4"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ht="14.4">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4.4"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9.4"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4.4"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4.4"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4.4"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4.4"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4.4"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4.4"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ht="14.4">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 thickTop="1">
      <c r="A83" s="490"/>
      <c r="B83" s="502" t="s">
        <v>2450</v>
      </c>
      <c r="C83" s="615" t="s">
        <v>2436</v>
      </c>
      <c r="D83" s="615" t="s">
        <v>2437</v>
      </c>
      <c r="E83" s="615" t="s">
        <v>2438</v>
      </c>
      <c r="F83" s="615" t="s">
        <v>2439</v>
      </c>
      <c r="G83" s="615" t="s">
        <v>2440</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2" customFormat="1" ht="29.4"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2" customFormat="1" ht="14.4"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4.4"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4.4"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4.4"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4.4"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4.4"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4.4"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4.4"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4.4"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ht="14.4">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4.4"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4.4"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4.4"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4.4"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4.4"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4.4"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4.4"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4.4"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24880.78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0" t="s">
        <v>2406</v>
      </c>
      <c r="B4" s="361"/>
      <c r="C4" s="3494" t="s">
        <v>2407</v>
      </c>
      <c r="D4" s="3495"/>
      <c r="E4" s="3496" t="s">
        <v>2408</v>
      </c>
      <c r="F4" s="3497"/>
      <c r="G4" s="3494" t="s">
        <v>2409</v>
      </c>
      <c r="H4" s="3495"/>
      <c r="I4" s="3494" t="s">
        <v>2410</v>
      </c>
      <c r="J4" s="3495"/>
      <c r="K4" s="566" t="s">
        <v>2411</v>
      </c>
      <c r="L4" s="1043"/>
      <c r="M4" s="1044"/>
      <c r="N4" s="1044"/>
      <c r="O4" s="1044"/>
      <c r="P4" s="3498" t="s">
        <v>2412</v>
      </c>
      <c r="Q4" s="3499"/>
      <c r="R4" s="3511" t="s">
        <v>2408</v>
      </c>
      <c r="S4" s="3512"/>
      <c r="T4" s="3511" t="s">
        <v>2409</v>
      </c>
      <c r="U4" s="3512"/>
      <c r="V4" s="3486" t="s">
        <v>2410</v>
      </c>
      <c r="W4" s="3486"/>
      <c r="X4" s="1507"/>
      <c r="Y4" s="3511" t="s">
        <v>2412</v>
      </c>
      <c r="Z4" s="3512"/>
      <c r="AA4" s="3491" t="s">
        <v>2408</v>
      </c>
      <c r="AB4" s="3492" t="s">
        <v>2409</v>
      </c>
      <c r="AC4" s="3491" t="s">
        <v>2410</v>
      </c>
    </row>
    <row r="5" spans="1:29">
      <c r="A5" s="363"/>
      <c r="B5" s="364"/>
      <c r="C5" s="3515" t="s">
        <v>2303</v>
      </c>
      <c r="D5" s="3516"/>
      <c r="E5" s="3504" t="s">
        <v>2304</v>
      </c>
      <c r="F5" s="3505"/>
      <c r="G5" s="3515" t="s">
        <v>2305</v>
      </c>
      <c r="H5" s="3516"/>
      <c r="I5" s="3515" t="s">
        <v>2306</v>
      </c>
      <c r="J5" s="3516"/>
      <c r="K5" s="566"/>
      <c r="L5" s="1043"/>
      <c r="M5" s="1044"/>
      <c r="N5" s="1044"/>
      <c r="O5" s="1044"/>
      <c r="P5" s="3500"/>
      <c r="Q5" s="3501"/>
      <c r="R5" s="3513"/>
      <c r="S5" s="3514"/>
      <c r="T5" s="3513"/>
      <c r="U5" s="3514"/>
      <c r="V5" s="3486"/>
      <c r="W5" s="3486"/>
      <c r="X5" s="1507"/>
      <c r="Y5" s="3513"/>
      <c r="Z5" s="3514"/>
      <c r="AA5" s="3492"/>
      <c r="AB5" s="3492"/>
      <c r="AC5" s="3492"/>
    </row>
    <row r="6" spans="1:29" ht="15" thickBot="1">
      <c r="A6" s="365"/>
      <c r="B6" s="366"/>
      <c r="C6" s="3553" t="s">
        <v>2307</v>
      </c>
      <c r="D6" s="3554"/>
      <c r="E6" s="3555" t="s">
        <v>2307</v>
      </c>
      <c r="F6" s="3556"/>
      <c r="G6" s="3553" t="s">
        <v>2307</v>
      </c>
      <c r="H6" s="3554"/>
      <c r="I6" s="3553" t="s">
        <v>2307</v>
      </c>
      <c r="J6" s="3554"/>
      <c r="K6" s="566" t="s">
        <v>2308</v>
      </c>
      <c r="L6" s="1043"/>
      <c r="M6" s="1044"/>
      <c r="N6" s="1044"/>
      <c r="O6" s="1044"/>
      <c r="P6" s="3502"/>
      <c r="Q6" s="3503"/>
      <c r="R6" s="3513"/>
      <c r="S6" s="3514"/>
      <c r="T6" s="3522"/>
      <c r="U6" s="3523"/>
      <c r="V6" s="3486"/>
      <c r="W6" s="3486"/>
      <c r="X6" s="1507"/>
      <c r="Y6" s="3522"/>
      <c r="Z6" s="3523"/>
      <c r="AA6" s="3493"/>
      <c r="AB6" s="3493"/>
      <c r="AC6" s="3493"/>
    </row>
    <row r="7" spans="1:29" s="112" customFormat="1" ht="15" thickBot="1">
      <c r="A7" s="367" t="s">
        <v>2309</v>
      </c>
      <c r="B7" s="368"/>
      <c r="C7" s="369">
        <f>'数据-取费表'!B2</f>
        <v>44567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06" t="s">
        <v>2310</v>
      </c>
      <c r="Q7" s="3519"/>
      <c r="R7" s="709" t="s">
        <v>17</v>
      </c>
      <c r="S7" s="710">
        <f t="shared" ref="S7:S15" si="0">F7</f>
        <v>0</v>
      </c>
      <c r="T7" s="709" t="s">
        <v>17</v>
      </c>
      <c r="U7" s="710">
        <f t="shared" ref="U7:U15" si="1">H7</f>
        <v>0</v>
      </c>
      <c r="V7" s="709" t="s">
        <v>17</v>
      </c>
      <c r="W7" s="710">
        <f t="shared" ref="W7:W15" si="2">J7</f>
        <v>0</v>
      </c>
      <c r="X7" s="711"/>
      <c r="Y7" s="3506" t="s">
        <v>2310</v>
      </c>
      <c r="Z7" s="3507"/>
      <c r="AA7" s="712" t="e">
        <f>D7/F7</f>
        <v>#DIV/0!</v>
      </c>
      <c r="AB7" s="712" t="e">
        <f>D7/H7</f>
        <v>#DIV/0!</v>
      </c>
      <c r="AC7" s="712" t="e">
        <f>D7/J7</f>
        <v>#DIV/0!</v>
      </c>
    </row>
    <row r="8" spans="1:29" s="112" customFormat="1" ht="1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06" t="s">
        <v>2313</v>
      </c>
      <c r="Q8" s="3507"/>
      <c r="R8" s="709" t="s">
        <v>17</v>
      </c>
      <c r="S8" s="710">
        <f t="shared" si="0"/>
        <v>0</v>
      </c>
      <c r="T8" s="709" t="s">
        <v>17</v>
      </c>
      <c r="U8" s="710">
        <f t="shared" si="1"/>
        <v>0</v>
      </c>
      <c r="V8" s="709" t="s">
        <v>17</v>
      </c>
      <c r="W8" s="710">
        <f t="shared" si="2"/>
        <v>0</v>
      </c>
      <c r="X8" s="711"/>
      <c r="Y8" s="3506" t="s">
        <v>2313</v>
      </c>
      <c r="Z8" s="3507"/>
      <c r="AA8" s="712" t="e">
        <f t="shared" ref="AA8:AA40" si="3">D8/F8</f>
        <v>#DIV/0!</v>
      </c>
      <c r="AB8" s="712" t="e">
        <f t="shared" ref="AB8:AB40" si="4">D8/H8</f>
        <v>#DIV/0!</v>
      </c>
      <c r="AC8" s="712" t="e">
        <f t="shared" ref="AC8:AC40" si="5">D8/J8</f>
        <v>#DIV/0!</v>
      </c>
    </row>
    <row r="9" spans="1:29" s="112" customFormat="1" ht="14.4">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84"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84"/>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84"/>
      <c r="Q11" s="1495" t="str">
        <f t="shared" si="6"/>
        <v>容积率</v>
      </c>
      <c r="R11" s="709" t="s">
        <v>17</v>
      </c>
      <c r="S11" s="710" t="e">
        <f t="shared" si="0"/>
        <v>#N/A</v>
      </c>
      <c r="T11" s="709" t="s">
        <v>17</v>
      </c>
      <c r="U11" s="710" t="e">
        <f t="shared" si="1"/>
        <v>#N/A</v>
      </c>
      <c r="V11" s="709" t="s">
        <v>17</v>
      </c>
      <c r="W11" s="710" t="e">
        <f t="shared" si="2"/>
        <v>#N/A</v>
      </c>
      <c r="X11" s="711"/>
      <c r="Y11" s="3428"/>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84"/>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84"/>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712">
        <f t="shared" si="5"/>
        <v>1</v>
      </c>
    </row>
    <row r="14" spans="1:29" ht="15.6"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84"/>
      <c r="Q14" s="1495">
        <f t="shared" si="6"/>
        <v>111</v>
      </c>
      <c r="R14" s="709" t="s">
        <v>17</v>
      </c>
      <c r="S14" s="710">
        <f t="shared" si="0"/>
        <v>100</v>
      </c>
      <c r="T14" s="709" t="s">
        <v>17</v>
      </c>
      <c r="U14" s="710">
        <f t="shared" si="1"/>
        <v>100</v>
      </c>
      <c r="V14" s="709" t="s">
        <v>17</v>
      </c>
      <c r="W14" s="710">
        <f t="shared" si="2"/>
        <v>100</v>
      </c>
      <c r="X14" s="711"/>
      <c r="Y14" s="3428"/>
      <c r="Z14" s="54">
        <f t="shared" si="7"/>
        <v>111</v>
      </c>
      <c r="AA14" s="712">
        <f t="shared" si="3"/>
        <v>1</v>
      </c>
      <c r="AB14" s="712">
        <f t="shared" si="4"/>
        <v>1</v>
      </c>
      <c r="AC14" s="712">
        <f t="shared" si="5"/>
        <v>1</v>
      </c>
    </row>
    <row r="15" spans="1:29" ht="69">
      <c r="A15" s="398" t="s">
        <v>2320</v>
      </c>
      <c r="B15" s="64"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87" t="s">
        <v>2321</v>
      </c>
      <c r="Q15" s="1504" t="str">
        <f t="shared" si="6"/>
        <v>产业集聚程度</v>
      </c>
      <c r="R15" s="713" t="s">
        <v>17</v>
      </c>
      <c r="S15" s="714">
        <f t="shared" si="0"/>
        <v>100</v>
      </c>
      <c r="T15" s="713" t="s">
        <v>17</v>
      </c>
      <c r="U15" s="714">
        <f t="shared" si="1"/>
        <v>100</v>
      </c>
      <c r="V15" s="713" t="s">
        <v>17</v>
      </c>
      <c r="W15" s="714">
        <f t="shared" si="2"/>
        <v>100</v>
      </c>
      <c r="X15" s="1507"/>
      <c r="Y15" s="3487"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88"/>
      <c r="Q16" s="1504"/>
      <c r="R16" s="713"/>
      <c r="S16" s="714"/>
      <c r="T16" s="713"/>
      <c r="U16" s="714"/>
      <c r="V16" s="713"/>
      <c r="W16" s="714"/>
      <c r="X16" s="1507"/>
      <c r="Y16" s="3488"/>
      <c r="Z16" s="1508"/>
      <c r="AA16" s="1505">
        <v>1</v>
      </c>
      <c r="AB16" s="1505">
        <v>1</v>
      </c>
      <c r="AC16" s="1505">
        <v>1</v>
      </c>
    </row>
    <row r="17" spans="1:29" ht="96.6">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88"/>
      <c r="Q17" s="1504" t="str">
        <f>B17</f>
        <v>交通便捷度</v>
      </c>
      <c r="R17" s="713" t="s">
        <v>17</v>
      </c>
      <c r="S17" s="714">
        <f>F17</f>
        <v>100</v>
      </c>
      <c r="T17" s="713" t="s">
        <v>17</v>
      </c>
      <c r="U17" s="714">
        <f>H17</f>
        <v>100</v>
      </c>
      <c r="V17" s="713" t="s">
        <v>17</v>
      </c>
      <c r="W17" s="714">
        <f>J17</f>
        <v>100</v>
      </c>
      <c r="X17" s="1507"/>
      <c r="Y17" s="348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88"/>
      <c r="Q18" s="1504"/>
      <c r="R18" s="713"/>
      <c r="S18" s="714"/>
      <c r="T18" s="713"/>
      <c r="U18" s="714"/>
      <c r="V18" s="713"/>
      <c r="W18" s="714"/>
      <c r="X18" s="1507"/>
      <c r="Y18" s="3488"/>
      <c r="Z18" s="1508"/>
      <c r="AA18" s="1505">
        <v>1</v>
      </c>
      <c r="AB18" s="1505">
        <v>1</v>
      </c>
      <c r="AC18" s="1505">
        <v>1</v>
      </c>
    </row>
    <row r="19" spans="1:29" ht="41.4">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88"/>
      <c r="Q19" s="1504" t="str">
        <f>B19</f>
        <v>公共配套设施</v>
      </c>
      <c r="R19" s="713" t="s">
        <v>17</v>
      </c>
      <c r="S19" s="714">
        <f>F19</f>
        <v>100</v>
      </c>
      <c r="T19" s="713" t="s">
        <v>17</v>
      </c>
      <c r="U19" s="714">
        <f>H19</f>
        <v>100</v>
      </c>
      <c r="V19" s="713" t="s">
        <v>17</v>
      </c>
      <c r="W19" s="714">
        <f>J19</f>
        <v>100</v>
      </c>
      <c r="X19" s="1507"/>
      <c r="Y19" s="348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88"/>
      <c r="Q20" s="1504"/>
      <c r="R20" s="713"/>
      <c r="S20" s="714"/>
      <c r="T20" s="713"/>
      <c r="U20" s="714"/>
      <c r="V20" s="713"/>
      <c r="W20" s="714"/>
      <c r="X20" s="1507"/>
      <c r="Y20" s="3488"/>
      <c r="Z20" s="1508"/>
      <c r="AA20" s="1505">
        <v>1</v>
      </c>
      <c r="AB20" s="1505">
        <v>1</v>
      </c>
      <c r="AC20" s="1505">
        <v>1</v>
      </c>
    </row>
    <row r="21" spans="1:29" ht="41.4">
      <c r="A21" s="386"/>
      <c r="B21" s="1264"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88"/>
      <c r="Q21" s="1504" t="str">
        <f>B21</f>
        <v>基础设施水平</v>
      </c>
      <c r="R21" s="713" t="s">
        <v>17</v>
      </c>
      <c r="S21" s="714">
        <f>F21</f>
        <v>100</v>
      </c>
      <c r="T21" s="713" t="s">
        <v>17</v>
      </c>
      <c r="U21" s="714">
        <f>H21</f>
        <v>100</v>
      </c>
      <c r="V21" s="713" t="s">
        <v>17</v>
      </c>
      <c r="W21" s="714">
        <f>J21</f>
        <v>100</v>
      </c>
      <c r="X21" s="1507"/>
      <c r="Y21" s="348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488"/>
      <c r="Q22" s="1504"/>
      <c r="R22" s="713"/>
      <c r="S22" s="714"/>
      <c r="T22" s="713"/>
      <c r="U22" s="714"/>
      <c r="V22" s="713"/>
      <c r="W22" s="714"/>
      <c r="X22" s="1507"/>
      <c r="Y22" s="3488"/>
      <c r="Z22" s="1508"/>
      <c r="AA22" s="1505">
        <v>1</v>
      </c>
      <c r="AB22" s="1505">
        <v>1</v>
      </c>
      <c r="AC22" s="1505">
        <v>1</v>
      </c>
    </row>
    <row r="23" spans="1:29" ht="82.8">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88"/>
      <c r="Q23" s="1504" t="str">
        <f>B23</f>
        <v>环境质量</v>
      </c>
      <c r="R23" s="713" t="s">
        <v>17</v>
      </c>
      <c r="S23" s="714">
        <f>F23</f>
        <v>100</v>
      </c>
      <c r="T23" s="713" t="s">
        <v>17</v>
      </c>
      <c r="U23" s="714">
        <f>H23</f>
        <v>100</v>
      </c>
      <c r="V23" s="713" t="s">
        <v>17</v>
      </c>
      <c r="W23" s="714">
        <f>J23</f>
        <v>100</v>
      </c>
      <c r="X23" s="1507"/>
      <c r="Y23" s="3488"/>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488"/>
      <c r="Q24" s="1504"/>
      <c r="R24" s="713"/>
      <c r="S24" s="714"/>
      <c r="T24" s="713"/>
      <c r="U24" s="714"/>
      <c r="V24" s="713"/>
      <c r="W24" s="714"/>
      <c r="X24" s="1507"/>
      <c r="Y24" s="3488"/>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88"/>
      <c r="Q25" s="1504">
        <f>B25</f>
        <v>111</v>
      </c>
      <c r="R25" s="713" t="s">
        <v>17</v>
      </c>
      <c r="S25" s="714">
        <f>F25</f>
        <v>100</v>
      </c>
      <c r="T25" s="713" t="s">
        <v>17</v>
      </c>
      <c r="U25" s="714">
        <f>H25</f>
        <v>100</v>
      </c>
      <c r="V25" s="713" t="s">
        <v>17</v>
      </c>
      <c r="W25" s="714">
        <f>J25</f>
        <v>100</v>
      </c>
      <c r="X25" s="1507"/>
      <c r="Y25" s="3488"/>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88"/>
      <c r="Q26" s="1504">
        <f t="shared" ref="Q26:Q40" si="11">B26</f>
        <v>111</v>
      </c>
      <c r="R26" s="713" t="s">
        <v>17</v>
      </c>
      <c r="S26" s="714">
        <f>F26</f>
        <v>100</v>
      </c>
      <c r="T26" s="713" t="s">
        <v>17</v>
      </c>
      <c r="U26" s="714">
        <f>H26</f>
        <v>100</v>
      </c>
      <c r="V26" s="713" t="s">
        <v>17</v>
      </c>
      <c r="W26" s="714">
        <f>J26</f>
        <v>100</v>
      </c>
      <c r="X26" s="1507"/>
      <c r="Y26" s="3488"/>
      <c r="Z26" s="1508">
        <f>Q26</f>
        <v>111</v>
      </c>
      <c r="AA26" s="1505">
        <f t="shared" si="3"/>
        <v>1</v>
      </c>
      <c r="AB26" s="1505">
        <f t="shared" si="4"/>
        <v>1</v>
      </c>
      <c r="AC26" s="1505">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88"/>
      <c r="Q27" s="1495">
        <f t="shared" si="11"/>
        <v>111</v>
      </c>
      <c r="R27" s="709" t="s">
        <v>17</v>
      </c>
      <c r="S27" s="710">
        <f>F27</f>
        <v>100</v>
      </c>
      <c r="T27" s="709" t="s">
        <v>17</v>
      </c>
      <c r="U27" s="710">
        <f>H27</f>
        <v>100</v>
      </c>
      <c r="V27" s="709" t="s">
        <v>17</v>
      </c>
      <c r="W27" s="710">
        <f>J27</f>
        <v>100</v>
      </c>
      <c r="X27" s="711"/>
      <c r="Y27" s="3488"/>
      <c r="Z27" s="54">
        <f>Q27</f>
        <v>111</v>
      </c>
      <c r="AA27" s="1505">
        <f>D27/F27</f>
        <v>1</v>
      </c>
      <c r="AB27" s="1505">
        <f>D27/H27</f>
        <v>1</v>
      </c>
      <c r="AC27" s="1505">
        <f>D27/J27</f>
        <v>1</v>
      </c>
    </row>
    <row r="28" spans="1:29" ht="15.6"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88"/>
      <c r="Q28" s="1504">
        <f t="shared" si="11"/>
        <v>111</v>
      </c>
      <c r="R28" s="713" t="s">
        <v>17</v>
      </c>
      <c r="S28" s="714">
        <f t="shared" ref="S28:S40" si="12">F28</f>
        <v>100</v>
      </c>
      <c r="T28" s="713" t="s">
        <v>17</v>
      </c>
      <c r="U28" s="714">
        <f t="shared" ref="U28:U40" si="13">H28</f>
        <v>100</v>
      </c>
      <c r="V28" s="713" t="s">
        <v>17</v>
      </c>
      <c r="W28" s="714">
        <f t="shared" ref="W28:W40" si="14">J28</f>
        <v>100</v>
      </c>
      <c r="X28" s="1507"/>
      <c r="Y28" s="3488"/>
      <c r="Z28" s="1508">
        <f t="shared" ref="Z28:Z40" si="15">Q28</f>
        <v>111</v>
      </c>
      <c r="AA28" s="1505">
        <f t="shared" si="3"/>
        <v>1</v>
      </c>
      <c r="AB28" s="1505">
        <f t="shared" si="4"/>
        <v>1</v>
      </c>
      <c r="AC28" s="1505">
        <f t="shared" si="5"/>
        <v>1</v>
      </c>
    </row>
    <row r="29" spans="1:29" ht="30">
      <c r="A29" s="424" t="s">
        <v>2324</v>
      </c>
      <c r="B29" s="66"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489" t="s">
        <v>2326</v>
      </c>
      <c r="Q29" s="1504" t="str">
        <f t="shared" si="11"/>
        <v>建筑类型</v>
      </c>
      <c r="R29" s="713" t="s">
        <v>17</v>
      </c>
      <c r="S29" s="714">
        <f t="shared" si="12"/>
        <v>100</v>
      </c>
      <c r="T29" s="713" t="s">
        <v>17</v>
      </c>
      <c r="U29" s="714">
        <f t="shared" si="13"/>
        <v>100</v>
      </c>
      <c r="V29" s="713" t="s">
        <v>17</v>
      </c>
      <c r="W29" s="714">
        <f t="shared" si="14"/>
        <v>100</v>
      </c>
      <c r="X29" s="1507"/>
      <c r="Y29" s="3490"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90"/>
      <c r="Q30" s="715" t="str">
        <f t="shared" si="11"/>
        <v>项目建筑规模</v>
      </c>
      <c r="R30" s="716" t="s">
        <v>17</v>
      </c>
      <c r="S30" s="717" t="e">
        <f t="shared" si="12"/>
        <v>#N/A</v>
      </c>
      <c r="T30" s="716" t="s">
        <v>17</v>
      </c>
      <c r="U30" s="717" t="e">
        <f t="shared" si="13"/>
        <v>#N/A</v>
      </c>
      <c r="V30" s="716" t="s">
        <v>17</v>
      </c>
      <c r="W30" s="717" t="e">
        <f t="shared" si="14"/>
        <v>#N/A</v>
      </c>
      <c r="X30" s="718"/>
      <c r="Y30" s="3490"/>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90"/>
      <c r="Q31" s="1504" t="str">
        <f t="shared" si="11"/>
        <v>建筑结构</v>
      </c>
      <c r="R31" s="713" t="s">
        <v>17</v>
      </c>
      <c r="S31" s="714">
        <f t="shared" si="12"/>
        <v>100</v>
      </c>
      <c r="T31" s="713" t="s">
        <v>17</v>
      </c>
      <c r="U31" s="714">
        <f t="shared" si="13"/>
        <v>100</v>
      </c>
      <c r="V31" s="713" t="s">
        <v>17</v>
      </c>
      <c r="W31" s="714">
        <f t="shared" si="14"/>
        <v>100</v>
      </c>
      <c r="X31" s="1507"/>
      <c r="Y31" s="3490"/>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90"/>
      <c r="Q32" s="1504" t="str">
        <f t="shared" si="11"/>
        <v>公共部分装修</v>
      </c>
      <c r="R32" s="713" t="s">
        <v>17</v>
      </c>
      <c r="S32" s="714">
        <f t="shared" si="12"/>
        <v>100</v>
      </c>
      <c r="T32" s="713" t="s">
        <v>17</v>
      </c>
      <c r="U32" s="714">
        <f t="shared" si="13"/>
        <v>100</v>
      </c>
      <c r="V32" s="713" t="s">
        <v>17</v>
      </c>
      <c r="W32" s="714">
        <f t="shared" si="14"/>
        <v>100</v>
      </c>
      <c r="X32" s="1507"/>
      <c r="Y32" s="3490"/>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90"/>
      <c r="Q33" s="1504" t="str">
        <f t="shared" si="11"/>
        <v>成新度</v>
      </c>
      <c r="R33" s="713" t="s">
        <v>17</v>
      </c>
      <c r="S33" s="714" t="e">
        <f t="shared" si="12"/>
        <v>#N/A</v>
      </c>
      <c r="T33" s="713" t="s">
        <v>17</v>
      </c>
      <c r="U33" s="714" t="e">
        <f t="shared" si="13"/>
        <v>#N/A</v>
      </c>
      <c r="V33" s="713" t="s">
        <v>17</v>
      </c>
      <c r="W33" s="714" t="e">
        <f t="shared" si="14"/>
        <v>#N/A</v>
      </c>
      <c r="X33" s="1507"/>
      <c r="Y33" s="3490"/>
      <c r="Z33" s="1508" t="str">
        <f t="shared" si="15"/>
        <v>成新度</v>
      </c>
      <c r="AA33" s="1505" t="e">
        <f t="shared" si="3"/>
        <v>#N/A</v>
      </c>
      <c r="AB33" s="1505" t="e">
        <f t="shared" si="4"/>
        <v>#N/A</v>
      </c>
      <c r="AC33" s="1505"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90"/>
      <c r="Q34" s="1495" t="str">
        <f t="shared" si="11"/>
        <v>物业管理</v>
      </c>
      <c r="R34" s="709" t="s">
        <v>17</v>
      </c>
      <c r="S34" s="710">
        <f t="shared" si="12"/>
        <v>100</v>
      </c>
      <c r="T34" s="709" t="s">
        <v>17</v>
      </c>
      <c r="U34" s="710">
        <f t="shared" si="13"/>
        <v>100</v>
      </c>
      <c r="V34" s="709" t="s">
        <v>17</v>
      </c>
      <c r="W34" s="710">
        <f t="shared" si="14"/>
        <v>100</v>
      </c>
      <c r="X34" s="711"/>
      <c r="Y34" s="3490"/>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90" t="s">
        <v>2326</v>
      </c>
      <c r="Q35" s="1504" t="str">
        <f t="shared" si="11"/>
        <v>市政基础设施</v>
      </c>
      <c r="R35" s="713" t="s">
        <v>17</v>
      </c>
      <c r="S35" s="714">
        <f t="shared" si="12"/>
        <v>100</v>
      </c>
      <c r="T35" s="713" t="s">
        <v>17</v>
      </c>
      <c r="U35" s="714">
        <f t="shared" si="13"/>
        <v>100</v>
      </c>
      <c r="V35" s="713" t="s">
        <v>17</v>
      </c>
      <c r="W35" s="714">
        <f t="shared" si="14"/>
        <v>100</v>
      </c>
      <c r="X35" s="1507"/>
      <c r="Y35" s="3490"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90"/>
      <c r="Q36" s="1504" t="str">
        <f t="shared" si="11"/>
        <v>内部装修</v>
      </c>
      <c r="R36" s="713" t="s">
        <v>17</v>
      </c>
      <c r="S36" s="714">
        <f t="shared" si="12"/>
        <v>100</v>
      </c>
      <c r="T36" s="713" t="s">
        <v>17</v>
      </c>
      <c r="U36" s="714">
        <f t="shared" si="13"/>
        <v>100</v>
      </c>
      <c r="V36" s="713" t="s">
        <v>17</v>
      </c>
      <c r="W36" s="714">
        <f t="shared" si="14"/>
        <v>100</v>
      </c>
      <c r="X36" s="1507"/>
      <c r="Y36" s="3490"/>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90"/>
      <c r="Q37" s="1504" t="str">
        <f t="shared" si="11"/>
        <v>内部装修状况</v>
      </c>
      <c r="R37" s="713" t="s">
        <v>17</v>
      </c>
      <c r="S37" s="714">
        <f t="shared" si="12"/>
        <v>100</v>
      </c>
      <c r="T37" s="713" t="s">
        <v>17</v>
      </c>
      <c r="U37" s="714">
        <f t="shared" si="13"/>
        <v>100</v>
      </c>
      <c r="V37" s="713" t="s">
        <v>17</v>
      </c>
      <c r="W37" s="714">
        <f t="shared" si="14"/>
        <v>100</v>
      </c>
      <c r="X37" s="1507"/>
      <c r="Y37" s="3490"/>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90"/>
      <c r="Q38" s="715">
        <f t="shared" si="11"/>
        <v>111</v>
      </c>
      <c r="R38" s="716" t="s">
        <v>17</v>
      </c>
      <c r="S38" s="717">
        <f t="shared" si="12"/>
        <v>100</v>
      </c>
      <c r="T38" s="716" t="s">
        <v>17</v>
      </c>
      <c r="U38" s="717">
        <f t="shared" si="13"/>
        <v>100</v>
      </c>
      <c r="V38" s="716" t="s">
        <v>17</v>
      </c>
      <c r="W38" s="717">
        <f t="shared" si="14"/>
        <v>100</v>
      </c>
      <c r="X38" s="718"/>
      <c r="Y38" s="3490"/>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90"/>
      <c r="Q39" s="1504">
        <f t="shared" si="11"/>
        <v>111</v>
      </c>
      <c r="R39" s="713" t="s">
        <v>17</v>
      </c>
      <c r="S39" s="714">
        <f t="shared" si="12"/>
        <v>100</v>
      </c>
      <c r="T39" s="713" t="s">
        <v>17</v>
      </c>
      <c r="U39" s="714">
        <f t="shared" si="13"/>
        <v>100</v>
      </c>
      <c r="V39" s="713" t="s">
        <v>17</v>
      </c>
      <c r="W39" s="714">
        <f t="shared" si="14"/>
        <v>100</v>
      </c>
      <c r="X39" s="1507"/>
      <c r="Y39" s="3490"/>
      <c r="Z39" s="1508">
        <f t="shared" si="15"/>
        <v>111</v>
      </c>
      <c r="AA39" s="1505">
        <f t="shared" si="3"/>
        <v>1</v>
      </c>
      <c r="AB39" s="1505">
        <f t="shared" si="4"/>
        <v>1</v>
      </c>
      <c r="AC39" s="1505">
        <f t="shared" si="5"/>
        <v>1</v>
      </c>
    </row>
    <row r="40" spans="1:29" ht="15.6"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62"/>
      <c r="Q40" s="1504">
        <f t="shared" si="11"/>
        <v>111</v>
      </c>
      <c r="R40" s="713" t="s">
        <v>17</v>
      </c>
      <c r="S40" s="714">
        <f t="shared" si="12"/>
        <v>100</v>
      </c>
      <c r="T40" s="713" t="s">
        <v>17</v>
      </c>
      <c r="U40" s="714">
        <f t="shared" si="13"/>
        <v>100</v>
      </c>
      <c r="V40" s="713" t="s">
        <v>17</v>
      </c>
      <c r="W40" s="714">
        <f t="shared" si="14"/>
        <v>100</v>
      </c>
      <c r="X40" s="1507"/>
      <c r="Y40" s="3562"/>
      <c r="Z40" s="1508">
        <f t="shared" si="15"/>
        <v>111</v>
      </c>
      <c r="AA40" s="1505">
        <f t="shared" si="3"/>
        <v>1</v>
      </c>
      <c r="AB40" s="1505">
        <f t="shared" si="4"/>
        <v>1</v>
      </c>
      <c r="AC40" s="1505">
        <f t="shared" si="5"/>
        <v>1</v>
      </c>
    </row>
    <row r="41" spans="1:29" ht="14.4">
      <c r="A41" s="437" t="s">
        <v>2338</v>
      </c>
      <c r="B41" s="438"/>
      <c r="C41" s="1287" t="s">
        <v>1</v>
      </c>
      <c r="D41" s="1288"/>
      <c r="E41" s="1289"/>
      <c r="F41" s="1290"/>
      <c r="G41" s="1291"/>
      <c r="H41" s="1292"/>
      <c r="I41" s="1289"/>
      <c r="J41" s="1292"/>
      <c r="K41" s="722"/>
      <c r="L41" s="1056"/>
      <c r="M41" s="1057"/>
      <c r="N41" s="1044"/>
      <c r="O41" s="1057"/>
      <c r="P41" s="3484" t="str">
        <f>A41</f>
        <v>成交单价（元/平方米）</v>
      </c>
      <c r="Q41" s="3484"/>
      <c r="R41" s="3558">
        <f>E41</f>
        <v>0</v>
      </c>
      <c r="S41" s="3558"/>
      <c r="T41" s="3558">
        <f>G41</f>
        <v>0</v>
      </c>
      <c r="U41" s="3558"/>
      <c r="V41" s="3558">
        <f>I41</f>
        <v>0</v>
      </c>
      <c r="W41" s="3558"/>
      <c r="X41" s="698"/>
      <c r="Y41" s="720"/>
      <c r="Z41" s="698"/>
      <c r="AA41" s="698"/>
      <c r="AB41" s="698"/>
      <c r="AC41" s="698"/>
    </row>
    <row r="42" spans="1:29" ht="15" thickBot="1">
      <c r="A42" s="444" t="s">
        <v>2430</v>
      </c>
      <c r="B42" s="445"/>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484" t="str">
        <f>A42</f>
        <v>比较价值（元/平方米）</v>
      </c>
      <c r="Q42" s="3484"/>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8"/>
      <c r="Y42" s="698"/>
      <c r="Z42" s="698"/>
      <c r="AA42" s="698"/>
      <c r="AB42" s="698"/>
      <c r="AC42" s="698"/>
    </row>
    <row r="43" spans="1:29" ht="15" thickBot="1">
      <c r="A43" s="448" t="s">
        <v>2431</v>
      </c>
      <c r="B43" s="449"/>
      <c r="C43" s="1296" t="e">
        <f>R43</f>
        <v>#DIV/0!</v>
      </c>
      <c r="D43" s="1296"/>
      <c r="E43" s="1296"/>
      <c r="F43" s="1296"/>
      <c r="G43" s="1296"/>
      <c r="H43" s="1296"/>
      <c r="I43" s="1296"/>
      <c r="J43" s="1296"/>
      <c r="K43" s="723"/>
      <c r="L43" s="1056"/>
      <c r="M43" s="1057"/>
      <c r="N43" s="1057"/>
      <c r="O43" s="1057"/>
      <c r="P43" s="3481" t="str">
        <f>A43</f>
        <v>估价对象XX用房的比较价值（楼面单价，元/平方米）</v>
      </c>
      <c r="Q43" s="3482"/>
      <c r="R43" s="3557" t="e">
        <f>IF(F1="售价",ROUND(IF(D42="简单平均",AVERAGE(R42:V42),R42*F42+T42*H42+V42*J42),0),ROUND(IF(D42="简单平均",AVERAGE(R42:V42),R42*F42+T42*H42+V42*J42),1))</f>
        <v>#DIV/0!</v>
      </c>
      <c r="S43" s="3557"/>
      <c r="T43" s="3557"/>
      <c r="U43" s="3557"/>
      <c r="V43" s="3557"/>
      <c r="W43" s="3557"/>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2.2" thickBot="1">
      <c r="A51" s="702" t="s">
        <v>2435</v>
      </c>
      <c r="B51" s="698"/>
      <c r="C51" s="703"/>
      <c r="D51" s="703"/>
      <c r="E51" s="703"/>
      <c r="F51" s="704"/>
      <c r="G51" s="704"/>
      <c r="H51" s="703"/>
      <c r="I51" s="703"/>
      <c r="J51" s="703"/>
      <c r="K51" s="1071"/>
      <c r="L51" s="1072"/>
      <c r="M51" s="1070"/>
      <c r="N51" s="1070"/>
      <c r="O51" s="1070"/>
      <c r="P51" s="459"/>
      <c r="Q51" s="460"/>
    </row>
    <row r="52" spans="1:17" s="464" customFormat="1" ht="14.4">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2" customFormat="1">
      <c r="A53" s="465"/>
      <c r="B53" s="466"/>
      <c r="C53" s="1315">
        <v>100</v>
      </c>
      <c r="D53" s="468"/>
      <c r="E53" s="468"/>
      <c r="F53" s="468"/>
      <c r="G53" s="468"/>
      <c r="H53" s="468"/>
      <c r="I53" s="468"/>
      <c r="J53" s="468"/>
      <c r="K53" s="468"/>
      <c r="L53" s="468"/>
      <c r="M53" s="469"/>
      <c r="N53" s="468"/>
      <c r="O53" s="470"/>
      <c r="P53" s="460"/>
    </row>
    <row r="54" spans="1:17" s="112" customFormat="1" ht="15" thickBot="1">
      <c r="A54" s="471" t="s">
        <v>2346</v>
      </c>
      <c r="B54" s="472"/>
      <c r="C54" s="473"/>
      <c r="D54" s="474"/>
      <c r="E54" s="474"/>
      <c r="F54" s="474"/>
      <c r="G54" s="474"/>
      <c r="H54" s="474"/>
      <c r="I54" s="474"/>
      <c r="J54" s="474"/>
      <c r="K54" s="474"/>
      <c r="L54" s="474"/>
      <c r="M54" s="475"/>
      <c r="N54" s="2967"/>
      <c r="O54" s="2968"/>
      <c r="P54" s="460"/>
      <c r="Q54" s="460"/>
    </row>
    <row r="55" spans="1:17" s="112" customFormat="1" ht="14.4">
      <c r="A55" s="477" t="s">
        <v>2311</v>
      </c>
      <c r="B55" s="466"/>
      <c r="C55" s="478" t="s">
        <v>2413</v>
      </c>
      <c r="D55" s="479"/>
      <c r="E55" s="479"/>
      <c r="F55" s="479"/>
      <c r="G55" s="479"/>
      <c r="H55" s="479"/>
      <c r="I55" s="479"/>
      <c r="J55" s="479"/>
      <c r="K55" s="479"/>
      <c r="L55" s="480"/>
      <c r="M55" s="481"/>
      <c r="N55" s="1062"/>
      <c r="O55" s="1062"/>
      <c r="P55" s="482"/>
      <c r="Q55" s="460"/>
    </row>
    <row r="56" spans="1:17" s="112" customFormat="1" ht="14.4" thickBot="1">
      <c r="A56" s="477"/>
      <c r="B56" s="466"/>
      <c r="C56" s="594">
        <v>100</v>
      </c>
      <c r="D56" s="468"/>
      <c r="E56" s="468"/>
      <c r="F56" s="468"/>
      <c r="G56" s="468"/>
      <c r="H56" s="468"/>
      <c r="I56" s="468"/>
      <c r="J56" s="468"/>
      <c r="K56" s="468"/>
      <c r="L56" s="468"/>
      <c r="M56" s="470"/>
      <c r="N56" s="1062"/>
      <c r="O56" s="1062"/>
      <c r="P56" s="460"/>
      <c r="Q56" s="460"/>
    </row>
    <row r="57" spans="1:17" ht="14.4">
      <c r="A57" s="483" t="s">
        <v>2349</v>
      </c>
      <c r="B57" s="484" t="s">
        <v>2315</v>
      </c>
      <c r="C57" s="485">
        <f>C9</f>
        <v>0</v>
      </c>
      <c r="D57" s="486"/>
      <c r="E57" s="486"/>
      <c r="F57" s="486"/>
      <c r="G57" s="486"/>
      <c r="H57" s="486"/>
      <c r="I57" s="486"/>
      <c r="J57" s="486"/>
      <c r="K57" s="487"/>
      <c r="L57" s="488"/>
      <c r="M57" s="489"/>
      <c r="N57" s="1063"/>
      <c r="O57" s="1063"/>
      <c r="P57" s="44"/>
      <c r="Q57" s="460"/>
    </row>
    <row r="58" spans="1:17" ht="14.4" thickBot="1">
      <c r="A58" s="490"/>
      <c r="B58" s="491"/>
      <c r="C58" s="492">
        <v>100</v>
      </c>
      <c r="D58" s="492"/>
      <c r="E58" s="492"/>
      <c r="F58" s="492"/>
      <c r="G58" s="492"/>
      <c r="H58" s="492"/>
      <c r="I58" s="492"/>
      <c r="J58" s="492"/>
      <c r="K58" s="492"/>
      <c r="L58" s="492"/>
      <c r="M58" s="493"/>
      <c r="N58" s="1064"/>
      <c r="O58" s="1064"/>
      <c r="P58" s="44"/>
      <c r="Q58" s="460"/>
    </row>
    <row r="59" spans="1:17" ht="29.4"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c r="A62" s="490"/>
      <c r="B62" s="504"/>
      <c r="C62" s="505"/>
      <c r="D62" s="505"/>
      <c r="E62" s="505"/>
      <c r="F62" s="505"/>
      <c r="G62" s="505"/>
      <c r="H62" s="505"/>
      <c r="I62" s="505"/>
      <c r="J62" s="505"/>
      <c r="K62" s="506"/>
      <c r="L62" s="507"/>
      <c r="M62" s="508"/>
      <c r="N62" s="1063"/>
      <c r="O62" s="1063"/>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4.4" thickTop="1">
      <c r="A64" s="509"/>
      <c r="B64" s="494">
        <f>B12</f>
        <v>111</v>
      </c>
      <c r="C64" s="510"/>
      <c r="D64" s="510"/>
      <c r="E64" s="510"/>
      <c r="F64" s="510"/>
      <c r="G64" s="510"/>
      <c r="H64" s="511"/>
      <c r="I64" s="511"/>
      <c r="J64" s="511"/>
      <c r="K64" s="511"/>
      <c r="L64" s="512"/>
      <c r="M64" s="513"/>
      <c r="N64" s="1065"/>
      <c r="O64" s="1065"/>
      <c r="P64" s="514"/>
      <c r="Q64" s="515"/>
    </row>
    <row r="65" spans="1:17" s="429" customFormat="1" ht="14.4" thickBot="1">
      <c r="A65" s="509"/>
      <c r="B65" s="499"/>
      <c r="C65" s="516"/>
      <c r="D65" s="492"/>
      <c r="E65" s="492"/>
      <c r="F65" s="492"/>
      <c r="G65" s="492"/>
      <c r="H65" s="492"/>
      <c r="I65" s="492"/>
      <c r="J65" s="492"/>
      <c r="K65" s="492"/>
      <c r="L65" s="492"/>
      <c r="M65" s="493"/>
      <c r="N65" s="1064"/>
      <c r="O65" s="1064"/>
      <c r="P65" s="514"/>
      <c r="Q65" s="515"/>
    </row>
    <row r="66" spans="1:17" s="429" customFormat="1" ht="14.4" thickTop="1">
      <c r="A66" s="509"/>
      <c r="B66" s="494">
        <f>B13</f>
        <v>111</v>
      </c>
      <c r="C66" s="510"/>
      <c r="D66" s="510"/>
      <c r="E66" s="510"/>
      <c r="F66" s="510"/>
      <c r="G66" s="510"/>
      <c r="H66" s="511"/>
      <c r="I66" s="511"/>
      <c r="J66" s="511"/>
      <c r="K66" s="511"/>
      <c r="L66" s="512"/>
      <c r="M66" s="513"/>
      <c r="N66" s="1065"/>
      <c r="O66" s="1065"/>
      <c r="P66" s="428"/>
      <c r="Q66" s="517"/>
    </row>
    <row r="67" spans="1:17" s="429" customFormat="1" ht="14.4" thickBot="1">
      <c r="A67" s="509"/>
      <c r="B67" s="499"/>
      <c r="C67" s="516"/>
      <c r="D67" s="492"/>
      <c r="E67" s="492"/>
      <c r="F67" s="492"/>
      <c r="G67" s="516"/>
      <c r="H67" s="518"/>
      <c r="I67" s="518"/>
      <c r="J67" s="518"/>
      <c r="K67" s="518"/>
      <c r="L67" s="518"/>
      <c r="M67" s="519"/>
      <c r="N67" s="1065"/>
      <c r="O67" s="1065"/>
      <c r="P67" s="514"/>
      <c r="Q67" s="515"/>
    </row>
    <row r="68" spans="1:17" s="429" customFormat="1" ht="14.4" thickTop="1">
      <c r="A68" s="509"/>
      <c r="B68" s="502">
        <f>B14</f>
        <v>111</v>
      </c>
      <c r="C68" s="479"/>
      <c r="D68" s="479"/>
      <c r="E68" s="479"/>
      <c r="F68" s="479"/>
      <c r="G68" s="479"/>
      <c r="H68" s="520"/>
      <c r="I68" s="520"/>
      <c r="J68" s="520"/>
      <c r="K68" s="520"/>
      <c r="L68" s="521"/>
      <c r="M68" s="522"/>
      <c r="N68" s="1065"/>
      <c r="O68" s="1065"/>
      <c r="P68" s="523"/>
      <c r="Q68" s="515"/>
    </row>
    <row r="69" spans="1:17" s="429" customFormat="1" ht="14.4" thickBot="1">
      <c r="A69" s="524"/>
      <c r="B69" s="525"/>
      <c r="C69" s="526"/>
      <c r="D69" s="526"/>
      <c r="E69" s="526"/>
      <c r="F69" s="526"/>
      <c r="G69" s="526"/>
      <c r="H69" s="527"/>
      <c r="I69" s="527"/>
      <c r="J69" s="527"/>
      <c r="K69" s="527"/>
      <c r="L69" s="527"/>
      <c r="M69" s="528"/>
      <c r="N69" s="1065"/>
      <c r="O69" s="1065"/>
      <c r="P69" s="514"/>
      <c r="Q69" s="515"/>
    </row>
    <row r="70" spans="1:17" ht="14.4">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4.4" thickTop="1">
      <c r="A80" s="535"/>
      <c r="B80" s="494">
        <f>B25</f>
        <v>111</v>
      </c>
      <c r="C80" s="510"/>
      <c r="D80" s="510"/>
      <c r="E80" s="510"/>
      <c r="F80" s="510"/>
      <c r="G80" s="510"/>
      <c r="H80" s="510"/>
      <c r="I80" s="510"/>
      <c r="J80" s="510"/>
      <c r="K80" s="510"/>
      <c r="L80" s="536"/>
      <c r="M80" s="537"/>
      <c r="N80" s="1062"/>
      <c r="O80" s="1062"/>
      <c r="P80" s="44"/>
      <c r="Q80" s="460"/>
    </row>
    <row r="81" spans="1:17" s="112" customFormat="1" ht="14.4" thickBot="1">
      <c r="A81" s="535"/>
      <c r="B81" s="499"/>
      <c r="C81" s="516"/>
      <c r="D81" s="492"/>
      <c r="E81" s="492"/>
      <c r="F81" s="492"/>
      <c r="G81" s="492"/>
      <c r="H81" s="492"/>
      <c r="I81" s="492"/>
      <c r="J81" s="492"/>
      <c r="K81" s="492"/>
      <c r="L81" s="492"/>
      <c r="M81" s="493"/>
      <c r="N81" s="1064"/>
      <c r="O81" s="1064"/>
      <c r="P81" s="44"/>
      <c r="Q81" s="460"/>
    </row>
    <row r="82" spans="1:17" s="112" customFormat="1" ht="14.4" thickTop="1">
      <c r="A82" s="535"/>
      <c r="B82" s="494">
        <f>B26</f>
        <v>111</v>
      </c>
      <c r="C82" s="510"/>
      <c r="D82" s="510"/>
      <c r="E82" s="510"/>
      <c r="F82" s="510"/>
      <c r="G82" s="510"/>
      <c r="H82" s="510"/>
      <c r="I82" s="510"/>
      <c r="J82" s="510"/>
      <c r="K82" s="510"/>
      <c r="L82" s="536"/>
      <c r="M82" s="537"/>
      <c r="N82" s="1062"/>
      <c r="O82" s="1062"/>
      <c r="P82" s="44"/>
      <c r="Q82" s="460"/>
    </row>
    <row r="83" spans="1:17" s="112" customFormat="1" ht="14.4" thickBot="1">
      <c r="A83" s="535"/>
      <c r="B83" s="499"/>
      <c r="C83" s="516"/>
      <c r="D83" s="492"/>
      <c r="E83" s="492"/>
      <c r="F83" s="492"/>
      <c r="G83" s="492"/>
      <c r="H83" s="492"/>
      <c r="I83" s="492"/>
      <c r="J83" s="492"/>
      <c r="K83" s="492"/>
      <c r="L83" s="492"/>
      <c r="M83" s="493"/>
      <c r="N83" s="1064"/>
      <c r="O83" s="1064"/>
      <c r="P83" s="44"/>
      <c r="Q83" s="460"/>
    </row>
    <row r="84" spans="1:17" s="429" customFormat="1" ht="14.4" thickTop="1">
      <c r="A84" s="509"/>
      <c r="B84" s="494">
        <f>B27</f>
        <v>111</v>
      </c>
      <c r="C84" s="510"/>
      <c r="D84" s="510"/>
      <c r="E84" s="510"/>
      <c r="F84" s="510"/>
      <c r="G84" s="510"/>
      <c r="H84" s="510"/>
      <c r="I84" s="510"/>
      <c r="J84" s="510"/>
      <c r="K84" s="510"/>
      <c r="L84" s="536"/>
      <c r="M84" s="537"/>
      <c r="N84" s="1065"/>
      <c r="O84" s="1065"/>
      <c r="P84" s="514"/>
      <c r="Q84" s="515"/>
    </row>
    <row r="85" spans="1:17" s="429" customFormat="1" ht="14.4" thickBot="1">
      <c r="A85" s="509"/>
      <c r="B85" s="499"/>
      <c r="C85" s="516"/>
      <c r="D85" s="492"/>
      <c r="E85" s="492"/>
      <c r="F85" s="492"/>
      <c r="G85" s="492"/>
      <c r="H85" s="492"/>
      <c r="I85" s="492"/>
      <c r="J85" s="492"/>
      <c r="K85" s="492"/>
      <c r="L85" s="492"/>
      <c r="M85" s="493"/>
      <c r="N85" s="1065"/>
      <c r="O85" s="1065"/>
      <c r="P85" s="514"/>
      <c r="Q85" s="515"/>
    </row>
    <row r="86" spans="1:17" ht="14.4" thickTop="1">
      <c r="A86" s="490"/>
      <c r="B86" s="502">
        <f>B28</f>
        <v>111</v>
      </c>
      <c r="C86" s="479"/>
      <c r="D86" s="479"/>
      <c r="E86" s="479"/>
      <c r="F86" s="479"/>
      <c r="G86" s="543"/>
      <c r="H86" s="543"/>
      <c r="I86" s="543"/>
      <c r="J86" s="543"/>
      <c r="K86" s="544"/>
      <c r="L86" s="545"/>
      <c r="M86" s="546"/>
      <c r="N86" s="1063"/>
      <c r="O86" s="1063"/>
      <c r="P86" s="44"/>
      <c r="Q86" s="460"/>
    </row>
    <row r="87" spans="1:17" ht="14.4" thickBot="1">
      <c r="A87" s="2082"/>
      <c r="B87" s="525"/>
      <c r="C87" s="526"/>
      <c r="D87" s="526"/>
      <c r="E87" s="526"/>
      <c r="F87" s="526"/>
      <c r="G87" s="547"/>
      <c r="H87" s="547"/>
      <c r="I87" s="547"/>
      <c r="J87" s="547"/>
      <c r="K87" s="547"/>
      <c r="L87" s="547"/>
      <c r="M87" s="548"/>
      <c r="N87" s="1064"/>
      <c r="O87" s="1064"/>
      <c r="P87" s="44"/>
      <c r="Q87" s="460"/>
    </row>
    <row r="88" spans="1:17" ht="14.4">
      <c r="A88" s="483" t="s">
        <v>2324</v>
      </c>
      <c r="B88" s="484" t="s">
        <v>2373</v>
      </c>
      <c r="C88" s="486"/>
      <c r="D88" s="486"/>
      <c r="E88" s="486"/>
      <c r="F88" s="486"/>
      <c r="G88" s="486"/>
      <c r="H88" s="486"/>
      <c r="I88" s="486"/>
      <c r="J88" s="486"/>
      <c r="K88" s="487"/>
      <c r="L88" s="488"/>
      <c r="M88" s="489"/>
      <c r="N88" s="1063"/>
      <c r="O88" s="1063"/>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4.4"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29.4"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4.4"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4.4" thickBot="1">
      <c r="A109" s="509"/>
      <c r="B109" s="491"/>
      <c r="C109" s="516"/>
      <c r="D109" s="492"/>
      <c r="E109" s="492"/>
      <c r="F109" s="492"/>
      <c r="G109" s="516"/>
      <c r="H109" s="518"/>
      <c r="I109" s="518"/>
      <c r="J109" s="518"/>
      <c r="K109" s="518"/>
      <c r="L109" s="518"/>
      <c r="M109" s="519"/>
      <c r="N109" s="1065"/>
      <c r="O109" s="1065"/>
      <c r="P109" s="514"/>
      <c r="Q109" s="515"/>
    </row>
    <row r="110" spans="1:17" ht="14.4" thickTop="1">
      <c r="A110" s="555"/>
      <c r="B110" s="494">
        <f>B39</f>
        <v>111</v>
      </c>
      <c r="C110" s="510"/>
      <c r="D110" s="510"/>
      <c r="E110" s="510"/>
      <c r="F110" s="510"/>
      <c r="G110" s="510"/>
      <c r="H110" s="511"/>
      <c r="I110" s="511"/>
      <c r="J110" s="511"/>
      <c r="K110" s="511"/>
      <c r="L110" s="512"/>
      <c r="M110" s="513"/>
      <c r="N110" s="1063"/>
      <c r="O110" s="1063"/>
      <c r="P110" s="44"/>
      <c r="Q110" s="460"/>
    </row>
    <row r="111" spans="1:17" ht="14.4" thickBot="1">
      <c r="A111" s="490"/>
      <c r="B111" s="499"/>
      <c r="C111" s="516"/>
      <c r="D111" s="492"/>
      <c r="E111" s="492"/>
      <c r="F111" s="492"/>
      <c r="G111" s="516"/>
      <c r="H111" s="518"/>
      <c r="I111" s="518"/>
      <c r="J111" s="518"/>
      <c r="K111" s="518"/>
      <c r="L111" s="518"/>
      <c r="M111" s="519"/>
      <c r="N111" s="1064"/>
      <c r="O111" s="1064"/>
      <c r="P111" s="44"/>
      <c r="Q111" s="460"/>
    </row>
    <row r="112" spans="1:17" ht="14.4" thickTop="1">
      <c r="A112" s="555"/>
      <c r="B112" s="502">
        <f>B40</f>
        <v>111</v>
      </c>
      <c r="C112" s="479"/>
      <c r="D112" s="479"/>
      <c r="E112" s="479"/>
      <c r="F112" s="479"/>
      <c r="G112" s="543"/>
      <c r="H112" s="543"/>
      <c r="I112" s="543"/>
      <c r="J112" s="543"/>
      <c r="K112" s="479"/>
      <c r="L112" s="480"/>
      <c r="M112" s="546"/>
      <c r="N112" s="1063"/>
      <c r="O112" s="1063"/>
      <c r="P112" s="44"/>
      <c r="Q112" s="460"/>
    </row>
    <row r="113" spans="1:17" ht="14.4" thickBot="1">
      <c r="A113" s="208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4.4">
      <c r="A4" s="360" t="s">
        <v>2406</v>
      </c>
      <c r="B4" s="361"/>
      <c r="C4" s="3494" t="s">
        <v>2407</v>
      </c>
      <c r="D4" s="3495"/>
      <c r="E4" s="3496" t="s">
        <v>2408</v>
      </c>
      <c r="F4" s="3497"/>
      <c r="G4" s="3494" t="s">
        <v>2409</v>
      </c>
      <c r="H4" s="3495"/>
      <c r="I4" s="3494" t="s">
        <v>2410</v>
      </c>
      <c r="J4" s="3495"/>
      <c r="K4" s="566" t="s">
        <v>2411</v>
      </c>
      <c r="L4" s="2912"/>
      <c r="M4" s="2913"/>
      <c r="N4" s="2913"/>
      <c r="O4" s="2913"/>
      <c r="P4" s="3498" t="s">
        <v>2412</v>
      </c>
      <c r="Q4" s="3499"/>
      <c r="R4" s="3511" t="s">
        <v>2408</v>
      </c>
      <c r="S4" s="3512"/>
      <c r="T4" s="3511" t="s">
        <v>2409</v>
      </c>
      <c r="U4" s="3512"/>
      <c r="V4" s="3486" t="s">
        <v>2410</v>
      </c>
      <c r="W4" s="3486"/>
      <c r="X4" s="1507"/>
      <c r="Y4" s="3511" t="s">
        <v>2412</v>
      </c>
      <c r="Z4" s="3512"/>
      <c r="AA4" s="3491" t="s">
        <v>2408</v>
      </c>
      <c r="AB4" s="3492" t="s">
        <v>2409</v>
      </c>
      <c r="AC4" s="3491" t="s">
        <v>2410</v>
      </c>
    </row>
    <row r="5" spans="1:29">
      <c r="A5" s="363"/>
      <c r="B5" s="364"/>
      <c r="C5" s="3515" t="s">
        <v>2303</v>
      </c>
      <c r="D5" s="3516"/>
      <c r="E5" s="3504" t="s">
        <v>2304</v>
      </c>
      <c r="F5" s="3505"/>
      <c r="G5" s="3515" t="s">
        <v>2305</v>
      </c>
      <c r="H5" s="3516"/>
      <c r="I5" s="3515" t="s">
        <v>2306</v>
      </c>
      <c r="J5" s="3516"/>
      <c r="K5" s="566"/>
      <c r="L5" s="2912"/>
      <c r="M5" s="2913"/>
      <c r="N5" s="2913"/>
      <c r="O5" s="2913"/>
      <c r="P5" s="3500"/>
      <c r="Q5" s="3501"/>
      <c r="R5" s="3513"/>
      <c r="S5" s="3514"/>
      <c r="T5" s="3513"/>
      <c r="U5" s="3514"/>
      <c r="V5" s="3486"/>
      <c r="W5" s="3486"/>
      <c r="X5" s="1507"/>
      <c r="Y5" s="3513"/>
      <c r="Z5" s="3514"/>
      <c r="AA5" s="3492"/>
      <c r="AB5" s="3492"/>
      <c r="AC5" s="3492"/>
    </row>
    <row r="6" spans="1:29" ht="15" thickBot="1">
      <c r="A6" s="365"/>
      <c r="B6" s="366"/>
      <c r="C6" s="3553" t="s">
        <v>2307</v>
      </c>
      <c r="D6" s="3554"/>
      <c r="E6" s="3555" t="s">
        <v>2307</v>
      </c>
      <c r="F6" s="3556"/>
      <c r="G6" s="3553" t="s">
        <v>2307</v>
      </c>
      <c r="H6" s="3554"/>
      <c r="I6" s="3553" t="s">
        <v>2307</v>
      </c>
      <c r="J6" s="3554"/>
      <c r="K6" s="566" t="s">
        <v>2308</v>
      </c>
      <c r="L6" s="2912"/>
      <c r="M6" s="2913"/>
      <c r="N6" s="2913"/>
      <c r="O6" s="2913"/>
      <c r="P6" s="3502"/>
      <c r="Q6" s="3503"/>
      <c r="R6" s="3513"/>
      <c r="S6" s="3514"/>
      <c r="T6" s="3522"/>
      <c r="U6" s="3523"/>
      <c r="V6" s="3486"/>
      <c r="W6" s="3486"/>
      <c r="X6" s="1507"/>
      <c r="Y6" s="3522"/>
      <c r="Z6" s="3523"/>
      <c r="AA6" s="3493"/>
      <c r="AB6" s="3493"/>
      <c r="AC6" s="3493"/>
    </row>
    <row r="7" spans="1:29" s="112" customFormat="1" ht="15" thickBot="1">
      <c r="A7" s="367" t="s">
        <v>2309</v>
      </c>
      <c r="B7" s="368"/>
      <c r="C7" s="369">
        <f>'数据-取费表'!B2</f>
        <v>44567</v>
      </c>
      <c r="D7" s="370">
        <v>100</v>
      </c>
      <c r="E7" s="371"/>
      <c r="F7" s="372">
        <f>SUMIF(48:48,YEAR(E7)&amp;"-"&amp;MONTH(E7),49:49)</f>
        <v>0</v>
      </c>
      <c r="G7" s="371"/>
      <c r="H7" s="370">
        <f>SUMIF(48:48,YEAR(G7)&amp;"-"&amp;MONTH(G7),49:49)</f>
        <v>0</v>
      </c>
      <c r="I7" s="371"/>
      <c r="J7" s="370">
        <f>SUMIF(48:48,YEAR(I7)&amp;"-"&amp;MONTH(I7),49:49)</f>
        <v>0</v>
      </c>
      <c r="K7" s="567"/>
      <c r="L7" s="2914"/>
      <c r="M7" s="2915"/>
      <c r="N7" s="2915"/>
      <c r="O7" s="2915"/>
      <c r="P7" s="3506" t="s">
        <v>2310</v>
      </c>
      <c r="Q7" s="3519"/>
      <c r="R7" s="709" t="s">
        <v>17</v>
      </c>
      <c r="S7" s="710">
        <f t="shared" ref="S7:S14" si="0">F7</f>
        <v>0</v>
      </c>
      <c r="T7" s="709" t="s">
        <v>17</v>
      </c>
      <c r="U7" s="710">
        <f t="shared" ref="U7:U14" si="1">H7</f>
        <v>0</v>
      </c>
      <c r="V7" s="709" t="s">
        <v>17</v>
      </c>
      <c r="W7" s="710">
        <f t="shared" ref="W7:W14" si="2">J7</f>
        <v>0</v>
      </c>
      <c r="X7" s="711"/>
      <c r="Y7" s="3506" t="s">
        <v>2310</v>
      </c>
      <c r="Z7" s="3507"/>
      <c r="AA7" s="712" t="e">
        <f>D7/F7</f>
        <v>#DIV/0!</v>
      </c>
      <c r="AB7" s="712" t="e">
        <f>D7/H7</f>
        <v>#DIV/0!</v>
      </c>
      <c r="AC7" s="712" t="e">
        <f>D7/J7</f>
        <v>#DIV/0!</v>
      </c>
    </row>
    <row r="8" spans="1:29" s="112" customFormat="1" ht="1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506" t="s">
        <v>2313</v>
      </c>
      <c r="Q8" s="3507"/>
      <c r="R8" s="709" t="s">
        <v>17</v>
      </c>
      <c r="S8" s="710">
        <f t="shared" si="0"/>
        <v>0</v>
      </c>
      <c r="T8" s="709" t="s">
        <v>17</v>
      </c>
      <c r="U8" s="710">
        <f t="shared" si="1"/>
        <v>0</v>
      </c>
      <c r="V8" s="709" t="s">
        <v>17</v>
      </c>
      <c r="W8" s="710">
        <f t="shared" si="2"/>
        <v>0</v>
      </c>
      <c r="X8" s="711"/>
      <c r="Y8" s="3506" t="s">
        <v>2313</v>
      </c>
      <c r="Z8" s="3507"/>
      <c r="AA8" s="712" t="e">
        <f t="shared" ref="AA8:AA36" si="3">D8/F8</f>
        <v>#DIV/0!</v>
      </c>
      <c r="AB8" s="712" t="e">
        <f t="shared" ref="AB8:AB36" si="4">D8/H8</f>
        <v>#DIV/0!</v>
      </c>
      <c r="AC8" s="712" t="e">
        <f t="shared" ref="AC8:AC36" si="5">D8/J8</f>
        <v>#DIV/0!</v>
      </c>
    </row>
    <row r="9" spans="1:29" s="112" customFormat="1" ht="14.4">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84" t="s">
        <v>2316</v>
      </c>
      <c r="Q9" s="1495" t="str">
        <f t="shared" ref="Q9:Q14" si="6">B9</f>
        <v>用途</v>
      </c>
      <c r="R9" s="709" t="s">
        <v>17</v>
      </c>
      <c r="S9" s="710">
        <f t="shared" si="0"/>
        <v>100</v>
      </c>
      <c r="T9" s="709" t="s">
        <v>17</v>
      </c>
      <c r="U9" s="710">
        <f t="shared" si="1"/>
        <v>100</v>
      </c>
      <c r="V9" s="709" t="s">
        <v>17</v>
      </c>
      <c r="W9" s="710">
        <f t="shared" si="2"/>
        <v>100</v>
      </c>
      <c r="X9" s="711"/>
      <c r="Y9" s="3428" t="s">
        <v>2317</v>
      </c>
      <c r="Z9" s="54" t="str">
        <f t="shared" ref="Z9:Z14" si="7">Q9</f>
        <v>用途</v>
      </c>
      <c r="AA9" s="712">
        <f t="shared" si="3"/>
        <v>1</v>
      </c>
      <c r="AB9" s="712">
        <f t="shared" si="4"/>
        <v>1</v>
      </c>
      <c r="AC9" s="712">
        <f t="shared" si="5"/>
        <v>1</v>
      </c>
    </row>
    <row r="10" spans="1:29" s="385" customFormat="1" ht="28.8">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84"/>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84"/>
      <c r="Q11" s="1495">
        <f t="shared" si="6"/>
        <v>111</v>
      </c>
      <c r="R11" s="709" t="s">
        <v>17</v>
      </c>
      <c r="S11" s="710">
        <f t="shared" si="0"/>
        <v>100</v>
      </c>
      <c r="T11" s="709" t="s">
        <v>17</v>
      </c>
      <c r="U11" s="710">
        <f t="shared" si="1"/>
        <v>100</v>
      </c>
      <c r="V11" s="709" t="s">
        <v>17</v>
      </c>
      <c r="W11" s="710">
        <f t="shared" si="2"/>
        <v>100</v>
      </c>
      <c r="X11" s="711"/>
      <c r="Y11" s="3428"/>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84"/>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84"/>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712">
        <f t="shared" si="5"/>
        <v>1</v>
      </c>
    </row>
    <row r="14" spans="1:29" ht="96.6">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87" t="s">
        <v>2321</v>
      </c>
      <c r="Q14" s="1504" t="str">
        <f t="shared" si="6"/>
        <v>交通便捷度</v>
      </c>
      <c r="R14" s="713" t="s">
        <v>17</v>
      </c>
      <c r="S14" s="714">
        <f t="shared" si="0"/>
        <v>100</v>
      </c>
      <c r="T14" s="713" t="s">
        <v>17</v>
      </c>
      <c r="U14" s="714">
        <f t="shared" si="1"/>
        <v>100</v>
      </c>
      <c r="V14" s="713" t="s">
        <v>17</v>
      </c>
      <c r="W14" s="714">
        <f t="shared" si="2"/>
        <v>100</v>
      </c>
      <c r="X14" s="1507"/>
      <c r="Y14" s="3487"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88"/>
      <c r="Q15" s="1504"/>
      <c r="R15" s="713"/>
      <c r="S15" s="714"/>
      <c r="T15" s="713"/>
      <c r="U15" s="714"/>
      <c r="V15" s="713"/>
      <c r="W15" s="714"/>
      <c r="X15" s="1507"/>
      <c r="Y15" s="3488"/>
      <c r="Z15" s="1508"/>
      <c r="AA15" s="1505">
        <v>1</v>
      </c>
      <c r="AB15" s="1505">
        <v>1</v>
      </c>
      <c r="AC15" s="1505">
        <v>1</v>
      </c>
    </row>
    <row r="16" spans="1:29" ht="41.4">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88"/>
      <c r="Q16" s="1504" t="str">
        <f>B16</f>
        <v>公共配套设施</v>
      </c>
      <c r="R16" s="713" t="s">
        <v>17</v>
      </c>
      <c r="S16" s="714">
        <f>F16</f>
        <v>100</v>
      </c>
      <c r="T16" s="713" t="s">
        <v>17</v>
      </c>
      <c r="U16" s="714">
        <f>H16</f>
        <v>100</v>
      </c>
      <c r="V16" s="713" t="s">
        <v>17</v>
      </c>
      <c r="W16" s="714">
        <f>J16</f>
        <v>100</v>
      </c>
      <c r="X16" s="1507"/>
      <c r="Y16" s="3488"/>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88"/>
      <c r="Q17" s="1504"/>
      <c r="R17" s="713"/>
      <c r="S17" s="714"/>
      <c r="T17" s="713"/>
      <c r="U17" s="714"/>
      <c r="V17" s="713"/>
      <c r="W17" s="714"/>
      <c r="X17" s="1507"/>
      <c r="Y17" s="3488"/>
      <c r="Z17" s="1508"/>
      <c r="AA17" s="1505">
        <v>1</v>
      </c>
      <c r="AB17" s="1505">
        <v>1</v>
      </c>
      <c r="AC17" s="1505">
        <v>1</v>
      </c>
    </row>
    <row r="18" spans="1:29" ht="41.4">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88"/>
      <c r="Q18" s="1504" t="str">
        <f>B18</f>
        <v>基础设施水平</v>
      </c>
      <c r="R18" s="713" t="s">
        <v>17</v>
      </c>
      <c r="S18" s="714">
        <f>F18</f>
        <v>100</v>
      </c>
      <c r="T18" s="713" t="s">
        <v>17</v>
      </c>
      <c r="U18" s="714">
        <f>H18</f>
        <v>100</v>
      </c>
      <c r="V18" s="713" t="s">
        <v>17</v>
      </c>
      <c r="W18" s="714">
        <f>J18</f>
        <v>100</v>
      </c>
      <c r="X18" s="1507"/>
      <c r="Y18" s="3488"/>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9"/>
      <c r="M19" s="2913"/>
      <c r="N19" s="2913"/>
      <c r="O19" s="2913"/>
      <c r="P19" s="3488"/>
      <c r="Q19" s="1504"/>
      <c r="R19" s="713"/>
      <c r="S19" s="714"/>
      <c r="T19" s="713"/>
      <c r="U19" s="714"/>
      <c r="V19" s="713"/>
      <c r="W19" s="714"/>
      <c r="X19" s="1507"/>
      <c r="Y19" s="3488"/>
      <c r="Z19" s="1508"/>
      <c r="AA19" s="1505">
        <v>1</v>
      </c>
      <c r="AB19" s="1505">
        <v>1</v>
      </c>
      <c r="AC19" s="1505">
        <v>1</v>
      </c>
    </row>
    <row r="20" spans="1:29" ht="55.2">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88"/>
      <c r="Q20" s="1504" t="str">
        <f>B20</f>
        <v>自然及人文环境</v>
      </c>
      <c r="R20" s="713" t="s">
        <v>17</v>
      </c>
      <c r="S20" s="714">
        <f>F20</f>
        <v>100</v>
      </c>
      <c r="T20" s="713" t="s">
        <v>17</v>
      </c>
      <c r="U20" s="714">
        <f>H20</f>
        <v>100</v>
      </c>
      <c r="V20" s="713" t="s">
        <v>17</v>
      </c>
      <c r="W20" s="714">
        <f>J20</f>
        <v>100</v>
      </c>
      <c r="X20" s="1507"/>
      <c r="Y20" s="3488"/>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88"/>
      <c r="Q21" s="1504"/>
      <c r="R21" s="713"/>
      <c r="S21" s="714"/>
      <c r="T21" s="713"/>
      <c r="U21" s="714"/>
      <c r="V21" s="713"/>
      <c r="W21" s="714"/>
      <c r="X21" s="1507"/>
      <c r="Y21" s="3488"/>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88"/>
      <c r="Q22" s="1504" t="str">
        <f>B22</f>
        <v>楼层</v>
      </c>
      <c r="R22" s="713" t="s">
        <v>17</v>
      </c>
      <c r="S22" s="714">
        <f>F22</f>
        <v>100</v>
      </c>
      <c r="T22" s="713" t="s">
        <v>17</v>
      </c>
      <c r="U22" s="714">
        <f>H22</f>
        <v>100</v>
      </c>
      <c r="V22" s="713" t="s">
        <v>17</v>
      </c>
      <c r="W22" s="714">
        <f>J22</f>
        <v>100</v>
      </c>
      <c r="X22" s="1507"/>
      <c r="Y22" s="3488"/>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88"/>
      <c r="Q23" s="1504">
        <f>B23</f>
        <v>111</v>
      </c>
      <c r="R23" s="713" t="s">
        <v>17</v>
      </c>
      <c r="S23" s="714">
        <f>F23</f>
        <v>100</v>
      </c>
      <c r="T23" s="713" t="s">
        <v>17</v>
      </c>
      <c r="U23" s="714">
        <f>H23</f>
        <v>100</v>
      </c>
      <c r="V23" s="713" t="s">
        <v>17</v>
      </c>
      <c r="W23" s="714">
        <f>J23</f>
        <v>100</v>
      </c>
      <c r="X23" s="1507"/>
      <c r="Y23" s="3488"/>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88"/>
      <c r="Q24" s="1504">
        <f t="shared" ref="Q24:Q36" si="11">B24</f>
        <v>111</v>
      </c>
      <c r="R24" s="713" t="s">
        <v>17</v>
      </c>
      <c r="S24" s="714">
        <f>F24</f>
        <v>100</v>
      </c>
      <c r="T24" s="713" t="s">
        <v>17</v>
      </c>
      <c r="U24" s="714">
        <f>H24</f>
        <v>100</v>
      </c>
      <c r="V24" s="713" t="s">
        <v>17</v>
      </c>
      <c r="W24" s="714">
        <f>J24</f>
        <v>100</v>
      </c>
      <c r="X24" s="1507"/>
      <c r="Y24" s="3488"/>
      <c r="Z24" s="1508">
        <f>Q24</f>
        <v>111</v>
      </c>
      <c r="AA24" s="1505">
        <f t="shared" si="3"/>
        <v>1</v>
      </c>
      <c r="AB24" s="1505">
        <f t="shared" si="4"/>
        <v>1</v>
      </c>
      <c r="AC24" s="1505">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88"/>
      <c r="Q25" s="1495">
        <f t="shared" si="11"/>
        <v>111</v>
      </c>
      <c r="R25" s="709" t="s">
        <v>17</v>
      </c>
      <c r="S25" s="710">
        <f>F25</f>
        <v>100</v>
      </c>
      <c r="T25" s="709" t="s">
        <v>17</v>
      </c>
      <c r="U25" s="710">
        <f>H25</f>
        <v>100</v>
      </c>
      <c r="V25" s="709" t="s">
        <v>17</v>
      </c>
      <c r="W25" s="710">
        <f>J25</f>
        <v>100</v>
      </c>
      <c r="X25" s="711"/>
      <c r="Y25" s="3488"/>
      <c r="Z25" s="54">
        <f>Q25</f>
        <v>111</v>
      </c>
      <c r="AA25" s="1505">
        <f>D25/F25</f>
        <v>1</v>
      </c>
      <c r="AB25" s="1505">
        <f>D25/H25</f>
        <v>1</v>
      </c>
      <c r="AC25" s="1505">
        <f>D25/J25</f>
        <v>1</v>
      </c>
    </row>
    <row r="26" spans="1:29" ht="30">
      <c r="A26" s="607" t="s">
        <v>2324</v>
      </c>
      <c r="B26" s="65"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489"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90"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90"/>
      <c r="Q27" s="715" t="str">
        <f t="shared" si="11"/>
        <v>项目停车位配比</v>
      </c>
      <c r="R27" s="716" t="s">
        <v>17</v>
      </c>
      <c r="S27" s="717">
        <f t="shared" si="12"/>
        <v>100</v>
      </c>
      <c r="T27" s="716" t="s">
        <v>17</v>
      </c>
      <c r="U27" s="717">
        <f t="shared" si="13"/>
        <v>100</v>
      </c>
      <c r="V27" s="716" t="s">
        <v>17</v>
      </c>
      <c r="W27" s="717">
        <f t="shared" si="14"/>
        <v>100</v>
      </c>
      <c r="X27" s="718"/>
      <c r="Y27" s="3490"/>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90"/>
      <c r="Q28" s="1504" t="str">
        <f t="shared" si="11"/>
        <v>公共部分装修</v>
      </c>
      <c r="R28" s="713" t="s">
        <v>17</v>
      </c>
      <c r="S28" s="714">
        <f t="shared" si="12"/>
        <v>100</v>
      </c>
      <c r="T28" s="713" t="s">
        <v>17</v>
      </c>
      <c r="U28" s="714">
        <f t="shared" si="13"/>
        <v>100</v>
      </c>
      <c r="V28" s="713" t="s">
        <v>17</v>
      </c>
      <c r="W28" s="714">
        <f t="shared" si="14"/>
        <v>100</v>
      </c>
      <c r="X28" s="1507"/>
      <c r="Y28" s="3490"/>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90"/>
      <c r="Q29" s="1504" t="str">
        <f t="shared" si="11"/>
        <v>成新率</v>
      </c>
      <c r="R29" s="713" t="s">
        <v>17</v>
      </c>
      <c r="S29" s="714" t="e">
        <f t="shared" si="12"/>
        <v>#N/A</v>
      </c>
      <c r="T29" s="713" t="s">
        <v>17</v>
      </c>
      <c r="U29" s="714" t="e">
        <f t="shared" si="13"/>
        <v>#N/A</v>
      </c>
      <c r="V29" s="713" t="s">
        <v>17</v>
      </c>
      <c r="W29" s="714" t="e">
        <f t="shared" si="14"/>
        <v>#N/A</v>
      </c>
      <c r="X29" s="1507"/>
      <c r="Y29" s="3490"/>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90"/>
      <c r="Q30" s="1504" t="str">
        <f t="shared" si="11"/>
        <v>物业等级</v>
      </c>
      <c r="R30" s="713" t="s">
        <v>17</v>
      </c>
      <c r="S30" s="714">
        <f t="shared" si="12"/>
        <v>100</v>
      </c>
      <c r="T30" s="713" t="s">
        <v>17</v>
      </c>
      <c r="U30" s="714">
        <f t="shared" si="13"/>
        <v>100</v>
      </c>
      <c r="V30" s="713" t="s">
        <v>17</v>
      </c>
      <c r="W30" s="714">
        <f t="shared" si="14"/>
        <v>100</v>
      </c>
      <c r="X30" s="1507"/>
      <c r="Y30" s="3490"/>
      <c r="Z30" s="1508" t="str">
        <f t="shared" si="15"/>
        <v>物业等级</v>
      </c>
      <c r="AA30" s="1505">
        <f t="shared" si="3"/>
        <v>1</v>
      </c>
      <c r="AB30" s="1505">
        <f t="shared" si="4"/>
        <v>1</v>
      </c>
      <c r="AC30" s="1505">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90"/>
      <c r="Q31" s="1495" t="str">
        <f t="shared" si="11"/>
        <v>停车位面积</v>
      </c>
      <c r="R31" s="709" t="s">
        <v>17</v>
      </c>
      <c r="S31" s="710" t="e">
        <f t="shared" si="12"/>
        <v>#N/A</v>
      </c>
      <c r="T31" s="709" t="s">
        <v>17</v>
      </c>
      <c r="U31" s="710" t="e">
        <f t="shared" si="13"/>
        <v>#N/A</v>
      </c>
      <c r="V31" s="709" t="s">
        <v>17</v>
      </c>
      <c r="W31" s="710" t="e">
        <f t="shared" si="14"/>
        <v>#N/A</v>
      </c>
      <c r="X31" s="711"/>
      <c r="Y31" s="3490"/>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90" t="s">
        <v>2326</v>
      </c>
      <c r="Q32" s="1504" t="str">
        <f t="shared" si="11"/>
        <v>车位类型</v>
      </c>
      <c r="R32" s="713" t="s">
        <v>17</v>
      </c>
      <c r="S32" s="714">
        <f t="shared" si="12"/>
        <v>100</v>
      </c>
      <c r="T32" s="713" t="s">
        <v>17</v>
      </c>
      <c r="U32" s="714">
        <f t="shared" si="13"/>
        <v>100</v>
      </c>
      <c r="V32" s="713" t="s">
        <v>17</v>
      </c>
      <c r="W32" s="714">
        <f t="shared" si="14"/>
        <v>100</v>
      </c>
      <c r="X32" s="1507"/>
      <c r="Y32" s="3490"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90"/>
      <c r="Q33" s="1504" t="str">
        <f t="shared" si="11"/>
        <v>是否直接入户</v>
      </c>
      <c r="R33" s="713" t="s">
        <v>17</v>
      </c>
      <c r="S33" s="714">
        <f t="shared" si="12"/>
        <v>100</v>
      </c>
      <c r="T33" s="713" t="s">
        <v>17</v>
      </c>
      <c r="U33" s="714">
        <f t="shared" si="13"/>
        <v>100</v>
      </c>
      <c r="V33" s="713" t="s">
        <v>17</v>
      </c>
      <c r="W33" s="714">
        <f t="shared" si="14"/>
        <v>100</v>
      </c>
      <c r="X33" s="1507"/>
      <c r="Y33" s="3490"/>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90"/>
      <c r="Q34" s="1504">
        <f t="shared" si="11"/>
        <v>111</v>
      </c>
      <c r="R34" s="713" t="s">
        <v>17</v>
      </c>
      <c r="S34" s="714">
        <f t="shared" si="12"/>
        <v>100</v>
      </c>
      <c r="T34" s="713" t="s">
        <v>17</v>
      </c>
      <c r="U34" s="714">
        <f t="shared" si="13"/>
        <v>100</v>
      </c>
      <c r="V34" s="713" t="s">
        <v>17</v>
      </c>
      <c r="W34" s="714">
        <f t="shared" si="14"/>
        <v>100</v>
      </c>
      <c r="X34" s="1507"/>
      <c r="Y34" s="3490"/>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90"/>
      <c r="Q35" s="715">
        <f t="shared" si="11"/>
        <v>111</v>
      </c>
      <c r="R35" s="716" t="s">
        <v>17</v>
      </c>
      <c r="S35" s="717">
        <f t="shared" si="12"/>
        <v>100</v>
      </c>
      <c r="T35" s="716" t="s">
        <v>17</v>
      </c>
      <c r="U35" s="717">
        <f t="shared" si="13"/>
        <v>100</v>
      </c>
      <c r="V35" s="716" t="s">
        <v>17</v>
      </c>
      <c r="W35" s="717">
        <f t="shared" si="14"/>
        <v>100</v>
      </c>
      <c r="X35" s="718"/>
      <c r="Y35" s="3490"/>
      <c r="Z35" s="719">
        <f t="shared" si="15"/>
        <v>111</v>
      </c>
      <c r="AA35" s="1505">
        <f t="shared" si="3"/>
        <v>1</v>
      </c>
      <c r="AB35" s="1505">
        <f t="shared" si="4"/>
        <v>1</v>
      </c>
      <c r="AC35" s="1505">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90"/>
      <c r="Q36" s="1504">
        <f t="shared" si="11"/>
        <v>111</v>
      </c>
      <c r="R36" s="713" t="s">
        <v>17</v>
      </c>
      <c r="S36" s="714">
        <f t="shared" si="12"/>
        <v>100</v>
      </c>
      <c r="T36" s="713" t="s">
        <v>17</v>
      </c>
      <c r="U36" s="714">
        <f t="shared" si="13"/>
        <v>100</v>
      </c>
      <c r="V36" s="713" t="s">
        <v>17</v>
      </c>
      <c r="W36" s="714">
        <f t="shared" si="14"/>
        <v>100</v>
      </c>
      <c r="X36" s="1507"/>
      <c r="Y36" s="3490"/>
      <c r="Z36" s="1508">
        <f t="shared" si="15"/>
        <v>111</v>
      </c>
      <c r="AA36" s="1505">
        <f t="shared" si="3"/>
        <v>1</v>
      </c>
      <c r="AB36" s="1505">
        <f t="shared" si="4"/>
        <v>1</v>
      </c>
      <c r="AC36" s="1505">
        <f t="shared" si="5"/>
        <v>1</v>
      </c>
    </row>
    <row r="37" spans="1:29" ht="14.4">
      <c r="A37" s="437" t="s">
        <v>2481</v>
      </c>
      <c r="B37" s="2127" t="s">
        <v>2482</v>
      </c>
      <c r="C37" s="1287" t="s">
        <v>1</v>
      </c>
      <c r="D37" s="1288"/>
      <c r="E37" s="1289"/>
      <c r="F37" s="1290"/>
      <c r="G37" s="1291"/>
      <c r="H37" s="1292"/>
      <c r="I37" s="1289"/>
      <c r="J37" s="1292"/>
      <c r="K37" s="575"/>
      <c r="L37" s="2921"/>
      <c r="M37" s="2922"/>
      <c r="N37" s="2913"/>
      <c r="O37" s="2922"/>
      <c r="P37" s="3484" t="str">
        <f>A37</f>
        <v>成交单价</v>
      </c>
      <c r="Q37" s="3484"/>
      <c r="R37" s="3558">
        <f>E37</f>
        <v>0</v>
      </c>
      <c r="S37" s="3558"/>
      <c r="T37" s="3558">
        <f>G37</f>
        <v>0</v>
      </c>
      <c r="U37" s="3558"/>
      <c r="V37" s="3558">
        <f>I37</f>
        <v>0</v>
      </c>
      <c r="W37" s="3558"/>
      <c r="X37" s="698"/>
      <c r="Y37" s="720"/>
      <c r="Z37" s="698"/>
      <c r="AA37" s="698"/>
      <c r="AB37" s="698"/>
      <c r="AC37" s="698"/>
    </row>
    <row r="38" spans="1:29" ht="15" thickBot="1">
      <c r="A38" s="444" t="s">
        <v>2483</v>
      </c>
      <c r="B38" s="445" t="str">
        <f>B37</f>
        <v>元/车位</v>
      </c>
      <c r="C38" s="1293" t="e">
        <f>R39</f>
        <v>#DIV/0!</v>
      </c>
      <c r="D38" s="2506" t="s">
        <v>2818</v>
      </c>
      <c r="E38" s="1294" t="e">
        <f>R38</f>
        <v>#DIV/0!</v>
      </c>
      <c r="F38" s="2507"/>
      <c r="G38" s="1293" t="e">
        <f>T38</f>
        <v>#DIV/0!</v>
      </c>
      <c r="H38" s="2507"/>
      <c r="I38" s="1294" t="e">
        <f>V38</f>
        <v>#DIV/0!</v>
      </c>
      <c r="J38" s="2507"/>
      <c r="K38" s="2509">
        <f>F38+H38+J38</f>
        <v>0</v>
      </c>
      <c r="L38" s="2921"/>
      <c r="M38" s="2922"/>
      <c r="N38" s="2922"/>
      <c r="O38" s="2922"/>
      <c r="P38" s="3484" t="str">
        <f>A38</f>
        <v>比较价值（元/平方米）</v>
      </c>
      <c r="Q38" s="3484"/>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8"/>
      <c r="Y38" s="698"/>
      <c r="Z38" s="698"/>
      <c r="AA38" s="698"/>
      <c r="AB38" s="698"/>
      <c r="AC38" s="698"/>
    </row>
    <row r="39" spans="1:29" ht="15" thickBot="1">
      <c r="A39" s="448" t="s">
        <v>2484</v>
      </c>
      <c r="B39" s="449"/>
      <c r="C39" s="1296" t="e">
        <f>R39</f>
        <v>#DIV/0!</v>
      </c>
      <c r="D39" s="1296"/>
      <c r="E39" s="1296"/>
      <c r="F39" s="1296"/>
      <c r="G39" s="1296"/>
      <c r="H39" s="1296"/>
      <c r="I39" s="1296"/>
      <c r="J39" s="1296"/>
      <c r="K39" s="576"/>
      <c r="L39" s="2921"/>
      <c r="M39" s="2922"/>
      <c r="N39" s="2922"/>
      <c r="O39" s="2922"/>
      <c r="P39" s="3481" t="str">
        <f>A39</f>
        <v>估价对象XX用房的比较价值（楼面单价，元/平方米）</v>
      </c>
      <c r="Q39" s="3482"/>
      <c r="R39" s="3580" t="e">
        <f>IF(F1="售价",ROUND(IF(D38="简单平均",AVERAGE(R38:W38),R38*F38+T38*H38+V38*J38),0),ROUND(IF(D38="简单平均",AVERAGE(R38:V38),R38*F38+T38*H38+V38*J38),1))</f>
        <v>#DIV/0!</v>
      </c>
      <c r="S39" s="3580"/>
      <c r="T39" s="3580"/>
      <c r="U39" s="3580"/>
      <c r="V39" s="3580"/>
      <c r="W39" s="3580"/>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4.4">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2" customFormat="1">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2" customFormat="1" ht="1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2" customFormat="1" ht="14.4">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2" customFormat="1" ht="14.4"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ht="14.4">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4.4"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9.4"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4.4"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4.4"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4.4"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4.4"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4.4"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4.4"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 thickTop="1">
      <c r="A67" s="490"/>
      <c r="B67" s="502" t="s">
        <v>2450</v>
      </c>
      <c r="C67" s="615" t="s">
        <v>2436</v>
      </c>
      <c r="D67" s="615" t="s">
        <v>2437</v>
      </c>
      <c r="E67" s="615" t="s">
        <v>2438</v>
      </c>
      <c r="F67" s="615" t="s">
        <v>2439</v>
      </c>
      <c r="G67" s="615" t="s">
        <v>2440</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2" customFormat="1" ht="14.4"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2" customFormat="1" ht="14.4"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2" customFormat="1" ht="14.4"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2" customFormat="1" ht="14.4"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4.4"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4.4"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9.4"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4.4"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4.4"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4.4"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4.4"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4.4"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4.4"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4.4"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4.4"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4.4">
      <c r="A4" s="360" t="s">
        <v>2406</v>
      </c>
      <c r="B4" s="361"/>
      <c r="C4" s="3494" t="s">
        <v>2407</v>
      </c>
      <c r="D4" s="3495"/>
      <c r="E4" s="3496" t="s">
        <v>2408</v>
      </c>
      <c r="F4" s="3497"/>
      <c r="G4" s="3494" t="s">
        <v>2409</v>
      </c>
      <c r="H4" s="3495"/>
      <c r="I4" s="3494" t="s">
        <v>2410</v>
      </c>
      <c r="J4" s="3495"/>
      <c r="K4" s="566" t="s">
        <v>2411</v>
      </c>
      <c r="L4" s="2912"/>
      <c r="M4" s="2913"/>
      <c r="N4" s="2913"/>
      <c r="O4" s="2913"/>
      <c r="P4" s="3498" t="s">
        <v>2412</v>
      </c>
      <c r="Q4" s="3499"/>
      <c r="R4" s="3511" t="s">
        <v>2408</v>
      </c>
      <c r="S4" s="3512"/>
      <c r="T4" s="3511" t="s">
        <v>2409</v>
      </c>
      <c r="U4" s="3512"/>
      <c r="V4" s="3486" t="s">
        <v>2410</v>
      </c>
      <c r="W4" s="3486"/>
      <c r="X4" s="1507"/>
      <c r="Y4" s="3511" t="s">
        <v>2412</v>
      </c>
      <c r="Z4" s="3512"/>
      <c r="AA4" s="3491" t="s">
        <v>2408</v>
      </c>
      <c r="AB4" s="3492" t="s">
        <v>2409</v>
      </c>
      <c r="AC4" s="3491" t="s">
        <v>2410</v>
      </c>
    </row>
    <row r="5" spans="1:29">
      <c r="A5" s="363"/>
      <c r="B5" s="364"/>
      <c r="C5" s="3515" t="s">
        <v>2303</v>
      </c>
      <c r="D5" s="3516"/>
      <c r="E5" s="3504" t="s">
        <v>2304</v>
      </c>
      <c r="F5" s="3505"/>
      <c r="G5" s="3515" t="s">
        <v>2305</v>
      </c>
      <c r="H5" s="3516"/>
      <c r="I5" s="3515" t="s">
        <v>2306</v>
      </c>
      <c r="J5" s="3516"/>
      <c r="K5" s="566"/>
      <c r="L5" s="2912"/>
      <c r="M5" s="2913"/>
      <c r="N5" s="2913"/>
      <c r="O5" s="2913"/>
      <c r="P5" s="3500"/>
      <c r="Q5" s="3501"/>
      <c r="R5" s="3513"/>
      <c r="S5" s="3514"/>
      <c r="T5" s="3513"/>
      <c r="U5" s="3514"/>
      <c r="V5" s="3486"/>
      <c r="W5" s="3486"/>
      <c r="X5" s="1507"/>
      <c r="Y5" s="3513"/>
      <c r="Z5" s="3514"/>
      <c r="AA5" s="3492"/>
      <c r="AB5" s="3492"/>
      <c r="AC5" s="3492"/>
    </row>
    <row r="6" spans="1:29" ht="15" thickBot="1">
      <c r="A6" s="365"/>
      <c r="B6" s="366"/>
      <c r="C6" s="3553" t="s">
        <v>2307</v>
      </c>
      <c r="D6" s="3554"/>
      <c r="E6" s="3555" t="s">
        <v>2307</v>
      </c>
      <c r="F6" s="3556"/>
      <c r="G6" s="3553" t="s">
        <v>2307</v>
      </c>
      <c r="H6" s="3554"/>
      <c r="I6" s="3553" t="s">
        <v>2307</v>
      </c>
      <c r="J6" s="3554"/>
      <c r="K6" s="566" t="s">
        <v>2308</v>
      </c>
      <c r="L6" s="2912"/>
      <c r="M6" s="2913"/>
      <c r="N6" s="2913"/>
      <c r="O6" s="2913"/>
      <c r="P6" s="3502"/>
      <c r="Q6" s="3503"/>
      <c r="R6" s="3513"/>
      <c r="S6" s="3514"/>
      <c r="T6" s="3522"/>
      <c r="U6" s="3523"/>
      <c r="V6" s="3486"/>
      <c r="W6" s="3486"/>
      <c r="X6" s="1507"/>
      <c r="Y6" s="3522"/>
      <c r="Z6" s="3523"/>
      <c r="AA6" s="3493"/>
      <c r="AB6" s="3493"/>
      <c r="AC6" s="3493"/>
    </row>
    <row r="7" spans="1:29" s="112" customFormat="1" ht="15" thickBot="1">
      <c r="A7" s="367" t="s">
        <v>2309</v>
      </c>
      <c r="B7" s="368"/>
      <c r="C7" s="369">
        <f>'数据-取费表'!B2</f>
        <v>44567</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506" t="s">
        <v>2310</v>
      </c>
      <c r="Q7" s="3519"/>
      <c r="R7" s="709" t="s">
        <v>17</v>
      </c>
      <c r="S7" s="710">
        <f t="shared" ref="S7:S14" si="0">F7</f>
        <v>0</v>
      </c>
      <c r="T7" s="709" t="s">
        <v>17</v>
      </c>
      <c r="U7" s="710">
        <f t="shared" ref="U7:U14" si="1">H7</f>
        <v>0</v>
      </c>
      <c r="V7" s="709" t="s">
        <v>17</v>
      </c>
      <c r="W7" s="710">
        <f t="shared" ref="W7:W14" si="2">J7</f>
        <v>0</v>
      </c>
      <c r="X7" s="711"/>
      <c r="Y7" s="3506" t="s">
        <v>2310</v>
      </c>
      <c r="Z7" s="3507"/>
      <c r="AA7" s="712" t="e">
        <f>D7/F7</f>
        <v>#DIV/0!</v>
      </c>
      <c r="AB7" s="712" t="e">
        <f>D7/H7</f>
        <v>#DIV/0!</v>
      </c>
      <c r="AC7" s="712" t="e">
        <f>D7/J7</f>
        <v>#DIV/0!</v>
      </c>
    </row>
    <row r="8" spans="1:29" s="112" customFormat="1" ht="1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506" t="s">
        <v>2313</v>
      </c>
      <c r="Q8" s="3507"/>
      <c r="R8" s="709" t="s">
        <v>17</v>
      </c>
      <c r="S8" s="710">
        <f t="shared" si="0"/>
        <v>0</v>
      </c>
      <c r="T8" s="709" t="s">
        <v>17</v>
      </c>
      <c r="U8" s="710">
        <f t="shared" si="1"/>
        <v>0</v>
      </c>
      <c r="V8" s="709" t="s">
        <v>17</v>
      </c>
      <c r="W8" s="710">
        <f t="shared" si="2"/>
        <v>0</v>
      </c>
      <c r="X8" s="711"/>
      <c r="Y8" s="3506" t="s">
        <v>2313</v>
      </c>
      <c r="Z8" s="3507"/>
      <c r="AA8" s="712" t="e">
        <f t="shared" ref="AA8:AA34" si="3">D8/F8</f>
        <v>#DIV/0!</v>
      </c>
      <c r="AB8" s="712" t="e">
        <f t="shared" ref="AB8:AB34" si="4">D8/H8</f>
        <v>#DIV/0!</v>
      </c>
      <c r="AC8" s="712" t="e">
        <f t="shared" ref="AC8:AC34" si="5">D8/J8</f>
        <v>#DIV/0!</v>
      </c>
    </row>
    <row r="9" spans="1:29" s="112" customFormat="1" ht="14.4">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84" t="s">
        <v>2316</v>
      </c>
      <c r="Q9" s="1495" t="str">
        <f t="shared" ref="Q9:Q14" si="6">B9</f>
        <v>用途</v>
      </c>
      <c r="R9" s="709" t="s">
        <v>17</v>
      </c>
      <c r="S9" s="710">
        <f t="shared" si="0"/>
        <v>100</v>
      </c>
      <c r="T9" s="709" t="s">
        <v>17</v>
      </c>
      <c r="U9" s="710">
        <f t="shared" si="1"/>
        <v>100</v>
      </c>
      <c r="V9" s="709" t="s">
        <v>17</v>
      </c>
      <c r="W9" s="710">
        <f t="shared" si="2"/>
        <v>100</v>
      </c>
      <c r="X9" s="711"/>
      <c r="Y9" s="3428" t="s">
        <v>2317</v>
      </c>
      <c r="Z9" s="54" t="str">
        <f t="shared" ref="Z9:Z14" si="7">Q9</f>
        <v>用途</v>
      </c>
      <c r="AA9" s="712">
        <f t="shared" si="3"/>
        <v>1</v>
      </c>
      <c r="AB9" s="712">
        <f t="shared" si="4"/>
        <v>1</v>
      </c>
      <c r="AC9" s="712">
        <f t="shared" si="5"/>
        <v>1</v>
      </c>
    </row>
    <row r="10" spans="1:29" s="385" customFormat="1" ht="28.8">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84"/>
      <c r="Q10" s="1495" t="str">
        <f t="shared" si="6"/>
        <v>土地使用年限（年）</v>
      </c>
      <c r="R10" s="709" t="s">
        <v>17</v>
      </c>
      <c r="S10" s="710">
        <f t="shared" si="0"/>
        <v>100</v>
      </c>
      <c r="T10" s="709" t="s">
        <v>17</v>
      </c>
      <c r="U10" s="710">
        <f t="shared" si="1"/>
        <v>100</v>
      </c>
      <c r="V10" s="709" t="s">
        <v>17</v>
      </c>
      <c r="W10" s="710">
        <f t="shared" si="2"/>
        <v>100</v>
      </c>
      <c r="X10" s="711"/>
      <c r="Y10" s="3428"/>
      <c r="Z10" s="54"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84"/>
      <c r="Q11" s="1495">
        <f t="shared" si="6"/>
        <v>111</v>
      </c>
      <c r="R11" s="709" t="s">
        <v>17</v>
      </c>
      <c r="S11" s="710">
        <f t="shared" si="0"/>
        <v>100</v>
      </c>
      <c r="T11" s="709" t="s">
        <v>17</v>
      </c>
      <c r="U11" s="710">
        <f t="shared" si="1"/>
        <v>100</v>
      </c>
      <c r="V11" s="709" t="s">
        <v>17</v>
      </c>
      <c r="W11" s="710">
        <f t="shared" si="2"/>
        <v>100</v>
      </c>
      <c r="X11" s="711"/>
      <c r="Y11" s="3428"/>
      <c r="Z11" s="54">
        <f t="shared" si="7"/>
        <v>111</v>
      </c>
      <c r="AA11" s="712">
        <f t="shared" si="3"/>
        <v>1</v>
      </c>
      <c r="AB11" s="712">
        <f t="shared" si="4"/>
        <v>1</v>
      </c>
      <c r="AC11" s="712">
        <f t="shared" si="5"/>
        <v>1</v>
      </c>
    </row>
    <row r="12" spans="1:29" s="112"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84"/>
      <c r="Q12" s="1495">
        <f t="shared" si="6"/>
        <v>111</v>
      </c>
      <c r="R12" s="709" t="s">
        <v>17</v>
      </c>
      <c r="S12" s="710">
        <f t="shared" si="0"/>
        <v>100</v>
      </c>
      <c r="T12" s="709" t="s">
        <v>17</v>
      </c>
      <c r="U12" s="710">
        <f t="shared" si="1"/>
        <v>100</v>
      </c>
      <c r="V12" s="709" t="s">
        <v>17</v>
      </c>
      <c r="W12" s="710">
        <f t="shared" si="2"/>
        <v>100</v>
      </c>
      <c r="X12" s="711"/>
      <c r="Y12" s="3428"/>
      <c r="Z12" s="54">
        <f t="shared" si="7"/>
        <v>111</v>
      </c>
      <c r="AA12" s="712">
        <f>D12/F12</f>
        <v>1</v>
      </c>
      <c r="AB12" s="712">
        <f>D12/H12</f>
        <v>1</v>
      </c>
      <c r="AC12" s="712">
        <f>D12/J12</f>
        <v>1</v>
      </c>
    </row>
    <row r="13" spans="1:29" ht="15.6"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84"/>
      <c r="Q13" s="1495">
        <f t="shared" si="6"/>
        <v>111</v>
      </c>
      <c r="R13" s="709" t="s">
        <v>17</v>
      </c>
      <c r="S13" s="710">
        <f t="shared" si="0"/>
        <v>100</v>
      </c>
      <c r="T13" s="709" t="s">
        <v>17</v>
      </c>
      <c r="U13" s="710">
        <f t="shared" si="1"/>
        <v>100</v>
      </c>
      <c r="V13" s="709" t="s">
        <v>17</v>
      </c>
      <c r="W13" s="710">
        <f t="shared" si="2"/>
        <v>100</v>
      </c>
      <c r="X13" s="711"/>
      <c r="Y13" s="3428"/>
      <c r="Z13" s="54">
        <f t="shared" si="7"/>
        <v>111</v>
      </c>
      <c r="AA13" s="712">
        <f t="shared" si="3"/>
        <v>1</v>
      </c>
      <c r="AB13" s="712">
        <f t="shared" si="4"/>
        <v>1</v>
      </c>
      <c r="AC13" s="712">
        <f t="shared" si="5"/>
        <v>1</v>
      </c>
    </row>
    <row r="14" spans="1:29" ht="96.6">
      <c r="A14" s="398" t="s">
        <v>2320</v>
      </c>
      <c r="B14" s="64"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87" t="s">
        <v>2321</v>
      </c>
      <c r="Q14" s="1504" t="str">
        <f t="shared" si="6"/>
        <v>交通便捷度</v>
      </c>
      <c r="R14" s="713" t="s">
        <v>17</v>
      </c>
      <c r="S14" s="714">
        <f t="shared" si="0"/>
        <v>100</v>
      </c>
      <c r="T14" s="713" t="s">
        <v>17</v>
      </c>
      <c r="U14" s="714">
        <f t="shared" si="1"/>
        <v>100</v>
      </c>
      <c r="V14" s="713" t="s">
        <v>17</v>
      </c>
      <c r="W14" s="714">
        <f t="shared" si="2"/>
        <v>100</v>
      </c>
      <c r="X14" s="1507"/>
      <c r="Y14" s="3487"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88"/>
      <c r="Q15" s="1504"/>
      <c r="R15" s="713"/>
      <c r="S15" s="714"/>
      <c r="T15" s="713"/>
      <c r="U15" s="714"/>
      <c r="V15" s="713"/>
      <c r="W15" s="714"/>
      <c r="X15" s="1507"/>
      <c r="Y15" s="3488"/>
      <c r="Z15" s="1508"/>
      <c r="AA15" s="1505">
        <v>1</v>
      </c>
      <c r="AB15" s="1505">
        <v>1</v>
      </c>
      <c r="AC15" s="1505">
        <v>1</v>
      </c>
    </row>
    <row r="16" spans="1:29" ht="41.4">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88"/>
      <c r="Q16" s="1504" t="str">
        <f>B16</f>
        <v>公共配套设施</v>
      </c>
      <c r="R16" s="713" t="s">
        <v>17</v>
      </c>
      <c r="S16" s="714">
        <f>F16</f>
        <v>100</v>
      </c>
      <c r="T16" s="713" t="s">
        <v>17</v>
      </c>
      <c r="U16" s="714">
        <f>H16</f>
        <v>100</v>
      </c>
      <c r="V16" s="713" t="s">
        <v>17</v>
      </c>
      <c r="W16" s="714">
        <f>J16</f>
        <v>100</v>
      </c>
      <c r="X16" s="1507"/>
      <c r="Y16" s="3488"/>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88"/>
      <c r="Q17" s="1504"/>
      <c r="R17" s="713"/>
      <c r="S17" s="714"/>
      <c r="T17" s="713"/>
      <c r="U17" s="714"/>
      <c r="V17" s="713"/>
      <c r="W17" s="714"/>
      <c r="X17" s="1507"/>
      <c r="Y17" s="3488"/>
      <c r="Z17" s="1508"/>
      <c r="AA17" s="1505">
        <v>1</v>
      </c>
      <c r="AB17" s="1505">
        <v>1</v>
      </c>
      <c r="AC17" s="1505">
        <v>1</v>
      </c>
    </row>
    <row r="18" spans="1:29" ht="41.4">
      <c r="A18" s="386"/>
      <c r="B18" s="1264"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88"/>
      <c r="Q18" s="1504" t="str">
        <f>B18</f>
        <v>基础设施水平</v>
      </c>
      <c r="R18" s="713" t="s">
        <v>17</v>
      </c>
      <c r="S18" s="714">
        <f>F18</f>
        <v>100</v>
      </c>
      <c r="T18" s="713" t="s">
        <v>17</v>
      </c>
      <c r="U18" s="714">
        <f>H18</f>
        <v>100</v>
      </c>
      <c r="V18" s="713" t="s">
        <v>17</v>
      </c>
      <c r="W18" s="714">
        <f>J18</f>
        <v>100</v>
      </c>
      <c r="X18" s="1507"/>
      <c r="Y18" s="3488"/>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9"/>
      <c r="M19" s="2913"/>
      <c r="N19" s="2913"/>
      <c r="O19" s="2971"/>
      <c r="P19" s="3488"/>
      <c r="Q19" s="1504"/>
      <c r="R19" s="713"/>
      <c r="S19" s="714"/>
      <c r="T19" s="713"/>
      <c r="U19" s="714"/>
      <c r="V19" s="713"/>
      <c r="W19" s="714"/>
      <c r="X19" s="1507"/>
      <c r="Y19" s="3488"/>
      <c r="Z19" s="1508"/>
      <c r="AA19" s="1505">
        <v>1</v>
      </c>
      <c r="AB19" s="1505">
        <v>1</v>
      </c>
      <c r="AC19" s="1505">
        <v>1</v>
      </c>
    </row>
    <row r="20" spans="1:29" ht="55.2">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88"/>
      <c r="Q20" s="1504" t="str">
        <f>B20</f>
        <v>自然及人文环境</v>
      </c>
      <c r="R20" s="713" t="s">
        <v>17</v>
      </c>
      <c r="S20" s="714">
        <f>F20</f>
        <v>100</v>
      </c>
      <c r="T20" s="713" t="s">
        <v>17</v>
      </c>
      <c r="U20" s="714">
        <f>H20</f>
        <v>100</v>
      </c>
      <c r="V20" s="713" t="s">
        <v>17</v>
      </c>
      <c r="W20" s="714">
        <f>J20</f>
        <v>100</v>
      </c>
      <c r="X20" s="1507"/>
      <c r="Y20" s="3488"/>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88"/>
      <c r="Q21" s="1504"/>
      <c r="R21" s="713"/>
      <c r="S21" s="714"/>
      <c r="T21" s="713"/>
      <c r="U21" s="714"/>
      <c r="V21" s="713"/>
      <c r="W21" s="714"/>
      <c r="X21" s="1507"/>
      <c r="Y21" s="3488"/>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88"/>
      <c r="Q22" s="1504" t="str">
        <f>B22</f>
        <v>楼层</v>
      </c>
      <c r="R22" s="713" t="s">
        <v>17</v>
      </c>
      <c r="S22" s="714">
        <f>F22</f>
        <v>100</v>
      </c>
      <c r="T22" s="713" t="s">
        <v>17</v>
      </c>
      <c r="U22" s="714">
        <f>H22</f>
        <v>100</v>
      </c>
      <c r="V22" s="713" t="s">
        <v>17</v>
      </c>
      <c r="W22" s="714">
        <f>J22</f>
        <v>100</v>
      </c>
      <c r="X22" s="1507"/>
      <c r="Y22" s="3488"/>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88"/>
      <c r="Q23" s="1504">
        <f>B23</f>
        <v>111</v>
      </c>
      <c r="R23" s="713" t="s">
        <v>17</v>
      </c>
      <c r="S23" s="714">
        <f>F23</f>
        <v>100</v>
      </c>
      <c r="T23" s="713" t="s">
        <v>17</v>
      </c>
      <c r="U23" s="714">
        <f>H23</f>
        <v>100</v>
      </c>
      <c r="V23" s="713" t="s">
        <v>17</v>
      </c>
      <c r="W23" s="714">
        <f>J23</f>
        <v>100</v>
      </c>
      <c r="X23" s="1507"/>
      <c r="Y23" s="3488"/>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88"/>
      <c r="Q24" s="1504">
        <f t="shared" ref="Q24:Q34" si="11">B24</f>
        <v>111</v>
      </c>
      <c r="R24" s="713" t="s">
        <v>17</v>
      </c>
      <c r="S24" s="714">
        <f>F24</f>
        <v>100</v>
      </c>
      <c r="T24" s="713" t="s">
        <v>17</v>
      </c>
      <c r="U24" s="714">
        <f>H24</f>
        <v>100</v>
      </c>
      <c r="V24" s="713" t="s">
        <v>17</v>
      </c>
      <c r="W24" s="714">
        <f>J24</f>
        <v>100</v>
      </c>
      <c r="X24" s="1507"/>
      <c r="Y24" s="3488"/>
      <c r="Z24" s="1508">
        <f>Q24</f>
        <v>111</v>
      </c>
      <c r="AA24" s="1505">
        <f t="shared" si="3"/>
        <v>1</v>
      </c>
      <c r="AB24" s="1505">
        <f t="shared" si="4"/>
        <v>1</v>
      </c>
      <c r="AC24" s="1505">
        <f t="shared" si="5"/>
        <v>1</v>
      </c>
    </row>
    <row r="25" spans="1:29" s="112" customFormat="1" ht="15.6"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88"/>
      <c r="Q25" s="1495">
        <f t="shared" si="11"/>
        <v>111</v>
      </c>
      <c r="R25" s="709" t="s">
        <v>17</v>
      </c>
      <c r="S25" s="710">
        <f>F25</f>
        <v>100</v>
      </c>
      <c r="T25" s="709" t="s">
        <v>17</v>
      </c>
      <c r="U25" s="710">
        <f>H25</f>
        <v>100</v>
      </c>
      <c r="V25" s="709" t="s">
        <v>17</v>
      </c>
      <c r="W25" s="710">
        <f>J25</f>
        <v>100</v>
      </c>
      <c r="X25" s="711"/>
      <c r="Y25" s="3488"/>
      <c r="Z25" s="54">
        <f>Q25</f>
        <v>111</v>
      </c>
      <c r="AA25" s="1505">
        <f>D25/F25</f>
        <v>1</v>
      </c>
      <c r="AB25" s="1505">
        <f>D25/H25</f>
        <v>1</v>
      </c>
      <c r="AC25" s="1505">
        <f>D25/J25</f>
        <v>1</v>
      </c>
    </row>
    <row r="26" spans="1:29" ht="30">
      <c r="A26" s="424" t="s">
        <v>2324</v>
      </c>
      <c r="B26" s="66"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489"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90"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90"/>
      <c r="Q27" s="715" t="str">
        <f t="shared" si="11"/>
        <v>成新率</v>
      </c>
      <c r="R27" s="716" t="s">
        <v>17</v>
      </c>
      <c r="S27" s="717" t="e">
        <f t="shared" si="12"/>
        <v>#N/A</v>
      </c>
      <c r="T27" s="716" t="s">
        <v>17</v>
      </c>
      <c r="U27" s="717" t="e">
        <f t="shared" si="13"/>
        <v>#N/A</v>
      </c>
      <c r="V27" s="716" t="s">
        <v>17</v>
      </c>
      <c r="W27" s="717" t="e">
        <f t="shared" si="14"/>
        <v>#N/A</v>
      </c>
      <c r="X27" s="718"/>
      <c r="Y27" s="3490"/>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90"/>
      <c r="Q28" s="1504" t="str">
        <f t="shared" si="11"/>
        <v>物业等级</v>
      </c>
      <c r="R28" s="713" t="s">
        <v>17</v>
      </c>
      <c r="S28" s="714">
        <f t="shared" si="12"/>
        <v>100</v>
      </c>
      <c r="T28" s="713" t="s">
        <v>17</v>
      </c>
      <c r="U28" s="714">
        <f t="shared" si="13"/>
        <v>100</v>
      </c>
      <c r="V28" s="713" t="s">
        <v>17</v>
      </c>
      <c r="W28" s="714">
        <f t="shared" si="14"/>
        <v>100</v>
      </c>
      <c r="X28" s="1507"/>
      <c r="Y28" s="3490"/>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90"/>
      <c r="Q29" s="1504" t="str">
        <f t="shared" si="11"/>
        <v>有无电梯</v>
      </c>
      <c r="R29" s="713" t="s">
        <v>17</v>
      </c>
      <c r="S29" s="714">
        <f t="shared" si="12"/>
        <v>100</v>
      </c>
      <c r="T29" s="713" t="s">
        <v>17</v>
      </c>
      <c r="U29" s="714">
        <f t="shared" si="13"/>
        <v>100</v>
      </c>
      <c r="V29" s="713" t="s">
        <v>17</v>
      </c>
      <c r="W29" s="714">
        <f t="shared" si="14"/>
        <v>100</v>
      </c>
      <c r="X29" s="1507"/>
      <c r="Y29" s="3490"/>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90"/>
      <c r="Q30" s="1504" t="str">
        <f t="shared" si="11"/>
        <v>建筑面积</v>
      </c>
      <c r="R30" s="713" t="s">
        <v>17</v>
      </c>
      <c r="S30" s="714" t="e">
        <f t="shared" si="12"/>
        <v>#N/A</v>
      </c>
      <c r="T30" s="713" t="s">
        <v>17</v>
      </c>
      <c r="U30" s="714" t="e">
        <f t="shared" si="13"/>
        <v>#N/A</v>
      </c>
      <c r="V30" s="713" t="s">
        <v>17</v>
      </c>
      <c r="W30" s="714" t="e">
        <f t="shared" si="14"/>
        <v>#N/A</v>
      </c>
      <c r="X30" s="1507"/>
      <c r="Y30" s="3490"/>
      <c r="Z30" s="1508" t="str">
        <f t="shared" si="15"/>
        <v>建筑面积</v>
      </c>
      <c r="AA30" s="1505" t="e">
        <f t="shared" si="3"/>
        <v>#N/A</v>
      </c>
      <c r="AB30" s="1505" t="e">
        <f t="shared" si="4"/>
        <v>#N/A</v>
      </c>
      <c r="AC30" s="1505"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90"/>
      <c r="Q31" s="1495" t="str">
        <f t="shared" si="11"/>
        <v>是否封闭</v>
      </c>
      <c r="R31" s="709" t="s">
        <v>17</v>
      </c>
      <c r="S31" s="710">
        <f t="shared" si="12"/>
        <v>100</v>
      </c>
      <c r="T31" s="709" t="s">
        <v>17</v>
      </c>
      <c r="U31" s="710">
        <f t="shared" si="13"/>
        <v>100</v>
      </c>
      <c r="V31" s="709" t="s">
        <v>17</v>
      </c>
      <c r="W31" s="710">
        <f t="shared" si="14"/>
        <v>100</v>
      </c>
      <c r="X31" s="711"/>
      <c r="Y31" s="3490"/>
      <c r="Z31" s="54"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90" t="s">
        <v>2326</v>
      </c>
      <c r="Q32" s="1504">
        <f t="shared" si="11"/>
        <v>111</v>
      </c>
      <c r="R32" s="713" t="s">
        <v>17</v>
      </c>
      <c r="S32" s="714">
        <f t="shared" si="12"/>
        <v>100</v>
      </c>
      <c r="T32" s="713" t="s">
        <v>17</v>
      </c>
      <c r="U32" s="714">
        <f t="shared" si="13"/>
        <v>100</v>
      </c>
      <c r="V32" s="713" t="s">
        <v>17</v>
      </c>
      <c r="W32" s="714">
        <f t="shared" si="14"/>
        <v>100</v>
      </c>
      <c r="X32" s="1507"/>
      <c r="Y32" s="3490"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90"/>
      <c r="Q33" s="1504">
        <f t="shared" si="11"/>
        <v>111</v>
      </c>
      <c r="R33" s="713" t="s">
        <v>17</v>
      </c>
      <c r="S33" s="714">
        <f t="shared" si="12"/>
        <v>100</v>
      </c>
      <c r="T33" s="713" t="s">
        <v>17</v>
      </c>
      <c r="U33" s="714">
        <f t="shared" si="13"/>
        <v>100</v>
      </c>
      <c r="V33" s="713" t="s">
        <v>17</v>
      </c>
      <c r="W33" s="714">
        <f t="shared" si="14"/>
        <v>100</v>
      </c>
      <c r="X33" s="1507"/>
      <c r="Y33" s="3490"/>
      <c r="Z33" s="1508">
        <f t="shared" si="15"/>
        <v>111</v>
      </c>
      <c r="AA33" s="1505">
        <f t="shared" si="3"/>
        <v>1</v>
      </c>
      <c r="AB33" s="1505">
        <f t="shared" si="4"/>
        <v>1</v>
      </c>
      <c r="AC33" s="1505">
        <f t="shared" si="5"/>
        <v>1</v>
      </c>
    </row>
    <row r="34" spans="1:30" ht="15.6"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90"/>
      <c r="Q34" s="1504">
        <f t="shared" si="11"/>
        <v>111</v>
      </c>
      <c r="R34" s="713" t="s">
        <v>17</v>
      </c>
      <c r="S34" s="714">
        <f t="shared" si="12"/>
        <v>100</v>
      </c>
      <c r="T34" s="713" t="s">
        <v>17</v>
      </c>
      <c r="U34" s="714">
        <f t="shared" si="13"/>
        <v>100</v>
      </c>
      <c r="V34" s="713" t="s">
        <v>17</v>
      </c>
      <c r="W34" s="714">
        <f t="shared" si="14"/>
        <v>100</v>
      </c>
      <c r="X34" s="1507"/>
      <c r="Y34" s="3490"/>
      <c r="Z34" s="1508">
        <f t="shared" si="15"/>
        <v>111</v>
      </c>
      <c r="AA34" s="1505">
        <f t="shared" si="3"/>
        <v>1</v>
      </c>
      <c r="AB34" s="1505">
        <f t="shared" si="4"/>
        <v>1</v>
      </c>
      <c r="AC34" s="1505">
        <f t="shared" si="5"/>
        <v>1</v>
      </c>
    </row>
    <row r="35" spans="1:30" ht="14.4">
      <c r="A35" s="437" t="s">
        <v>2338</v>
      </c>
      <c r="B35" s="438"/>
      <c r="C35" s="1287" t="s">
        <v>1</v>
      </c>
      <c r="D35" s="1288"/>
      <c r="E35" s="1289"/>
      <c r="F35" s="1290"/>
      <c r="G35" s="1291"/>
      <c r="H35" s="1292"/>
      <c r="I35" s="1289"/>
      <c r="J35" s="1292"/>
      <c r="K35" s="722"/>
      <c r="L35" s="2921"/>
      <c r="M35" s="2922"/>
      <c r="N35" s="2913"/>
      <c r="O35" s="2922"/>
      <c r="P35" s="3484" t="str">
        <f>A35</f>
        <v>成交单价（元/平方米）</v>
      </c>
      <c r="Q35" s="3484"/>
      <c r="R35" s="3558">
        <f>E35</f>
        <v>0</v>
      </c>
      <c r="S35" s="3558"/>
      <c r="T35" s="3558">
        <f>G35</f>
        <v>0</v>
      </c>
      <c r="U35" s="3558"/>
      <c r="V35" s="3558">
        <f>I35</f>
        <v>0</v>
      </c>
      <c r="W35" s="3558"/>
      <c r="X35" s="698"/>
      <c r="Y35" s="720"/>
      <c r="Z35" s="698"/>
      <c r="AA35" s="698"/>
      <c r="AB35" s="698"/>
      <c r="AC35" s="698"/>
    </row>
    <row r="36" spans="1:30" ht="15" thickBot="1">
      <c r="A36" s="444" t="s">
        <v>2430</v>
      </c>
      <c r="B36" s="445"/>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484" t="str">
        <f>A36</f>
        <v>比较价值（元/平方米）</v>
      </c>
      <c r="Q36" s="3484"/>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8"/>
      <c r="Y36" s="698"/>
      <c r="Z36" s="698"/>
      <c r="AA36" s="698"/>
      <c r="AB36" s="698"/>
      <c r="AC36" s="698"/>
    </row>
    <row r="37" spans="1:30" ht="15" thickBot="1">
      <c r="A37" s="448" t="s">
        <v>2431</v>
      </c>
      <c r="B37" s="449"/>
      <c r="C37" s="1296" t="e">
        <f>R37</f>
        <v>#DIV/0!</v>
      </c>
      <c r="D37" s="1296"/>
      <c r="E37" s="1296"/>
      <c r="F37" s="1296"/>
      <c r="G37" s="1296"/>
      <c r="H37" s="1296"/>
      <c r="I37" s="1296"/>
      <c r="J37" s="1296"/>
      <c r="K37" s="723"/>
      <c r="L37" s="2921"/>
      <c r="M37" s="2922"/>
      <c r="N37" s="2922"/>
      <c r="O37" s="2922"/>
      <c r="P37" s="3481" t="str">
        <f>A37</f>
        <v>估价对象XX用房的比较价值（楼面单价，元/平方米）</v>
      </c>
      <c r="Q37" s="3482"/>
      <c r="R37" s="3580" t="e">
        <f>IF(F1="售价",ROUND(IF(D36="简单平均",AVERAGE(R36:W36),R36*F36+T36*H36+V36*J36),0),ROUND(IF(D36="简单平均",AVERAGE(R36:V36),R36*F36+T36*H36+V36*J36),1))</f>
        <v>#DIV/0!</v>
      </c>
      <c r="S37" s="3580"/>
      <c r="T37" s="3580"/>
      <c r="U37" s="3580"/>
      <c r="V37" s="3580"/>
      <c r="W37" s="3580"/>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4.4">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2" customFormat="1">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2" customFormat="1" ht="1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2" customFormat="1" ht="14.4">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2" customFormat="1" ht="14.4"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ht="14.4">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4.4"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9.4"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4.4"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4.4"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4.4"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4.4"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4.4"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4.4"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9.4"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 thickTop="1">
      <c r="A65" s="490"/>
      <c r="B65" s="502" t="s">
        <v>2450</v>
      </c>
      <c r="C65" s="615" t="s">
        <v>2436</v>
      </c>
      <c r="D65" s="615" t="s">
        <v>2437</v>
      </c>
      <c r="E65" s="615" t="s">
        <v>2438</v>
      </c>
      <c r="F65" s="615" t="s">
        <v>2439</v>
      </c>
      <c r="G65" s="615" t="s">
        <v>2440</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4.4"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2" customFormat="1" ht="14.4"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2" customFormat="1" ht="14.4"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2" customFormat="1" ht="14.4"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2" customFormat="1" ht="14.4"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4.4"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4.4"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4.4"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4.4"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4.4"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4.4"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4.4"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4.4"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4.4"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4.4"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4.4">
      <c r="A4" s="360" t="s">
        <v>2406</v>
      </c>
      <c r="B4" s="361"/>
      <c r="C4" s="3494" t="s">
        <v>2407</v>
      </c>
      <c r="D4" s="3495"/>
      <c r="E4" s="3496" t="s">
        <v>2408</v>
      </c>
      <c r="F4" s="3497"/>
      <c r="G4" s="3494" t="s">
        <v>2409</v>
      </c>
      <c r="H4" s="3495"/>
      <c r="I4" s="3494" t="s">
        <v>2410</v>
      </c>
      <c r="J4" s="3495"/>
      <c r="K4" s="566" t="s">
        <v>2411</v>
      </c>
      <c r="L4" s="2912"/>
      <c r="M4" s="2913"/>
      <c r="N4" s="2913"/>
      <c r="O4" s="2913"/>
      <c r="P4" s="3498" t="s">
        <v>2412</v>
      </c>
      <c r="Q4" s="3499"/>
      <c r="R4" s="3511" t="s">
        <v>2408</v>
      </c>
      <c r="S4" s="3512"/>
      <c r="T4" s="3511" t="s">
        <v>2409</v>
      </c>
      <c r="U4" s="3512"/>
      <c r="V4" s="3486" t="s">
        <v>2410</v>
      </c>
      <c r="W4" s="3486"/>
      <c r="X4" s="1507"/>
      <c r="Y4" s="3511" t="s">
        <v>2412</v>
      </c>
      <c r="Z4" s="3512"/>
      <c r="AA4" s="3491" t="s">
        <v>2408</v>
      </c>
      <c r="AB4" s="3492" t="s">
        <v>2409</v>
      </c>
      <c r="AC4" s="3491" t="s">
        <v>2410</v>
      </c>
    </row>
    <row r="5" spans="1:30">
      <c r="A5" s="363"/>
      <c r="B5" s="364"/>
      <c r="C5" s="3515" t="s">
        <v>2303</v>
      </c>
      <c r="D5" s="3516"/>
      <c r="E5" s="3504" t="s">
        <v>2304</v>
      </c>
      <c r="F5" s="3505"/>
      <c r="G5" s="3515" t="s">
        <v>2305</v>
      </c>
      <c r="H5" s="3516"/>
      <c r="I5" s="3515" t="s">
        <v>2306</v>
      </c>
      <c r="J5" s="3516"/>
      <c r="K5" s="566"/>
      <c r="L5" s="2912"/>
      <c r="M5" s="2913"/>
      <c r="N5" s="2913"/>
      <c r="O5" s="2913"/>
      <c r="P5" s="3500"/>
      <c r="Q5" s="3501"/>
      <c r="R5" s="3513"/>
      <c r="S5" s="3514"/>
      <c r="T5" s="3513"/>
      <c r="U5" s="3514"/>
      <c r="V5" s="3486"/>
      <c r="W5" s="3486"/>
      <c r="X5" s="1507"/>
      <c r="Y5" s="3513"/>
      <c r="Z5" s="3514"/>
      <c r="AA5" s="3492"/>
      <c r="AB5" s="3492"/>
      <c r="AC5" s="3492"/>
    </row>
    <row r="6" spans="1:30" ht="15" thickBot="1">
      <c r="A6" s="365"/>
      <c r="B6" s="366"/>
      <c r="C6" s="3553" t="s">
        <v>2307</v>
      </c>
      <c r="D6" s="3554"/>
      <c r="E6" s="3555" t="s">
        <v>2307</v>
      </c>
      <c r="F6" s="3556"/>
      <c r="G6" s="3553" t="s">
        <v>2307</v>
      </c>
      <c r="H6" s="3554"/>
      <c r="I6" s="3553" t="s">
        <v>2307</v>
      </c>
      <c r="J6" s="3554"/>
      <c r="K6" s="566" t="s">
        <v>2308</v>
      </c>
      <c r="L6" s="2912"/>
      <c r="M6" s="2913"/>
      <c r="N6" s="2913"/>
      <c r="O6" s="2913"/>
      <c r="P6" s="3502"/>
      <c r="Q6" s="3503"/>
      <c r="R6" s="3513"/>
      <c r="S6" s="3514"/>
      <c r="T6" s="3522"/>
      <c r="U6" s="3523"/>
      <c r="V6" s="3486"/>
      <c r="W6" s="3486"/>
      <c r="X6" s="1507"/>
      <c r="Y6" s="3522"/>
      <c r="Z6" s="3523"/>
      <c r="AA6" s="3493"/>
      <c r="AB6" s="3493"/>
      <c r="AC6" s="3493"/>
    </row>
    <row r="7" spans="1:30" s="112" customFormat="1" ht="15" thickBot="1">
      <c r="A7" s="367" t="s">
        <v>2309</v>
      </c>
      <c r="B7" s="368"/>
      <c r="C7" s="369">
        <f>'数据-取费表'!B2</f>
        <v>44567</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506" t="s">
        <v>2310</v>
      </c>
      <c r="Q7" s="3519"/>
      <c r="R7" s="709" t="s">
        <v>17</v>
      </c>
      <c r="S7" s="710">
        <f t="shared" ref="S7:S15" si="0">F7</f>
        <v>0</v>
      </c>
      <c r="T7" s="709" t="s">
        <v>17</v>
      </c>
      <c r="U7" s="710">
        <f t="shared" ref="U7:U15" si="1">H7</f>
        <v>0</v>
      </c>
      <c r="V7" s="709" t="s">
        <v>17</v>
      </c>
      <c r="W7" s="710">
        <f t="shared" ref="W7:W15" si="2">J7</f>
        <v>0</v>
      </c>
      <c r="X7" s="711"/>
      <c r="Y7" s="3506" t="s">
        <v>2310</v>
      </c>
      <c r="Z7" s="3507"/>
      <c r="AA7" s="712" t="e">
        <f>D7/F7</f>
        <v>#DIV/0!</v>
      </c>
      <c r="AB7" s="712" t="e">
        <f>D7/H7</f>
        <v>#DIV/0!</v>
      </c>
      <c r="AC7" s="712" t="e">
        <f>D7/J7</f>
        <v>#DIV/0!</v>
      </c>
    </row>
    <row r="8" spans="1:30" s="112" customFormat="1" ht="1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506" t="s">
        <v>2313</v>
      </c>
      <c r="Q8" s="3507"/>
      <c r="R8" s="709" t="s">
        <v>17</v>
      </c>
      <c r="S8" s="710">
        <f t="shared" si="0"/>
        <v>0</v>
      </c>
      <c r="T8" s="709" t="s">
        <v>17</v>
      </c>
      <c r="U8" s="710">
        <f t="shared" si="1"/>
        <v>0</v>
      </c>
      <c r="V8" s="709" t="s">
        <v>17</v>
      </c>
      <c r="W8" s="710">
        <f t="shared" si="2"/>
        <v>0</v>
      </c>
      <c r="X8" s="711"/>
      <c r="Y8" s="3506" t="s">
        <v>2313</v>
      </c>
      <c r="Z8" s="3507"/>
      <c r="AA8" s="712" t="e">
        <f t="shared" ref="AA8:AA45" si="3">D8/F8</f>
        <v>#DIV/0!</v>
      </c>
      <c r="AB8" s="712" t="e">
        <f t="shared" ref="AB8:AB45" si="4">D8/H8</f>
        <v>#DIV/0!</v>
      </c>
      <c r="AC8" s="712" t="e">
        <f t="shared" ref="AC8:AC45" si="5">D8/J8</f>
        <v>#DIV/0!</v>
      </c>
    </row>
    <row r="9" spans="1:30" s="112" customFormat="1" ht="14.4">
      <c r="A9" s="374" t="s">
        <v>2314</v>
      </c>
      <c r="B9" s="66"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84" t="s">
        <v>2316</v>
      </c>
      <c r="Q9" s="1495" t="str">
        <f t="shared" ref="Q9:Q15" si="6">B9</f>
        <v>用途</v>
      </c>
      <c r="R9" s="709" t="s">
        <v>17</v>
      </c>
      <c r="S9" s="710">
        <f t="shared" si="0"/>
        <v>100</v>
      </c>
      <c r="T9" s="709" t="s">
        <v>17</v>
      </c>
      <c r="U9" s="710">
        <f t="shared" si="1"/>
        <v>100</v>
      </c>
      <c r="V9" s="709" t="s">
        <v>17</v>
      </c>
      <c r="W9" s="710">
        <f t="shared" si="2"/>
        <v>100</v>
      </c>
      <c r="X9" s="711"/>
      <c r="Y9" s="3428" t="s">
        <v>2317</v>
      </c>
      <c r="Z9" s="54" t="str">
        <f t="shared" ref="Z9:Z15" si="7">Q9</f>
        <v>用途</v>
      </c>
      <c r="AA9" s="712">
        <f t="shared" si="3"/>
        <v>1</v>
      </c>
      <c r="AB9" s="712">
        <f t="shared" si="4"/>
        <v>1</v>
      </c>
      <c r="AC9" s="712">
        <f t="shared" si="5"/>
        <v>1</v>
      </c>
    </row>
    <row r="10" spans="1:30" s="385" customFormat="1" ht="28.8">
      <c r="A10" s="379"/>
      <c r="B10" s="380" t="s">
        <v>2318</v>
      </c>
      <c r="C10" s="390"/>
      <c r="D10" s="131">
        <v>100</v>
      </c>
      <c r="E10" s="423"/>
      <c r="F10" s="131">
        <f>ROUND(100/'数据-取费表'!G16,0)</f>
        <v>125</v>
      </c>
      <c r="G10" s="421"/>
      <c r="H10" s="131">
        <f>ROUND(100/'数据-取费表'!G16,0)</f>
        <v>125</v>
      </c>
      <c r="I10" s="421"/>
      <c r="J10" s="131">
        <f>ROUND(100/'数据-取费表'!G16,0)</f>
        <v>125</v>
      </c>
      <c r="K10" s="627"/>
      <c r="L10" s="2916"/>
      <c r="M10" s="2917"/>
      <c r="N10" s="2917"/>
      <c r="O10" s="2970"/>
      <c r="P10" s="3484"/>
      <c r="Q10" s="1495" t="str">
        <f t="shared" si="6"/>
        <v>土地使用年限（年）</v>
      </c>
      <c r="R10" s="709" t="s">
        <v>17</v>
      </c>
      <c r="S10" s="710">
        <f t="shared" si="0"/>
        <v>125</v>
      </c>
      <c r="T10" s="709" t="s">
        <v>17</v>
      </c>
      <c r="U10" s="710">
        <f t="shared" si="1"/>
        <v>125</v>
      </c>
      <c r="V10" s="709" t="s">
        <v>17</v>
      </c>
      <c r="W10" s="710">
        <f t="shared" si="2"/>
        <v>125</v>
      </c>
      <c r="X10" s="711"/>
      <c r="Y10" s="3428"/>
      <c r="Z10" s="54" t="str">
        <f t="shared" si="7"/>
        <v>土地使用年限（年）</v>
      </c>
      <c r="AA10" s="712">
        <f t="shared" si="3"/>
        <v>0.8</v>
      </c>
      <c r="AB10" s="712">
        <f t="shared" si="4"/>
        <v>0.8</v>
      </c>
      <c r="AC10" s="712">
        <f t="shared" si="5"/>
        <v>0.8</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84"/>
      <c r="Q11" s="1495" t="str">
        <f t="shared" si="6"/>
        <v>容积率</v>
      </c>
      <c r="R11" s="709" t="s">
        <v>17</v>
      </c>
      <c r="S11" s="710" t="e">
        <f t="shared" si="0"/>
        <v>#N/A</v>
      </c>
      <c r="T11" s="709" t="s">
        <v>17</v>
      </c>
      <c r="U11" s="710" t="e">
        <f t="shared" si="1"/>
        <v>#N/A</v>
      </c>
      <c r="V11" s="709" t="s">
        <v>17</v>
      </c>
      <c r="W11" s="710" t="e">
        <f t="shared" si="2"/>
        <v>#N/A</v>
      </c>
      <c r="X11" s="711"/>
      <c r="Y11" s="3428"/>
      <c r="Z11" s="54" t="str">
        <f t="shared" si="7"/>
        <v>容积率</v>
      </c>
      <c r="AA11" s="712" t="e">
        <f t="shared" si="3"/>
        <v>#N/A</v>
      </c>
      <c r="AB11" s="712" t="e">
        <f t="shared" si="4"/>
        <v>#N/A</v>
      </c>
      <c r="AC11" s="712" t="e">
        <f t="shared" si="5"/>
        <v>#N/A</v>
      </c>
    </row>
    <row r="12" spans="1:30" s="112"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84"/>
      <c r="Q12" s="1495" t="str">
        <f t="shared" si="6"/>
        <v>配建</v>
      </c>
      <c r="R12" s="709" t="s">
        <v>17</v>
      </c>
      <c r="S12" s="710">
        <f t="shared" si="0"/>
        <v>100</v>
      </c>
      <c r="T12" s="709" t="s">
        <v>17</v>
      </c>
      <c r="U12" s="710">
        <f t="shared" si="1"/>
        <v>100</v>
      </c>
      <c r="V12" s="709" t="s">
        <v>17</v>
      </c>
      <c r="W12" s="710">
        <f t="shared" si="2"/>
        <v>100</v>
      </c>
      <c r="X12" s="711"/>
      <c r="Y12" s="3428"/>
      <c r="Z12" s="54"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84"/>
      <c r="Q13" s="1495">
        <f t="shared" si="6"/>
        <v>111</v>
      </c>
      <c r="R13" s="709" t="s">
        <v>17</v>
      </c>
      <c r="S13" s="710">
        <f t="shared" si="0"/>
        <v>100</v>
      </c>
      <c r="T13" s="709" t="s">
        <v>17</v>
      </c>
      <c r="U13" s="710">
        <f t="shared" si="1"/>
        <v>100</v>
      </c>
      <c r="V13" s="709" t="s">
        <v>17</v>
      </c>
      <c r="W13" s="710">
        <f t="shared" si="2"/>
        <v>100</v>
      </c>
      <c r="X13" s="711"/>
      <c r="Y13" s="3428"/>
      <c r="Z13" s="54">
        <f t="shared" si="7"/>
        <v>111</v>
      </c>
      <c r="AA13" s="712">
        <f>D13/F13</f>
        <v>1</v>
      </c>
      <c r="AB13" s="712">
        <f>D13/H13</f>
        <v>1</v>
      </c>
      <c r="AC13" s="712">
        <f>D13/J13</f>
        <v>1</v>
      </c>
    </row>
    <row r="14" spans="1:30" ht="15.6"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84"/>
      <c r="Q14" s="1495">
        <f t="shared" si="6"/>
        <v>111</v>
      </c>
      <c r="R14" s="709" t="s">
        <v>17</v>
      </c>
      <c r="S14" s="710">
        <f t="shared" si="0"/>
        <v>100</v>
      </c>
      <c r="T14" s="709" t="s">
        <v>17</v>
      </c>
      <c r="U14" s="710">
        <f t="shared" si="1"/>
        <v>100</v>
      </c>
      <c r="V14" s="709" t="s">
        <v>17</v>
      </c>
      <c r="W14" s="710">
        <f t="shared" si="2"/>
        <v>100</v>
      </c>
      <c r="X14" s="711"/>
      <c r="Y14" s="3428"/>
      <c r="Z14" s="54">
        <f t="shared" si="7"/>
        <v>111</v>
      </c>
      <c r="AA14" s="712">
        <f>D14/F14</f>
        <v>1</v>
      </c>
      <c r="AB14" s="712">
        <f>D14/H14</f>
        <v>1</v>
      </c>
      <c r="AC14" s="712">
        <f>D14/J14</f>
        <v>1</v>
      </c>
    </row>
    <row r="15" spans="1:30" ht="96.6">
      <c r="A15" s="398" t="s">
        <v>2320</v>
      </c>
      <c r="B15" s="64"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87" t="s">
        <v>2321</v>
      </c>
      <c r="Q15" s="1504" t="str">
        <f t="shared" si="6"/>
        <v>居住社区成熟度</v>
      </c>
      <c r="R15" s="713" t="s">
        <v>17</v>
      </c>
      <c r="S15" s="714">
        <f t="shared" si="0"/>
        <v>100</v>
      </c>
      <c r="T15" s="713" t="s">
        <v>17</v>
      </c>
      <c r="U15" s="714">
        <f t="shared" si="1"/>
        <v>100</v>
      </c>
      <c r="V15" s="713" t="s">
        <v>17</v>
      </c>
      <c r="W15" s="714">
        <f t="shared" si="2"/>
        <v>100</v>
      </c>
      <c r="X15" s="1507"/>
      <c r="Y15" s="3487"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88"/>
      <c r="Q16" s="1504"/>
      <c r="R16" s="713"/>
      <c r="S16" s="714"/>
      <c r="T16" s="713"/>
      <c r="U16" s="714"/>
      <c r="V16" s="713"/>
      <c r="W16" s="714"/>
      <c r="X16" s="1507"/>
      <c r="Y16" s="3488"/>
      <c r="Z16" s="1508"/>
      <c r="AA16" s="1505">
        <v>1</v>
      </c>
      <c r="AB16" s="1505">
        <v>1</v>
      </c>
      <c r="AC16" s="1505">
        <v>1</v>
      </c>
    </row>
    <row r="17" spans="1:29" ht="82.8">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88"/>
      <c r="Q17" s="1504" t="str">
        <f>B17</f>
        <v>商业繁华度</v>
      </c>
      <c r="R17" s="713" t="s">
        <v>17</v>
      </c>
      <c r="S17" s="714">
        <f>F17</f>
        <v>100</v>
      </c>
      <c r="T17" s="713" t="s">
        <v>17</v>
      </c>
      <c r="U17" s="714">
        <f>H17</f>
        <v>100</v>
      </c>
      <c r="V17" s="713" t="s">
        <v>17</v>
      </c>
      <c r="W17" s="714">
        <f>J17</f>
        <v>100</v>
      </c>
      <c r="X17" s="1507"/>
      <c r="Y17" s="3488"/>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88"/>
      <c r="Q18" s="1504"/>
      <c r="R18" s="713"/>
      <c r="S18" s="714"/>
      <c r="T18" s="713"/>
      <c r="U18" s="714"/>
      <c r="V18" s="713"/>
      <c r="W18" s="714"/>
      <c r="X18" s="1507"/>
      <c r="Y18" s="3488"/>
      <c r="Z18" s="1508"/>
      <c r="AA18" s="1505">
        <v>1</v>
      </c>
      <c r="AB18" s="1505">
        <v>1</v>
      </c>
      <c r="AC18" s="1505">
        <v>1</v>
      </c>
    </row>
    <row r="19" spans="1:29" ht="82.8">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88"/>
      <c r="Q19" s="1504" t="str">
        <f>B19</f>
        <v>办公集聚程度</v>
      </c>
      <c r="R19" s="713" t="s">
        <v>17</v>
      </c>
      <c r="S19" s="714">
        <f>F19</f>
        <v>100</v>
      </c>
      <c r="T19" s="713" t="s">
        <v>17</v>
      </c>
      <c r="U19" s="714">
        <f>H19</f>
        <v>100</v>
      </c>
      <c r="V19" s="713" t="s">
        <v>17</v>
      </c>
      <c r="W19" s="714">
        <f>J19</f>
        <v>100</v>
      </c>
      <c r="X19" s="1507"/>
      <c r="Y19" s="3488"/>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88"/>
      <c r="Q20" s="1504"/>
      <c r="R20" s="713"/>
      <c r="S20" s="714"/>
      <c r="T20" s="713"/>
      <c r="U20" s="714"/>
      <c r="V20" s="713"/>
      <c r="W20" s="714"/>
      <c r="X20" s="1507"/>
      <c r="Y20" s="3488"/>
      <c r="Z20" s="1508"/>
      <c r="AA20" s="1505">
        <v>1</v>
      </c>
      <c r="AB20" s="1505">
        <v>1</v>
      </c>
      <c r="AC20" s="1505">
        <v>1</v>
      </c>
    </row>
    <row r="21" spans="1:29" ht="96.6">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88"/>
      <c r="Q21" s="1504" t="str">
        <f>B21</f>
        <v>交通便捷度</v>
      </c>
      <c r="R21" s="713" t="s">
        <v>17</v>
      </c>
      <c r="S21" s="714">
        <f>F21</f>
        <v>100</v>
      </c>
      <c r="T21" s="713" t="s">
        <v>17</v>
      </c>
      <c r="U21" s="714">
        <f>H21</f>
        <v>100</v>
      </c>
      <c r="V21" s="713" t="s">
        <v>17</v>
      </c>
      <c r="W21" s="714">
        <f>J21</f>
        <v>100</v>
      </c>
      <c r="X21" s="1507"/>
      <c r="Y21" s="3488"/>
      <c r="Z21" s="1508" t="str">
        <f>Q21</f>
        <v>交通便捷度</v>
      </c>
      <c r="AA21" s="1505">
        <f t="shared" si="3"/>
        <v>1</v>
      </c>
      <c r="AB21" s="1505">
        <f t="shared" si="4"/>
        <v>1</v>
      </c>
      <c r="AC21" s="1505">
        <f t="shared" si="5"/>
        <v>1</v>
      </c>
    </row>
    <row r="22" spans="1:29" ht="15">
      <c r="A22" s="386"/>
      <c r="B22" s="1264"/>
      <c r="C22" s="405"/>
      <c r="D22" s="408"/>
      <c r="E22" s="2052"/>
      <c r="F22" s="406"/>
      <c r="G22" s="2052"/>
      <c r="H22" s="406"/>
      <c r="I22" s="2051"/>
      <c r="J22" s="406"/>
      <c r="K22" s="627"/>
      <c r="L22" s="2919"/>
      <c r="M22" s="2913"/>
      <c r="N22" s="2913"/>
      <c r="O22" s="2971"/>
      <c r="P22" s="3488"/>
      <c r="Q22" s="1504"/>
      <c r="R22" s="713"/>
      <c r="S22" s="714"/>
      <c r="T22" s="713"/>
      <c r="U22" s="714"/>
      <c r="V22" s="713"/>
      <c r="W22" s="714"/>
      <c r="X22" s="1507"/>
      <c r="Y22" s="3488"/>
      <c r="Z22" s="1508"/>
      <c r="AA22" s="1505">
        <v>1</v>
      </c>
      <c r="AB22" s="1505">
        <v>1</v>
      </c>
      <c r="AC22" s="1505">
        <v>1</v>
      </c>
    </row>
    <row r="23" spans="1:29" ht="28.8">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88"/>
      <c r="Q23" s="1504" t="str">
        <f t="shared" ref="Q23:Q37" si="8">B23</f>
        <v>区域土地利用方向</v>
      </c>
      <c r="R23" s="713" t="s">
        <v>17</v>
      </c>
      <c r="S23" s="714">
        <f>F23</f>
        <v>100</v>
      </c>
      <c r="T23" s="713" t="s">
        <v>17</v>
      </c>
      <c r="U23" s="714">
        <f>H23</f>
        <v>100</v>
      </c>
      <c r="V23" s="713" t="s">
        <v>17</v>
      </c>
      <c r="W23" s="714">
        <f>J23</f>
        <v>100</v>
      </c>
      <c r="X23" s="1507"/>
      <c r="Y23" s="3488"/>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88"/>
      <c r="Q24" s="1504"/>
      <c r="R24" s="713"/>
      <c r="S24" s="714"/>
      <c r="T24" s="713"/>
      <c r="U24" s="714"/>
      <c r="V24" s="713"/>
      <c r="W24" s="714"/>
      <c r="X24" s="1507"/>
      <c r="Y24" s="3488"/>
      <c r="Z24" s="1508"/>
      <c r="AA24" s="1505"/>
      <c r="AB24" s="1505"/>
      <c r="AC24" s="1505"/>
    </row>
    <row r="25" spans="1:29" ht="55.2">
      <c r="A25" s="363"/>
      <c r="B25" s="1264"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88"/>
      <c r="Q25" s="1504" t="str">
        <f t="shared" si="8"/>
        <v>自然及人文环境状况</v>
      </c>
      <c r="R25" s="713" t="s">
        <v>17</v>
      </c>
      <c r="S25" s="714">
        <f>F25</f>
        <v>100</v>
      </c>
      <c r="T25" s="713" t="s">
        <v>17</v>
      </c>
      <c r="U25" s="714">
        <f>H25</f>
        <v>100</v>
      </c>
      <c r="V25" s="713" t="s">
        <v>17</v>
      </c>
      <c r="W25" s="714">
        <f>J25</f>
        <v>100</v>
      </c>
      <c r="X25" s="1507"/>
      <c r="Y25" s="3488"/>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88"/>
      <c r="Q26" s="1504"/>
      <c r="R26" s="713"/>
      <c r="S26" s="714"/>
      <c r="T26" s="713"/>
      <c r="U26" s="714"/>
      <c r="V26" s="713"/>
      <c r="W26" s="714"/>
      <c r="X26" s="1507"/>
      <c r="Y26" s="3488"/>
      <c r="Z26" s="1508"/>
      <c r="AA26" s="1505">
        <v>1</v>
      </c>
      <c r="AB26" s="1505">
        <v>1</v>
      </c>
      <c r="AC26" s="1505">
        <v>1</v>
      </c>
    </row>
    <row r="27" spans="1:29" s="112" customFormat="1" ht="41.4">
      <c r="A27" s="604"/>
      <c r="B27" s="1264"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88"/>
      <c r="Q27" s="1495" t="str">
        <f t="shared" si="8"/>
        <v>公共配套设施</v>
      </c>
      <c r="R27" s="709" t="s">
        <v>17</v>
      </c>
      <c r="S27" s="710">
        <f>F27</f>
        <v>100</v>
      </c>
      <c r="T27" s="709" t="s">
        <v>17</v>
      </c>
      <c r="U27" s="710">
        <f>H27</f>
        <v>100</v>
      </c>
      <c r="V27" s="709" t="s">
        <v>17</v>
      </c>
      <c r="W27" s="710">
        <f>J27</f>
        <v>100</v>
      </c>
      <c r="X27" s="711"/>
      <c r="Y27" s="3488"/>
      <c r="Z27" s="54" t="str">
        <f>Q27</f>
        <v>公共配套设施</v>
      </c>
      <c r="AA27" s="1505">
        <f>D27/F27</f>
        <v>1</v>
      </c>
      <c r="AB27" s="1505">
        <f>D27/H27</f>
        <v>1</v>
      </c>
      <c r="AC27" s="1505">
        <f>D27/J27</f>
        <v>1</v>
      </c>
    </row>
    <row r="28" spans="1:29" s="112" customFormat="1" ht="15">
      <c r="A28" s="604"/>
      <c r="B28" s="414"/>
      <c r="C28" s="2132"/>
      <c r="D28" s="406"/>
      <c r="E28" s="2058"/>
      <c r="F28" s="406"/>
      <c r="G28" s="2058"/>
      <c r="H28" s="406"/>
      <c r="I28" s="405"/>
      <c r="J28" s="406"/>
      <c r="K28" s="627"/>
      <c r="L28" s="2914"/>
      <c r="M28" s="2915"/>
      <c r="N28" s="2915"/>
      <c r="O28" s="2969"/>
      <c r="P28" s="3488"/>
      <c r="Q28" s="1495"/>
      <c r="R28" s="709"/>
      <c r="S28" s="710"/>
      <c r="T28" s="709"/>
      <c r="U28" s="710"/>
      <c r="V28" s="709"/>
      <c r="W28" s="710"/>
      <c r="X28" s="711"/>
      <c r="Y28" s="3488"/>
      <c r="Z28" s="54"/>
      <c r="AA28" s="1505">
        <v>1</v>
      </c>
      <c r="AB28" s="1505">
        <v>1</v>
      </c>
      <c r="AC28" s="1505">
        <v>1</v>
      </c>
    </row>
    <row r="29" spans="1:29" s="112" customFormat="1" ht="41.4">
      <c r="A29" s="604"/>
      <c r="B29" s="1264"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88"/>
      <c r="Q29" s="1495" t="str">
        <f t="shared" ref="Q29" si="9">B29</f>
        <v>基础设施水平</v>
      </c>
      <c r="R29" s="709" t="s">
        <v>17</v>
      </c>
      <c r="S29" s="710">
        <f>F29</f>
        <v>100</v>
      </c>
      <c r="T29" s="709" t="s">
        <v>17</v>
      </c>
      <c r="U29" s="710">
        <f>H29</f>
        <v>100</v>
      </c>
      <c r="V29" s="709" t="s">
        <v>17</v>
      </c>
      <c r="W29" s="710">
        <f>J29</f>
        <v>100</v>
      </c>
      <c r="X29" s="711"/>
      <c r="Y29" s="3488"/>
      <c r="Z29" s="54" t="str">
        <f>Q29</f>
        <v>基础设施水平</v>
      </c>
      <c r="AA29" s="1505">
        <f>D29/F29</f>
        <v>1</v>
      </c>
      <c r="AB29" s="1505">
        <f>D29/H29</f>
        <v>1</v>
      </c>
      <c r="AC29" s="1505">
        <f>D29/J29</f>
        <v>1</v>
      </c>
    </row>
    <row r="30" spans="1:29" s="112" customFormat="1" ht="15">
      <c r="A30" s="604"/>
      <c r="B30" s="414"/>
      <c r="C30" s="2132"/>
      <c r="D30" s="406"/>
      <c r="E30" s="2133"/>
      <c r="F30" s="406"/>
      <c r="G30" s="2133"/>
      <c r="H30" s="406"/>
      <c r="I30" s="2133"/>
      <c r="J30" s="406"/>
      <c r="K30" s="627"/>
      <c r="L30" s="2914"/>
      <c r="M30" s="2915"/>
      <c r="N30" s="2915"/>
      <c r="O30" s="2969"/>
      <c r="P30" s="3488"/>
      <c r="Q30" s="1495"/>
      <c r="R30" s="709"/>
      <c r="S30" s="710"/>
      <c r="T30" s="709"/>
      <c r="U30" s="710"/>
      <c r="V30" s="709"/>
      <c r="W30" s="710"/>
      <c r="X30" s="711"/>
      <c r="Y30" s="3488"/>
      <c r="Z30" s="54"/>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88"/>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88"/>
      <c r="Z31" s="1508" t="str">
        <f t="shared" ref="Z31:Z45" si="13">Q31</f>
        <v>临街状况</v>
      </c>
      <c r="AA31" s="1505">
        <f t="shared" si="3"/>
        <v>1</v>
      </c>
      <c r="AB31" s="1505">
        <f t="shared" si="4"/>
        <v>1</v>
      </c>
      <c r="AC31" s="1505">
        <f t="shared" si="5"/>
        <v>1</v>
      </c>
    </row>
    <row r="32" spans="1:29" ht="28.8">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88"/>
      <c r="Q32" s="1504" t="str">
        <f t="shared" si="8"/>
        <v>毗邻道路的类型与等级</v>
      </c>
      <c r="R32" s="713" t="s">
        <v>17</v>
      </c>
      <c r="S32" s="714">
        <f t="shared" si="10"/>
        <v>100</v>
      </c>
      <c r="T32" s="713" t="s">
        <v>17</v>
      </c>
      <c r="U32" s="714">
        <f t="shared" si="11"/>
        <v>100</v>
      </c>
      <c r="V32" s="713" t="s">
        <v>17</v>
      </c>
      <c r="W32" s="714">
        <f t="shared" si="12"/>
        <v>100</v>
      </c>
      <c r="X32" s="1507"/>
      <c r="Y32" s="3488"/>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88"/>
      <c r="Q33" s="1504"/>
      <c r="R33" s="713"/>
      <c r="S33" s="714"/>
      <c r="T33" s="713"/>
      <c r="U33" s="714"/>
      <c r="V33" s="713"/>
      <c r="W33" s="714"/>
      <c r="X33" s="1507"/>
      <c r="Y33" s="3488"/>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88"/>
      <c r="Q34" s="1504" t="str">
        <f t="shared" si="8"/>
        <v>土地级别</v>
      </c>
      <c r="R34" s="713" t="s">
        <v>17</v>
      </c>
      <c r="S34" s="714">
        <f t="shared" si="10"/>
        <v>100</v>
      </c>
      <c r="T34" s="713" t="s">
        <v>17</v>
      </c>
      <c r="U34" s="714">
        <f t="shared" si="11"/>
        <v>100</v>
      </c>
      <c r="V34" s="713" t="s">
        <v>17</v>
      </c>
      <c r="W34" s="714">
        <f t="shared" si="12"/>
        <v>100</v>
      </c>
      <c r="X34" s="1507"/>
      <c r="Y34" s="3488"/>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88"/>
      <c r="Q35" s="1504">
        <f t="shared" si="8"/>
        <v>111</v>
      </c>
      <c r="R35" s="713" t="s">
        <v>17</v>
      </c>
      <c r="S35" s="714">
        <f t="shared" si="10"/>
        <v>100</v>
      </c>
      <c r="T35" s="713" t="s">
        <v>17</v>
      </c>
      <c r="U35" s="714">
        <f t="shared" si="11"/>
        <v>100</v>
      </c>
      <c r="V35" s="713" t="s">
        <v>17</v>
      </c>
      <c r="W35" s="714">
        <f t="shared" si="12"/>
        <v>100</v>
      </c>
      <c r="X35" s="1507"/>
      <c r="Y35" s="3488"/>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89" t="s">
        <v>2326</v>
      </c>
      <c r="Q36" s="1504">
        <f t="shared" si="8"/>
        <v>111</v>
      </c>
      <c r="R36" s="713" t="s">
        <v>17</v>
      </c>
      <c r="S36" s="714">
        <f t="shared" si="10"/>
        <v>100</v>
      </c>
      <c r="T36" s="713" t="s">
        <v>17</v>
      </c>
      <c r="U36" s="714">
        <f t="shared" si="11"/>
        <v>100</v>
      </c>
      <c r="V36" s="713" t="s">
        <v>17</v>
      </c>
      <c r="W36" s="714">
        <f t="shared" si="12"/>
        <v>100</v>
      </c>
      <c r="X36" s="1507"/>
      <c r="Y36" s="3490" t="s">
        <v>2326</v>
      </c>
      <c r="Z36" s="1508">
        <f t="shared" si="13"/>
        <v>111</v>
      </c>
      <c r="AA36" s="1505">
        <f t="shared" si="3"/>
        <v>1</v>
      </c>
      <c r="AB36" s="1505">
        <f t="shared" si="4"/>
        <v>1</v>
      </c>
      <c r="AC36" s="1505">
        <f t="shared" si="5"/>
        <v>1</v>
      </c>
    </row>
    <row r="37" spans="1:29" s="429" customFormat="1" ht="15.6"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90"/>
      <c r="Q37" s="1504">
        <f t="shared" si="8"/>
        <v>111</v>
      </c>
      <c r="R37" s="716" t="s">
        <v>17</v>
      </c>
      <c r="S37" s="717">
        <f t="shared" si="10"/>
        <v>100</v>
      </c>
      <c r="T37" s="716" t="s">
        <v>17</v>
      </c>
      <c r="U37" s="717">
        <f t="shared" si="11"/>
        <v>100</v>
      </c>
      <c r="V37" s="716" t="s">
        <v>17</v>
      </c>
      <c r="W37" s="717">
        <f t="shared" si="12"/>
        <v>100</v>
      </c>
      <c r="X37" s="718"/>
      <c r="Y37" s="3490"/>
      <c r="Z37" s="719">
        <f t="shared" si="13"/>
        <v>111</v>
      </c>
      <c r="AA37" s="1505">
        <f t="shared" si="3"/>
        <v>1</v>
      </c>
      <c r="AB37" s="1505">
        <f t="shared" si="4"/>
        <v>1</v>
      </c>
      <c r="AC37" s="1505">
        <f t="shared" si="5"/>
        <v>1</v>
      </c>
    </row>
    <row r="38" spans="1:29" ht="15.6">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90"/>
      <c r="Q38" s="1504" t="str">
        <f>B38</f>
        <v>宗地面积</v>
      </c>
      <c r="R38" s="713" t="s">
        <v>17</v>
      </c>
      <c r="S38" s="714" t="e">
        <f t="shared" si="10"/>
        <v>#N/A</v>
      </c>
      <c r="T38" s="713" t="s">
        <v>17</v>
      </c>
      <c r="U38" s="714" t="e">
        <f t="shared" si="11"/>
        <v>#N/A</v>
      </c>
      <c r="V38" s="713" t="s">
        <v>17</v>
      </c>
      <c r="W38" s="714" t="e">
        <f t="shared" si="12"/>
        <v>#N/A</v>
      </c>
      <c r="X38" s="1507"/>
      <c r="Y38" s="3490"/>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90"/>
      <c r="Q39" s="1504" t="str">
        <f t="shared" ref="Q39:Q45" si="14">B39</f>
        <v>宗地形状</v>
      </c>
      <c r="R39" s="713" t="s">
        <v>17</v>
      </c>
      <c r="S39" s="714">
        <f t="shared" si="10"/>
        <v>100</v>
      </c>
      <c r="T39" s="713" t="s">
        <v>17</v>
      </c>
      <c r="U39" s="714">
        <f t="shared" si="11"/>
        <v>100</v>
      </c>
      <c r="V39" s="713" t="s">
        <v>17</v>
      </c>
      <c r="W39" s="714">
        <f t="shared" si="12"/>
        <v>100</v>
      </c>
      <c r="X39" s="1507"/>
      <c r="Y39" s="3490"/>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90"/>
      <c r="Q40" s="1504" t="str">
        <f t="shared" si="14"/>
        <v>临街宽度及深度</v>
      </c>
      <c r="R40" s="713" t="s">
        <v>17</v>
      </c>
      <c r="S40" s="714">
        <f t="shared" si="10"/>
        <v>100</v>
      </c>
      <c r="T40" s="713" t="s">
        <v>17</v>
      </c>
      <c r="U40" s="714">
        <f t="shared" si="11"/>
        <v>100</v>
      </c>
      <c r="V40" s="713" t="s">
        <v>17</v>
      </c>
      <c r="W40" s="714">
        <f t="shared" si="12"/>
        <v>100</v>
      </c>
      <c r="X40" s="1507"/>
      <c r="Y40" s="3490"/>
      <c r="Z40" s="1508" t="str">
        <f t="shared" si="13"/>
        <v>临街宽度及深度</v>
      </c>
      <c r="AA40" s="1505">
        <f t="shared" si="3"/>
        <v>1</v>
      </c>
      <c r="AB40" s="1505">
        <f t="shared" si="4"/>
        <v>1</v>
      </c>
      <c r="AC40" s="1505">
        <f t="shared" si="5"/>
        <v>1</v>
      </c>
    </row>
    <row r="41" spans="1:29" s="112"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90"/>
      <c r="Q41" s="1504" t="str">
        <f t="shared" si="14"/>
        <v>宗地开发程度</v>
      </c>
      <c r="R41" s="709" t="s">
        <v>17</v>
      </c>
      <c r="S41" s="710">
        <f t="shared" si="10"/>
        <v>100</v>
      </c>
      <c r="T41" s="709" t="s">
        <v>17</v>
      </c>
      <c r="U41" s="710">
        <f t="shared" si="11"/>
        <v>100</v>
      </c>
      <c r="V41" s="709" t="s">
        <v>17</v>
      </c>
      <c r="W41" s="710">
        <f t="shared" si="12"/>
        <v>100</v>
      </c>
      <c r="X41" s="711"/>
      <c r="Y41" s="3490"/>
      <c r="Z41" s="54"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90" t="s">
        <v>2326</v>
      </c>
      <c r="Q42" s="1504" t="str">
        <f t="shared" si="14"/>
        <v>工程地质条件</v>
      </c>
      <c r="R42" s="713" t="s">
        <v>17</v>
      </c>
      <c r="S42" s="714">
        <f t="shared" si="10"/>
        <v>100</v>
      </c>
      <c r="T42" s="713" t="s">
        <v>17</v>
      </c>
      <c r="U42" s="714">
        <f t="shared" si="11"/>
        <v>100</v>
      </c>
      <c r="V42" s="713" t="s">
        <v>17</v>
      </c>
      <c r="W42" s="714">
        <f t="shared" si="12"/>
        <v>100</v>
      </c>
      <c r="X42" s="1507"/>
      <c r="Y42" s="3490" t="s">
        <v>2326</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90"/>
      <c r="Q43" s="1504">
        <f t="shared" si="14"/>
        <v>111</v>
      </c>
      <c r="R43" s="713" t="s">
        <v>17</v>
      </c>
      <c r="S43" s="714">
        <f t="shared" si="10"/>
        <v>100</v>
      </c>
      <c r="T43" s="713" t="s">
        <v>17</v>
      </c>
      <c r="U43" s="714">
        <f t="shared" si="11"/>
        <v>100</v>
      </c>
      <c r="V43" s="713" t="s">
        <v>17</v>
      </c>
      <c r="W43" s="714">
        <f t="shared" si="12"/>
        <v>100</v>
      </c>
      <c r="X43" s="1507"/>
      <c r="Y43" s="3490"/>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90"/>
      <c r="Q44" s="1504">
        <f t="shared" si="14"/>
        <v>111</v>
      </c>
      <c r="R44" s="713" t="s">
        <v>17</v>
      </c>
      <c r="S44" s="714">
        <f t="shared" si="10"/>
        <v>100</v>
      </c>
      <c r="T44" s="713" t="s">
        <v>17</v>
      </c>
      <c r="U44" s="714">
        <f t="shared" si="11"/>
        <v>100</v>
      </c>
      <c r="V44" s="713" t="s">
        <v>17</v>
      </c>
      <c r="W44" s="714">
        <f t="shared" si="12"/>
        <v>100</v>
      </c>
      <c r="X44" s="1507"/>
      <c r="Y44" s="3490"/>
      <c r="Z44" s="1508">
        <f t="shared" si="13"/>
        <v>111</v>
      </c>
      <c r="AA44" s="1505">
        <f t="shared" si="3"/>
        <v>1</v>
      </c>
      <c r="AB44" s="1505">
        <f t="shared" si="4"/>
        <v>1</v>
      </c>
      <c r="AC44" s="1505">
        <f t="shared" si="5"/>
        <v>1</v>
      </c>
    </row>
    <row r="45" spans="1:29" s="429" customFormat="1" ht="15.6" thickBot="1">
      <c r="A45" s="426"/>
      <c r="B45" s="1267">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90"/>
      <c r="Q45" s="1504">
        <f t="shared" si="14"/>
        <v>111</v>
      </c>
      <c r="R45" s="716" t="s">
        <v>17</v>
      </c>
      <c r="S45" s="717">
        <f t="shared" si="10"/>
        <v>100</v>
      </c>
      <c r="T45" s="716" t="s">
        <v>17</v>
      </c>
      <c r="U45" s="717">
        <f t="shared" si="11"/>
        <v>100</v>
      </c>
      <c r="V45" s="716" t="s">
        <v>17</v>
      </c>
      <c r="W45" s="717">
        <f t="shared" si="12"/>
        <v>100</v>
      </c>
      <c r="X45" s="718"/>
      <c r="Y45" s="3490"/>
      <c r="Z45" s="719">
        <f t="shared" si="13"/>
        <v>111</v>
      </c>
      <c r="AA45" s="1505">
        <f t="shared" si="3"/>
        <v>1</v>
      </c>
      <c r="AB45" s="1505">
        <f t="shared" si="4"/>
        <v>1</v>
      </c>
      <c r="AC45" s="1505">
        <f t="shared" si="5"/>
        <v>1</v>
      </c>
    </row>
    <row r="46" spans="1:29" ht="14.4">
      <c r="A46" s="437" t="s">
        <v>2481</v>
      </c>
      <c r="B46" s="2136" t="s">
        <v>2517</v>
      </c>
      <c r="C46" s="637" t="s">
        <v>1</v>
      </c>
      <c r="D46" s="439"/>
      <c r="E46" s="440"/>
      <c r="F46" s="441"/>
      <c r="G46" s="442"/>
      <c r="H46" s="443"/>
      <c r="I46" s="440"/>
      <c r="J46" s="443"/>
      <c r="K46" s="722"/>
      <c r="L46" s="2921"/>
      <c r="M46" s="2922"/>
      <c r="N46" s="2913"/>
      <c r="O46" s="2922"/>
      <c r="P46" s="3484" t="str">
        <f>A46</f>
        <v>成交单价</v>
      </c>
      <c r="Q46" s="3484"/>
      <c r="R46" s="3486">
        <f>E46</f>
        <v>0</v>
      </c>
      <c r="S46" s="3486"/>
      <c r="T46" s="3486">
        <f>G46</f>
        <v>0</v>
      </c>
      <c r="U46" s="3486"/>
      <c r="V46" s="3486">
        <f>I46</f>
        <v>0</v>
      </c>
      <c r="W46" s="3486"/>
      <c r="X46" s="698"/>
      <c r="Y46" s="720"/>
      <c r="Z46" s="698"/>
      <c r="AA46" s="698"/>
      <c r="AB46" s="698"/>
      <c r="AC46" s="698"/>
    </row>
    <row r="47" spans="1:29" ht="15" thickBot="1">
      <c r="A47" s="444" t="s">
        <v>2430</v>
      </c>
      <c r="B47" s="638"/>
      <c r="C47" s="447" t="e">
        <f>R48</f>
        <v>#DIV/0!</v>
      </c>
      <c r="D47" s="2506" t="s">
        <v>2818</v>
      </c>
      <c r="E47" s="447" t="e">
        <f>R47</f>
        <v>#DIV/0!</v>
      </c>
      <c r="F47" s="2507"/>
      <c r="G47" s="446" t="e">
        <f>T47</f>
        <v>#DIV/0!</v>
      </c>
      <c r="H47" s="2507"/>
      <c r="I47" s="447" t="e">
        <f>V47</f>
        <v>#DIV/0!</v>
      </c>
      <c r="J47" s="2507"/>
      <c r="K47" s="2509">
        <f>F47+H47+J47</f>
        <v>0</v>
      </c>
      <c r="L47" s="2921"/>
      <c r="M47" s="2922"/>
      <c r="N47" s="2922"/>
      <c r="O47" s="2922"/>
      <c r="P47" s="3484" t="str">
        <f>A47</f>
        <v>比较价值（元/平方米）</v>
      </c>
      <c r="Q47" s="3484"/>
      <c r="R47" s="3485" t="e">
        <f>ROUND(PRODUCT(R46,AA7:AA45),0)</f>
        <v>#DIV/0!</v>
      </c>
      <c r="S47" s="3485"/>
      <c r="T47" s="3485" t="e">
        <f>ROUND(PRODUCT(T46,AB7:AB45),0)</f>
        <v>#DIV/0!</v>
      </c>
      <c r="U47" s="3485"/>
      <c r="V47" s="3485" t="e">
        <f>ROUND(PRODUCT(V46,AC7:AC45),0)</f>
        <v>#DIV/0!</v>
      </c>
      <c r="W47" s="3485"/>
      <c r="X47" s="698"/>
      <c r="Y47" s="698"/>
      <c r="Z47" s="698"/>
      <c r="AA47" s="698"/>
      <c r="AB47" s="698"/>
      <c r="AC47" s="698"/>
    </row>
    <row r="48" spans="1:29" ht="15" thickBot="1">
      <c r="A48" s="448" t="s">
        <v>2518</v>
      </c>
      <c r="B48" s="449"/>
      <c r="C48" s="450" t="e">
        <f>R48</f>
        <v>#DIV/0!</v>
      </c>
      <c r="D48" s="450"/>
      <c r="E48" s="450"/>
      <c r="F48" s="450"/>
      <c r="G48" s="450"/>
      <c r="H48" s="450"/>
      <c r="I48" s="450"/>
      <c r="J48" s="450"/>
      <c r="K48" s="723"/>
      <c r="L48" s="2921"/>
      <c r="M48" s="2922"/>
      <c r="N48" s="2922"/>
      <c r="O48" s="2922"/>
      <c r="P48" s="3481" t="str">
        <f>A48</f>
        <v>估价对象XX用房的比较价值（楼面单价，元/平方米）</v>
      </c>
      <c r="Q48" s="3482"/>
      <c r="R48" s="3483" t="e">
        <f>ROUND(IF(D47="简单平均",AVERAGE(R47:W47),R47*F47+T47*H47+V47*J47),0)</f>
        <v>#DIV/0!</v>
      </c>
      <c r="S48" s="3483"/>
      <c r="T48" s="3483"/>
      <c r="U48" s="3483"/>
      <c r="V48" s="3483"/>
      <c r="W48" s="3483"/>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4.4"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494" t="s">
        <v>2525</v>
      </c>
      <c r="H55" s="3508"/>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23078</v>
      </c>
      <c r="F56" s="1016" t="e">
        <f t="shared" ref="F56:F65" si="15">ROUND(B56*E56/10000,0)</f>
        <v>#DIV/0!</v>
      </c>
      <c r="G56" s="3509"/>
      <c r="H56" s="3484"/>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510"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510"/>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510"/>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510"/>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v>
      </c>
      <c r="D61" s="1075">
        <v>0.25</v>
      </c>
      <c r="E61" s="222">
        <f>'数据-汇总表'!E11</f>
        <v>0</v>
      </c>
      <c r="F61" s="1016" t="e">
        <f t="shared" si="15"/>
        <v>#DIV/0!</v>
      </c>
      <c r="G61" s="2141" t="s">
        <v>2535</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v>
      </c>
      <c r="D62" s="1075">
        <v>0.25</v>
      </c>
      <c r="E62" s="222">
        <f>'数据-汇总表'!E12</f>
        <v>1802.78</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4.4" thickBot="1">
      <c r="A65" s="648" t="s">
        <v>2541</v>
      </c>
      <c r="B65" s="223" t="e">
        <f t="shared" si="17"/>
        <v>#DIV/0!</v>
      </c>
      <c r="C65" s="175">
        <f t="shared" si="16"/>
        <v>0</v>
      </c>
      <c r="D65" s="1075">
        <v>0.25</v>
      </c>
      <c r="E65" s="222">
        <f>'数据-汇总表'!E15</f>
        <v>0</v>
      </c>
      <c r="F65" s="1016" t="e">
        <f t="shared" si="15"/>
        <v>#DIV/0!</v>
      </c>
      <c r="G65" s="2142" t="s">
        <v>2535</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thickBot="1">
      <c r="A66" s="650" t="s">
        <v>2542</v>
      </c>
      <c r="B66" s="651" t="s">
        <v>28</v>
      </c>
      <c r="C66" s="651" t="s">
        <v>29</v>
      </c>
      <c r="D66" s="651" t="s">
        <v>997</v>
      </c>
      <c r="E66" s="651">
        <f>IF(B46="楼面地价",SUM(E56:E65),'数据-汇总表'!D3)</f>
        <v>24880.78</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2.2"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4.4">
      <c r="A70" s="2143" t="s">
        <v>2543</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2"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2" customFormat="1" ht="1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2" customFormat="1" ht="14.4">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2" customFormat="1" ht="14.4"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ht="14.4">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4.4"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9.4"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4.4"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4.4"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4.4"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4.4"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4.4"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4.4"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4.4"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ht="14.4">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2" customFormat="1" ht="29.4"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2" customFormat="1" ht="29.4"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 thickTop="1">
      <c r="A102" s="509"/>
      <c r="B102" s="502" t="s">
        <v>2416</v>
      </c>
      <c r="C102" s="615" t="s">
        <v>2436</v>
      </c>
      <c r="D102" s="615" t="s">
        <v>2437</v>
      </c>
      <c r="E102" s="615" t="s">
        <v>2438</v>
      </c>
      <c r="F102" s="615" t="s">
        <v>2439</v>
      </c>
      <c r="G102" s="615" t="s">
        <v>2440</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4.4"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4.4"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4.4"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4.4"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4.4"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ht="14.4">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4.4"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4.4"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4.4"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4.4"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4.4"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4.4"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1.7690999999999999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5" customWidth="1"/>
    <col min="2" max="2" width="37.21875" style="1645" customWidth="1"/>
    <col min="3" max="3" width="11.33203125" style="1645" customWidth="1"/>
    <col min="4" max="4" width="31.77734375" style="1645" customWidth="1"/>
    <col min="5" max="5" width="0.44140625" style="1645" customWidth="1"/>
    <col min="6" max="7" width="13" style="1645" customWidth="1"/>
    <col min="8" max="16384" width="9" style="1645"/>
  </cols>
  <sheetData>
    <row r="1" spans="1:5" ht="17.399999999999999">
      <c r="A1" s="1643" t="s">
        <v>1526</v>
      </c>
      <c r="B1" s="1644"/>
      <c r="C1" s="1644"/>
      <c r="D1" s="1644"/>
      <c r="E1" s="1644"/>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7.399999999999999">
      <c r="A3" s="3268" t="str">
        <f>IF(项目基本情况!B9="房地产市场价值","估价结果一览表（市场价值不需“结果表-1”）","估价结果一览表")</f>
        <v>估价结果一览表</v>
      </c>
      <c r="B3" s="3268"/>
      <c r="C3" s="3268"/>
      <c r="D3" s="3268"/>
      <c r="E3" s="3268"/>
    </row>
    <row r="4" spans="1:5" ht="18" thickBot="1">
      <c r="A4" s="1646"/>
      <c r="B4" s="3266" t="s">
        <v>1535</v>
      </c>
      <c r="C4" s="3266"/>
      <c r="D4" s="3266"/>
      <c r="E4" s="1646"/>
    </row>
    <row r="5" spans="1:5" ht="16.2" thickTop="1">
      <c r="A5" s="1644"/>
      <c r="B5" s="3264" t="s">
        <v>1527</v>
      </c>
      <c r="C5" s="1647" t="s">
        <v>1528</v>
      </c>
      <c r="D5" s="958">
        <f ca="1">结果表!H101</f>
        <v>9409</v>
      </c>
      <c r="E5" s="1644"/>
    </row>
    <row r="6" spans="1:5" ht="15.6">
      <c r="A6" s="1644"/>
      <c r="B6" s="3264"/>
      <c r="C6" s="1647" t="s">
        <v>1529</v>
      </c>
      <c r="D6" s="958" t="str">
        <f ca="1">NUMBERSTRING(INT(D5*10000),2)&amp;"元整"</f>
        <v>玖仟肆佰零玖万元整</v>
      </c>
      <c r="E6" s="1644"/>
    </row>
    <row r="7" spans="1:5" ht="15.6">
      <c r="A7" s="1644"/>
      <c r="B7" s="3269"/>
      <c r="C7" s="1648" t="s">
        <v>1530</v>
      </c>
      <c r="D7" s="959">
        <f ca="1">结果表!H102</f>
        <v>3782</v>
      </c>
      <c r="E7" s="1644"/>
    </row>
    <row r="8" spans="1:5" ht="15.6">
      <c r="A8" s="1644"/>
      <c r="B8" s="3270" t="str">
        <f>结果表!E103</f>
        <v>2.估价师知悉的法定优先受偿款</v>
      </c>
      <c r="C8" s="1649" t="s">
        <v>1531</v>
      </c>
      <c r="D8" s="959">
        <f>结果表!H103</f>
        <v>0</v>
      </c>
      <c r="E8" s="1644"/>
    </row>
    <row r="9" spans="1:5" ht="15.6">
      <c r="A9" s="1644"/>
      <c r="B9" s="3272"/>
      <c r="C9" s="1647" t="s">
        <v>1529</v>
      </c>
      <c r="D9" s="958" t="str">
        <f>NUMBERSTRING(INT(D8*10000),2)&amp;"元整"</f>
        <v>零元整</v>
      </c>
      <c r="E9" s="1644"/>
    </row>
    <row r="10" spans="1:5" ht="15.6">
      <c r="A10" s="1644"/>
      <c r="B10" s="1650" t="s">
        <v>1534</v>
      </c>
      <c r="C10" s="1651" t="s">
        <v>1532</v>
      </c>
      <c r="D10" s="960">
        <f>结果表!H104</f>
        <v>0</v>
      </c>
      <c r="E10" s="1644"/>
    </row>
    <row r="11" spans="1:5" ht="15.6">
      <c r="A11" s="1644"/>
      <c r="B11" s="1650" t="s">
        <v>1536</v>
      </c>
      <c r="C11" s="1651" t="s">
        <v>1537</v>
      </c>
      <c r="D11" s="960">
        <f>结果表!H105</f>
        <v>0</v>
      </c>
      <c r="E11" s="1644"/>
    </row>
    <row r="12" spans="1:5" ht="15.6">
      <c r="A12" s="1644"/>
      <c r="B12" s="1650" t="s">
        <v>1538</v>
      </c>
      <c r="C12" s="1651" t="s">
        <v>1537</v>
      </c>
      <c r="D12" s="960">
        <f>结果表!H106</f>
        <v>0</v>
      </c>
      <c r="E12" s="1644"/>
    </row>
    <row r="13" spans="1:5" ht="15.6">
      <c r="A13" s="1644"/>
      <c r="B13" s="3263" t="str">
        <f>结果表!E107</f>
        <v>3.房地产抵押价值</v>
      </c>
      <c r="C13" s="1652" t="s">
        <v>1528</v>
      </c>
      <c r="D13" s="961">
        <f ca="1">结果表!H107</f>
        <v>9409</v>
      </c>
      <c r="E13" s="1644"/>
    </row>
    <row r="14" spans="1:5" ht="15.6">
      <c r="A14" s="1644"/>
      <c r="B14" s="3264"/>
      <c r="C14" s="1647" t="s">
        <v>1529</v>
      </c>
      <c r="D14" s="958" t="str">
        <f ca="1">NUMBERSTRING(INT(D13*10000),2)&amp;"元整"</f>
        <v>玖仟肆佰零玖万元整</v>
      </c>
      <c r="E14" s="1644"/>
    </row>
    <row r="15" spans="1:5" ht="15.6">
      <c r="A15" s="1644"/>
      <c r="B15" s="3269"/>
      <c r="C15" s="1648" t="s">
        <v>1539</v>
      </c>
      <c r="D15" s="967">
        <f ca="1">结果表!H108</f>
        <v>3782</v>
      </c>
      <c r="E15" s="1644"/>
    </row>
    <row r="16" spans="1:5" ht="15.6">
      <c r="A16" s="1644"/>
      <c r="B16" s="3270" t="str">
        <f>结果表!E109</f>
        <v>——</v>
      </c>
      <c r="C16" s="1652" t="s">
        <v>1540</v>
      </c>
      <c r="D16" s="1653" t="str">
        <f>结果表!H109</f>
        <v>——</v>
      </c>
      <c r="E16" s="1644"/>
    </row>
    <row r="17" spans="1:5" ht="15.6">
      <c r="A17" s="1644"/>
      <c r="B17" s="3271"/>
      <c r="C17" s="1647" t="s">
        <v>1541</v>
      </c>
      <c r="D17" s="958" t="e">
        <f>NUMBERSTRING(INT(D16*10000),2)&amp;"元整"</f>
        <v>#VALUE!</v>
      </c>
      <c r="E17" s="1644"/>
    </row>
    <row r="18" spans="1:5" ht="15.6">
      <c r="A18" s="1644"/>
      <c r="B18" s="3272"/>
      <c r="C18" s="1648" t="s">
        <v>1530</v>
      </c>
      <c r="D18" s="967" t="str">
        <f>结果表!H110</f>
        <v>——</v>
      </c>
      <c r="E18" s="1644"/>
    </row>
    <row r="19" spans="1:5" ht="15.6">
      <c r="A19" s="1644"/>
      <c r="B19" s="3263" t="str">
        <f>结果表!E111</f>
        <v>——</v>
      </c>
      <c r="C19" s="1652" t="s">
        <v>1528</v>
      </c>
      <c r="D19" s="959" t="str">
        <f>结果表!H111</f>
        <v>——</v>
      </c>
      <c r="E19" s="1644"/>
    </row>
    <row r="20" spans="1:5" ht="15.6">
      <c r="A20" s="1644"/>
      <c r="B20" s="3264"/>
      <c r="C20" s="1647" t="s">
        <v>1541</v>
      </c>
      <c r="D20" s="958" t="e">
        <f>NUMBERSTRING(INT(D19*10000),2)&amp;"元整"</f>
        <v>#VALUE!</v>
      </c>
      <c r="E20" s="1644"/>
    </row>
    <row r="21" spans="1:5" ht="16.2" thickBot="1">
      <c r="A21" s="1644"/>
      <c r="B21" s="3265"/>
      <c r="C21" s="1654" t="s">
        <v>1539</v>
      </c>
      <c r="D21" s="968" t="str">
        <f>结果表!H112</f>
        <v>——</v>
      </c>
      <c r="E21" s="1644"/>
    </row>
    <row r="22" spans="1:5" ht="14.4" thickTop="1">
      <c r="A22" s="1644"/>
      <c r="B22" s="1655" t="s">
        <v>1542</v>
      </c>
      <c r="C22" s="1644"/>
      <c r="D22" s="1644"/>
      <c r="E22" s="1644"/>
    </row>
    <row r="23" spans="1:5">
      <c r="A23" s="1644"/>
      <c r="B23" s="1644"/>
      <c r="C23" s="1644"/>
      <c r="D23" s="1644"/>
      <c r="E23" s="1644"/>
    </row>
    <row r="24" spans="1:5" ht="17.399999999999999">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0" customWidth="1"/>
    <col min="2" max="2" width="12.44140625" style="1630" customWidth="1"/>
    <col min="3" max="3" width="12.109375" style="1630" customWidth="1"/>
    <col min="4" max="4" width="14.109375" style="1630" customWidth="1"/>
    <col min="5" max="5" width="12.44140625" style="1630" customWidth="1"/>
    <col min="6" max="16384" width="9" style="1630"/>
  </cols>
  <sheetData>
    <row r="1" spans="1:16" ht="21.6">
      <c r="A1" s="2021" t="s">
        <v>2760</v>
      </c>
      <c r="B1" s="2331"/>
      <c r="C1" s="2331"/>
      <c r="D1" s="2331"/>
      <c r="E1" s="2331"/>
      <c r="F1" s="2992"/>
      <c r="G1" s="2992"/>
      <c r="H1" s="2992"/>
      <c r="I1" s="2992"/>
      <c r="J1" s="2992"/>
      <c r="K1" s="2992"/>
      <c r="L1" s="2992"/>
      <c r="M1" s="2992"/>
      <c r="N1" s="2992"/>
      <c r="O1" s="2992"/>
      <c r="P1" s="2992"/>
    </row>
    <row r="2" spans="1:16" ht="15.6">
      <c r="A2" s="2329" t="s">
        <v>2752</v>
      </c>
      <c r="B2" s="2796">
        <f ca="1">SUMIF(B6:B13,"&lt;&gt;#ref!",B6:B13)</f>
        <v>2745</v>
      </c>
      <c r="C2" s="2329" t="s">
        <v>2753</v>
      </c>
      <c r="D2" s="2329" t="s">
        <v>2754</v>
      </c>
      <c r="E2" s="2806">
        <f ca="1">SUMIF(E6:E13,"&lt;&gt;#ref!",E6:E13)</f>
        <v>24880.78</v>
      </c>
      <c r="F2" s="2992"/>
      <c r="G2" s="2992"/>
      <c r="H2" s="2992"/>
      <c r="I2" s="2992"/>
      <c r="J2" s="2992"/>
      <c r="K2" s="2992"/>
      <c r="L2" s="2992"/>
      <c r="M2" s="2992"/>
      <c r="N2" s="2992"/>
      <c r="O2" s="2992"/>
      <c r="P2" s="2992"/>
    </row>
    <row r="3" spans="1:16" ht="15.6">
      <c r="A3" s="2329" t="s">
        <v>2755</v>
      </c>
      <c r="B3" s="2796">
        <f ca="1">ROUND(B2*10000/E2,0)</f>
        <v>1103</v>
      </c>
      <c r="C3" s="2329" t="s">
        <v>2761</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2756</v>
      </c>
      <c r="B5" s="2804" t="s">
        <v>2757</v>
      </c>
      <c r="C5" s="2330"/>
      <c r="D5" s="2992"/>
      <c r="E5" s="2805" t="s">
        <v>2758</v>
      </c>
      <c r="F5" s="2992"/>
      <c r="G5" s="2992"/>
      <c r="H5" s="2992"/>
      <c r="I5" s="2992"/>
      <c r="J5" s="2992"/>
      <c r="K5" s="2992"/>
      <c r="L5" s="2992"/>
      <c r="M5" s="2992"/>
      <c r="N5" s="2992"/>
      <c r="O5" s="2992"/>
      <c r="P5" s="2992"/>
    </row>
    <row r="6" spans="1:16" ht="15.6">
      <c r="A6" s="2803" t="s">
        <v>2759</v>
      </c>
      <c r="B6" s="2796">
        <f ca="1">SUMIF(INDIRECT("'"&amp;A6&amp;"'"&amp;"!A:A"),"总价",INDIRECT("'"&amp;A6&amp;"'"&amp;"!B:B"))</f>
        <v>2745</v>
      </c>
      <c r="C6" s="2329" t="s">
        <v>2753</v>
      </c>
      <c r="D6" s="2992"/>
      <c r="E6" s="2806">
        <f ca="1">SUMIF(INDIRECT("'"&amp;A6&amp;"'"&amp;"!C:C"),"建筑面积",INDIRECT("'"&amp;A6&amp;"'"&amp;"!D:D"))</f>
        <v>24880.78</v>
      </c>
      <c r="F6" s="2992"/>
      <c r="G6" s="2992"/>
      <c r="H6" s="2992"/>
      <c r="I6" s="2992"/>
      <c r="J6" s="2992"/>
      <c r="K6" s="2992"/>
      <c r="L6" s="2992"/>
      <c r="M6" s="2992"/>
      <c r="N6" s="2992"/>
      <c r="O6" s="2992"/>
      <c r="P6" s="2992"/>
    </row>
    <row r="7" spans="1:16" ht="15.6">
      <c r="A7" s="2803"/>
      <c r="B7" s="2796" t="e">
        <f ca="1">SUMIF(INDIRECT("'"&amp;A7&amp;"'"&amp;"!A:A"),"总价",INDIRECT("'"&amp;A7&amp;"'"&amp;"!B:B"))</f>
        <v>#REF!</v>
      </c>
      <c r="C7" s="2329"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29" t="s">
        <v>2753</v>
      </c>
      <c r="D8" s="2992"/>
      <c r="E8" s="2806" t="e">
        <f t="shared" ca="1" si="0"/>
        <v>#REF!</v>
      </c>
      <c r="F8" s="2992"/>
      <c r="G8" s="2992"/>
      <c r="H8" s="2992"/>
      <c r="I8" s="2992"/>
      <c r="J8" s="2992"/>
      <c r="K8" s="2992"/>
      <c r="L8" s="2992"/>
      <c r="M8" s="2992"/>
      <c r="N8" s="2992"/>
      <c r="O8" s="2992"/>
      <c r="P8" s="2992"/>
    </row>
    <row r="9" spans="1:16" ht="15.6">
      <c r="A9" s="2803"/>
      <c r="B9" s="2796" t="e">
        <f t="shared" ca="1" si="1"/>
        <v>#REF!</v>
      </c>
      <c r="C9" s="2329" t="s">
        <v>2753</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29" t="s">
        <v>2753</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29" t="s">
        <v>2753</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29" t="s">
        <v>2753</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29"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8"/>
    <col min="2" max="6" width="9" style="2378" customWidth="1"/>
    <col min="7" max="7" width="9" style="2416"/>
    <col min="8" max="8" width="9" style="2378"/>
    <col min="9" max="12" width="9" style="2378" customWidth="1"/>
    <col min="13" max="13" width="2.21875" style="2378" customWidth="1"/>
    <col min="14" max="14" width="9" style="2416" customWidth="1"/>
    <col min="15" max="17" width="9" style="2378" customWidth="1"/>
    <col min="18" max="18" width="2.33203125" style="2378" customWidth="1"/>
    <col min="19" max="19" width="7.109375" style="2416" customWidth="1"/>
    <col min="20" max="22" width="7.109375" style="2378" customWidth="1"/>
    <col min="23" max="23" width="24.21875" style="2378" customWidth="1"/>
    <col min="24" max="25" width="9" style="2378"/>
    <col min="26" max="27" width="11.6640625" style="2378" customWidth="1"/>
    <col min="28" max="28" width="9" style="2378"/>
    <col min="29" max="29" width="2" style="2378" customWidth="1"/>
    <col min="30" max="16384" width="9" style="2378"/>
  </cols>
  <sheetData>
    <row r="1" spans="1:34" s="2357" customFormat="1">
      <c r="B1" s="3586" t="s">
        <v>1058</v>
      </c>
      <c r="C1" s="3586"/>
      <c r="D1" s="3586"/>
      <c r="E1" s="3586"/>
      <c r="F1" s="3586"/>
      <c r="G1" s="3582" t="s">
        <v>1059</v>
      </c>
      <c r="H1" s="3582"/>
      <c r="I1" s="3582"/>
      <c r="J1" s="3582"/>
      <c r="K1" s="3582"/>
      <c r="L1" s="3582"/>
      <c r="N1" s="3582" t="s">
        <v>1060</v>
      </c>
      <c r="O1" s="3582"/>
      <c r="P1" s="3582"/>
      <c r="Q1" s="3582"/>
      <c r="S1" s="3582" t="s">
        <v>1061</v>
      </c>
      <c r="T1" s="3582"/>
      <c r="U1" s="3582"/>
      <c r="V1" s="3582"/>
      <c r="X1" s="3581" t="s">
        <v>1062</v>
      </c>
      <c r="Y1" s="3582"/>
      <c r="Z1" s="3582"/>
      <c r="AA1" s="3582"/>
      <c r="AB1" s="3582"/>
      <c r="AD1" s="3581" t="s">
        <v>1063</v>
      </c>
      <c r="AE1" s="3582"/>
      <c r="AF1" s="3582"/>
      <c r="AG1" s="3582"/>
      <c r="AH1" s="3582"/>
    </row>
    <row r="2" spans="1:34" s="2358" customFormat="1" ht="1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4">
      <c r="A3" s="2362" t="s">
        <v>2793</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4">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3001</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3000</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2999</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8"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8"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84">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84"/>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84"/>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91"/>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87">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84"/>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84"/>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91"/>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7">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84"/>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84"/>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8"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85"/>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8" thickBot="1">
      <c r="A30" s="2391" t="s">
        <v>151</v>
      </c>
      <c r="B30" s="2406">
        <v>333</v>
      </c>
      <c r="C30" s="2406">
        <v>277</v>
      </c>
      <c r="D30" s="2406">
        <f t="shared" si="213"/>
        <v>277</v>
      </c>
      <c r="E30" s="2406">
        <v>459</v>
      </c>
      <c r="F30" s="2407">
        <v>249</v>
      </c>
      <c r="G30" s="3583">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84"/>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84"/>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85"/>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8" thickBot="1">
      <c r="A34" s="2391" t="s">
        <v>147</v>
      </c>
      <c r="B34" s="2420">
        <v>318</v>
      </c>
      <c r="C34" s="2420">
        <v>268</v>
      </c>
      <c r="D34" s="2420">
        <f t="shared" si="213"/>
        <v>268</v>
      </c>
      <c r="E34" s="2420">
        <v>437</v>
      </c>
      <c r="F34" s="2421">
        <v>237</v>
      </c>
      <c r="G34" s="3583">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84"/>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8"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84"/>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8"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85"/>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8" thickBot="1">
      <c r="A38" s="2391" t="s">
        <v>1071</v>
      </c>
      <c r="B38" s="2406">
        <v>299</v>
      </c>
      <c r="C38" s="2406">
        <v>252</v>
      </c>
      <c r="D38" s="2406">
        <f t="shared" si="213"/>
        <v>252</v>
      </c>
      <c r="E38" s="2406">
        <v>409</v>
      </c>
      <c r="F38" s="2407">
        <v>227</v>
      </c>
      <c r="G38" s="3588">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9"/>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9"/>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90"/>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8" thickBot="1">
      <c r="A42" s="2391" t="s">
        <v>1075</v>
      </c>
      <c r="B42" s="2441">
        <v>278</v>
      </c>
      <c r="C42" s="2441">
        <v>234</v>
      </c>
      <c r="D42" s="2441">
        <f t="shared" si="213"/>
        <v>234</v>
      </c>
      <c r="E42" s="2441">
        <v>379</v>
      </c>
      <c r="F42" s="2442">
        <v>220</v>
      </c>
      <c r="G42" s="3583">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84"/>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84"/>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8" thickBot="1">
      <c r="A45" s="2391" t="s">
        <v>1078</v>
      </c>
      <c r="B45" s="2392">
        <f>B44/(1+N44)</f>
        <v>275.19025476197027</v>
      </c>
      <c r="C45" s="2443">
        <v>232</v>
      </c>
      <c r="D45" s="2443">
        <f t="shared" si="213"/>
        <v>232</v>
      </c>
      <c r="E45" s="2392">
        <f t="shared" si="224"/>
        <v>375.65990977608692</v>
      </c>
      <c r="F45" s="2392">
        <f t="shared" si="224"/>
        <v>214.12518283971252</v>
      </c>
      <c r="G45" s="3585"/>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8" thickBot="1">
      <c r="A46" s="2391" t="s">
        <v>1079</v>
      </c>
      <c r="B46" s="2406">
        <v>275</v>
      </c>
      <c r="C46" s="2406">
        <v>232</v>
      </c>
      <c r="D46" s="2406">
        <f t="shared" si="213"/>
        <v>232</v>
      </c>
      <c r="E46" s="2406">
        <v>376</v>
      </c>
      <c r="F46" s="2407">
        <v>213</v>
      </c>
      <c r="G46" s="3583">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84">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84">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8"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85">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8" thickBot="1">
      <c r="A50" s="2391" t="s">
        <v>1083</v>
      </c>
      <c r="B50" s="2406">
        <v>269</v>
      </c>
      <c r="C50" s="2406">
        <v>221</v>
      </c>
      <c r="D50" s="2406">
        <f t="shared" si="213"/>
        <v>221</v>
      </c>
      <c r="E50" s="2406">
        <v>373</v>
      </c>
      <c r="F50" s="2407">
        <v>196</v>
      </c>
      <c r="G50" s="3583">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84">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84">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8"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85">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8" thickBot="1">
      <c r="A54" s="2391" t="s">
        <v>1087</v>
      </c>
      <c r="B54" s="2406">
        <v>220</v>
      </c>
      <c r="C54" s="2406">
        <v>187</v>
      </c>
      <c r="D54" s="2406">
        <f t="shared" si="213"/>
        <v>187</v>
      </c>
      <c r="E54" s="2406">
        <v>301</v>
      </c>
      <c r="F54" s="2407">
        <v>168</v>
      </c>
      <c r="G54" s="3583">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84">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84">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85">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8" thickBot="1">
      <c r="A58" s="2391" t="s">
        <v>1091</v>
      </c>
      <c r="B58" s="2441">
        <v>214</v>
      </c>
      <c r="C58" s="2441">
        <v>188</v>
      </c>
      <c r="D58" s="2441">
        <f t="shared" si="213"/>
        <v>188</v>
      </c>
      <c r="E58" s="2441">
        <v>289</v>
      </c>
      <c r="F58" s="2442">
        <v>166</v>
      </c>
      <c r="G58" s="3583">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84">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84">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8"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85">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8" thickBot="1">
      <c r="A62" s="2391" t="s">
        <v>1095</v>
      </c>
      <c r="B62" s="2406">
        <v>188</v>
      </c>
      <c r="C62" s="2406">
        <v>165</v>
      </c>
      <c r="D62" s="2406">
        <f t="shared" si="213"/>
        <v>165</v>
      </c>
      <c r="E62" s="2406">
        <v>254</v>
      </c>
      <c r="F62" s="2407">
        <v>148</v>
      </c>
      <c r="G62" s="3583">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84">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84">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85">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8" thickBot="1">
      <c r="A66" s="2391" t="s">
        <v>1099</v>
      </c>
      <c r="B66" s="2420">
        <v>159</v>
      </c>
      <c r="C66" s="2420">
        <v>141</v>
      </c>
      <c r="D66" s="2420">
        <f t="shared" si="213"/>
        <v>141</v>
      </c>
      <c r="E66" s="2420">
        <v>195</v>
      </c>
      <c r="F66" s="2421">
        <v>122</v>
      </c>
      <c r="G66" s="3583">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84">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84">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85">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8" thickBot="1">
      <c r="A70" s="2391" t="s">
        <v>1103</v>
      </c>
      <c r="B70" s="2420">
        <v>138</v>
      </c>
      <c r="C70" s="2420">
        <v>131</v>
      </c>
      <c r="D70" s="2420">
        <f t="shared" si="213"/>
        <v>131</v>
      </c>
      <c r="E70" s="2420">
        <v>155</v>
      </c>
      <c r="F70" s="2421">
        <v>114</v>
      </c>
      <c r="G70" s="3583">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84">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84">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85">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8" thickBot="1">
      <c r="A74" s="2391" t="s">
        <v>1107</v>
      </c>
      <c r="B74" s="2441">
        <v>121</v>
      </c>
      <c r="C74" s="2441">
        <v>122</v>
      </c>
      <c r="D74" s="2441">
        <f t="shared" si="213"/>
        <v>122</v>
      </c>
      <c r="E74" s="2441">
        <v>124</v>
      </c>
      <c r="F74" s="2442">
        <v>107</v>
      </c>
      <c r="G74" s="3583">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84">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84">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8"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85">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8" thickBot="1">
      <c r="A78" s="2391" t="s">
        <v>1111</v>
      </c>
      <c r="B78" s="2461">
        <v>111</v>
      </c>
      <c r="C78" s="2461">
        <v>114</v>
      </c>
      <c r="D78" s="2461">
        <f t="shared" si="213"/>
        <v>114</v>
      </c>
      <c r="E78" s="2461">
        <v>108</v>
      </c>
      <c r="F78" s="2462">
        <v>104</v>
      </c>
      <c r="G78" s="3583">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84">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84">
        <v>2003</v>
      </c>
      <c r="H80" s="2404">
        <v>2</v>
      </c>
      <c r="I80" s="2463"/>
      <c r="J80" s="2463"/>
      <c r="K80" s="2463"/>
      <c r="L80" s="2463"/>
      <c r="X80" s="2455"/>
      <c r="Y80" s="2455"/>
      <c r="Z80" s="2455"/>
    </row>
    <row r="81" spans="1:26" ht="13.8" thickBot="1">
      <c r="A81" s="2391" t="s">
        <v>1114</v>
      </c>
      <c r="B81" s="2465">
        <f t="shared" si="249"/>
        <v>107.25</v>
      </c>
      <c r="C81" s="2465">
        <f t="shared" si="249"/>
        <v>108.75</v>
      </c>
      <c r="D81" s="2465">
        <f t="shared" si="213"/>
        <v>108.75</v>
      </c>
      <c r="E81" s="2465">
        <f t="shared" si="250"/>
        <v>105.75</v>
      </c>
      <c r="F81" s="2465">
        <f t="shared" si="250"/>
        <v>102.5</v>
      </c>
      <c r="G81" s="3585">
        <v>2003</v>
      </c>
      <c r="H81" s="2466">
        <v>1</v>
      </c>
      <c r="I81" s="2463"/>
      <c r="J81" s="2463"/>
      <c r="K81" s="2463"/>
      <c r="L81" s="2463"/>
      <c r="S81" s="2394"/>
      <c r="T81" s="2379"/>
      <c r="U81" s="2379"/>
      <c r="X81" s="2455"/>
      <c r="Y81" s="2455"/>
      <c r="Z81" s="2455"/>
    </row>
    <row r="82" spans="1:26" ht="13.8" thickBot="1">
      <c r="A82" s="2391" t="s">
        <v>1115</v>
      </c>
      <c r="B82" s="2467">
        <v>106</v>
      </c>
      <c r="C82" s="2467">
        <v>107</v>
      </c>
      <c r="D82" s="2467">
        <f t="shared" si="213"/>
        <v>107</v>
      </c>
      <c r="E82" s="2467">
        <v>105</v>
      </c>
      <c r="F82" s="2468">
        <v>102</v>
      </c>
      <c r="G82" s="3583">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84">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84">
        <v>2002</v>
      </c>
      <c r="H84" s="2404">
        <v>2</v>
      </c>
      <c r="I84" s="2463"/>
      <c r="J84" s="2463"/>
      <c r="K84" s="2463"/>
      <c r="L84" s="2463"/>
      <c r="X84" s="2455"/>
      <c r="Y84" s="2455"/>
      <c r="Z84" s="2455"/>
    </row>
    <row r="85" spans="1:26" s="2428" customFormat="1" ht="13.8" thickBot="1">
      <c r="A85" s="2424" t="s">
        <v>1118</v>
      </c>
      <c r="B85" s="2431">
        <f t="shared" si="251"/>
        <v>103</v>
      </c>
      <c r="C85" s="2431">
        <f t="shared" si="251"/>
        <v>104</v>
      </c>
      <c r="D85" s="2431">
        <f t="shared" si="213"/>
        <v>104</v>
      </c>
      <c r="E85" s="2431">
        <f t="shared" si="252"/>
        <v>103.5</v>
      </c>
      <c r="F85" s="2431">
        <f t="shared" si="252"/>
        <v>100.5</v>
      </c>
      <c r="G85" s="3585">
        <v>2002</v>
      </c>
      <c r="H85" s="2469">
        <v>1</v>
      </c>
      <c r="I85" s="2470"/>
      <c r="J85" s="2470"/>
      <c r="K85" s="2470"/>
      <c r="L85" s="2470"/>
      <c r="N85" s="2471"/>
      <c r="S85" s="2471"/>
      <c r="X85" s="2472"/>
      <c r="Y85" s="2472"/>
      <c r="Z85" s="2472"/>
    </row>
    <row r="86" spans="1:26" ht="13.8"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8"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8"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95" t="s">
        <v>2763</v>
      </c>
      <c r="D1" s="3596"/>
      <c r="E1" s="3596"/>
      <c r="F1" s="3596"/>
      <c r="G1" s="3596"/>
      <c r="H1" s="3596"/>
      <c r="I1" s="3596"/>
      <c r="J1" s="3596"/>
      <c r="K1" s="3596"/>
      <c r="L1" s="3596"/>
      <c r="M1" s="3596"/>
      <c r="N1" s="3596"/>
      <c r="O1" s="3596"/>
      <c r="P1" s="3596"/>
      <c r="Q1" s="3596"/>
      <c r="R1" s="3596"/>
      <c r="S1" s="3597"/>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2772</v>
      </c>
      <c r="B17" s="2333"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2774</v>
      </c>
      <c r="E19" s="1492"/>
      <c r="F19" s="1492"/>
      <c r="G19" s="1492"/>
      <c r="H19" s="1189"/>
      <c r="I19" s="163"/>
      <c r="J19" s="163"/>
      <c r="K19" s="163"/>
      <c r="L19" s="163"/>
      <c r="M19" s="163"/>
      <c r="N19" s="163"/>
      <c r="O19" s="163"/>
      <c r="P19" s="163"/>
      <c r="Q19" s="163"/>
      <c r="R19" s="726"/>
      <c r="S19" s="133"/>
    </row>
    <row r="20" spans="1:45" ht="16.2" thickBot="1">
      <c r="A20" s="670" t="s">
        <v>2775</v>
      </c>
      <c r="B20" s="299" t="e">
        <f ca="1">IF(D20="——",S22,S22-F20)</f>
        <v>#REF!</v>
      </c>
      <c r="C20" s="163"/>
      <c r="D20" s="2335"/>
      <c r="E20" s="1493"/>
      <c r="F20" s="1113" t="e">
        <f ca="1">SUMIF(INDIRECT("'"&amp;H20&amp;"'"&amp;"!A:A"),"承租人权益价值",INDIRECT("'"&amp;H20&amp;"'"&amp;"!c:c"))</f>
        <v>#REF!</v>
      </c>
      <c r="G20" s="1113" t="s">
        <v>2776</v>
      </c>
      <c r="H20" s="2336"/>
      <c r="I20" s="163"/>
      <c r="J20" s="163"/>
      <c r="K20" s="163"/>
      <c r="L20" s="163"/>
      <c r="M20" s="163"/>
      <c r="N20" s="163"/>
      <c r="O20" s="163"/>
      <c r="P20" s="163"/>
      <c r="Q20" s="163"/>
      <c r="R20" s="726"/>
      <c r="S20" s="133"/>
    </row>
    <row r="21" spans="1:45" ht="15.6">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92" t="s">
        <v>33</v>
      </c>
      <c r="D22" s="3593"/>
      <c r="E22" s="3593"/>
      <c r="F22" s="3593"/>
      <c r="G22" s="3593"/>
      <c r="H22" s="3593"/>
      <c r="I22" s="3593"/>
      <c r="J22" s="3593"/>
      <c r="K22" s="3593"/>
      <c r="L22" s="3593"/>
      <c r="M22" s="3593"/>
      <c r="N22" s="3593"/>
      <c r="O22" s="3593"/>
      <c r="P22" s="3593"/>
      <c r="Q22" s="3594"/>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30842</v>
      </c>
      <c r="C2" s="2" t="s">
        <v>133</v>
      </c>
      <c r="D2" s="204"/>
      <c r="E2" s="204"/>
      <c r="F2" s="204"/>
      <c r="G2" s="204"/>
    </row>
    <row r="3" spans="1:7" s="205" customFormat="1" ht="18" customHeight="1" thickBot="1">
      <c r="A3" s="208" t="s">
        <v>85</v>
      </c>
      <c r="B3" s="209">
        <f ca="1">ROUND(B2*10000/'数据-汇总表'!E3,0)</f>
        <v>12396</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473</v>
      </c>
      <c r="D10" s="953">
        <f>'数据-汇总表'!E6</f>
        <v>24880.78</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498</v>
      </c>
      <c r="D19" s="957">
        <f>'数据-汇总表'!E3</f>
        <v>24880.78</v>
      </c>
      <c r="E19" s="216">
        <f>'数据-取费表'!B31</f>
        <v>200</v>
      </c>
      <c r="F19" s="236"/>
      <c r="G19" s="1" t="s">
        <v>1042</v>
      </c>
    </row>
    <row r="20" spans="1:7" s="219" customFormat="1" ht="13.5" customHeight="1">
      <c r="A20" s="884" t="s">
        <v>1025</v>
      </c>
      <c r="B20" s="215" t="s">
        <v>104</v>
      </c>
      <c r="C20" s="237">
        <f>ROUND((C5+C19)*F20,0)</f>
        <v>211</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1399</v>
      </c>
      <c r="D22" s="240">
        <f ca="1">C26</f>
        <v>2.9999999999999997E-4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1359</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33</v>
      </c>
      <c r="D24" s="243"/>
      <c r="E24" s="243"/>
      <c r="F24" s="244"/>
      <c r="G24" s="245" t="s">
        <v>109</v>
      </c>
    </row>
    <row r="25" spans="1:7" s="219" customFormat="1" ht="24">
      <c r="A25" s="887" t="s">
        <v>793</v>
      </c>
      <c r="B25" s="220" t="s">
        <v>1026</v>
      </c>
      <c r="C25" s="1236">
        <f ca="1">ROUND(IF('数据-取费表'!B22&lt;=1,C20*F22*'数据-取费表'!B23/2,C20*(POWER((1+F22),'数据-取费表'!B23/2)-1)),0)</f>
        <v>7</v>
      </c>
      <c r="D25" s="243"/>
      <c r="E25" s="246"/>
      <c r="F25" s="244"/>
      <c r="G25" s="247" t="s">
        <v>110</v>
      </c>
    </row>
    <row r="26" spans="1:7" s="219" customFormat="1">
      <c r="A26" s="887" t="s">
        <v>795</v>
      </c>
      <c r="B26" s="220" t="s">
        <v>1028</v>
      </c>
      <c r="C26" s="243">
        <f ca="1">ROUND(IF('数据-取费表'!B22&lt;=1,F21*F22*'数据-取费表'!B23/2,F21*(POWER((1+F22),'数据-取费表'!B23/2)-1)),4)</f>
        <v>2.9999999999999997E-4</v>
      </c>
      <c r="D26" s="243"/>
      <c r="E26" s="246"/>
      <c r="F26" s="244"/>
      <c r="G26" s="248"/>
    </row>
    <row r="27" spans="1:7" s="219" customFormat="1" ht="26.4">
      <c r="A27" s="884" t="s">
        <v>787</v>
      </c>
      <c r="B27" s="249" t="s">
        <v>112</v>
      </c>
      <c r="C27" s="250">
        <f>C28</f>
        <v>2132</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26540</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5178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4479</v>
      </c>
      <c r="D34" s="222"/>
      <c r="E34" s="225"/>
      <c r="F34" s="262">
        <f>IF('数据-取费表'!B24=0,1,'数据-取费表'!N16)</f>
        <v>1</v>
      </c>
      <c r="G34" s="224" t="s">
        <v>116</v>
      </c>
    </row>
    <row r="35" spans="1:7" ht="13.5" customHeight="1">
      <c r="A35" s="887" t="s">
        <v>796</v>
      </c>
      <c r="B35" s="220" t="s">
        <v>60</v>
      </c>
      <c r="C35" s="225">
        <f>ROUND(C34*F35,0)</f>
        <v>134</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498</v>
      </c>
      <c r="D37" s="222">
        <f>'数据-汇总表'!E3</f>
        <v>24880.78</v>
      </c>
      <c r="E37" s="254">
        <f>'数据-取费表'!B35</f>
        <v>200</v>
      </c>
      <c r="F37" s="264"/>
      <c r="G37" s="266" t="s">
        <v>119</v>
      </c>
    </row>
    <row r="38" spans="1:7" ht="13.5" customHeight="1">
      <c r="A38" s="887" t="s">
        <v>799</v>
      </c>
      <c r="B38" s="220" t="s">
        <v>63</v>
      </c>
      <c r="C38" s="225">
        <f>ROUND(C34*F38,0)</f>
        <v>67</v>
      </c>
      <c r="D38" s="225"/>
      <c r="E38" s="225"/>
      <c r="F38" s="264">
        <f>'数据-取费表'!B36</f>
        <v>1.4999999999999999E-2</v>
      </c>
      <c r="G38" s="224" t="s">
        <v>117</v>
      </c>
    </row>
    <row r="39" spans="1:7" s="219" customFormat="1" ht="13.5" customHeight="1">
      <c r="A39" s="884" t="s">
        <v>783</v>
      </c>
      <c r="B39" s="215" t="s">
        <v>104</v>
      </c>
      <c r="C39" s="237">
        <f>ROUND(C33*F20,0)</f>
        <v>52</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170</v>
      </c>
      <c r="D41" s="240">
        <f ca="1">C44</f>
        <v>2.9999999999999997E-4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168</v>
      </c>
      <c r="D42" s="243"/>
      <c r="E42" s="243"/>
      <c r="F42" s="244"/>
      <c r="G42" s="3452" t="s">
        <v>121</v>
      </c>
    </row>
    <row r="43" spans="1:7" ht="13.5" customHeight="1">
      <c r="A43" s="887" t="s">
        <v>792</v>
      </c>
      <c r="B43" s="220" t="s">
        <v>1032</v>
      </c>
      <c r="C43" s="243">
        <f ca="1">ROUND(IF('数据-取费表'!B22&lt;=1,C39*F22*'数据-取费表'!B21/2,C39*(POWER((1+F22),'数据-取费表'!B21/2)-1)),0)</f>
        <v>2</v>
      </c>
      <c r="D43" s="243"/>
      <c r="E43" s="243"/>
      <c r="F43" s="244"/>
      <c r="G43" s="3453"/>
    </row>
    <row r="44" spans="1:7" ht="13.5" customHeight="1">
      <c r="A44" s="887" t="s">
        <v>793</v>
      </c>
      <c r="B44" s="220" t="s">
        <v>1034</v>
      </c>
      <c r="C44" s="243">
        <f ca="1">ROUND(IF('数据-取费表'!B22&lt;=1,C40*F22*'数据-取费表'!B21/2,C40*(POWER((1+F22),'数据-取费表'!B21/2)-1)),4)</f>
        <v>2.9999999999999997E-4</v>
      </c>
      <c r="D44" s="243"/>
      <c r="E44" s="243"/>
      <c r="F44" s="244"/>
      <c r="G44" s="3454"/>
    </row>
    <row r="45" spans="1:7" s="219" customFormat="1" ht="13.5" customHeight="1">
      <c r="A45" s="884" t="s">
        <v>786</v>
      </c>
      <c r="B45" s="249" t="s">
        <v>112</v>
      </c>
      <c r="C45" s="250">
        <f>C46</f>
        <v>523</v>
      </c>
      <c r="D45" s="240">
        <f>C47</f>
        <v>1E-3</v>
      </c>
      <c r="E45" s="241" t="s">
        <v>129</v>
      </c>
      <c r="F45" s="251"/>
      <c r="G45" s="252" t="s">
        <v>1040</v>
      </c>
    </row>
    <row r="46" spans="1:7" s="219" customFormat="1" ht="13.5" customHeight="1">
      <c r="A46" s="887" t="s">
        <v>794</v>
      </c>
      <c r="B46" s="253" t="s">
        <v>1033</v>
      </c>
      <c r="C46" s="254">
        <f>ROUND((C33+C39)*F27,0)</f>
        <v>523</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6326</v>
      </c>
      <c r="D49" s="237"/>
      <c r="E49" s="237"/>
      <c r="F49" s="269"/>
      <c r="G49" s="239" t="s">
        <v>1041</v>
      </c>
    </row>
    <row r="50" spans="1:7" s="263" customFormat="1" ht="24">
      <c r="A50" s="884" t="s">
        <v>789</v>
      </c>
      <c r="B50" s="215" t="s">
        <v>124</v>
      </c>
      <c r="C50" s="237"/>
      <c r="D50" s="237"/>
      <c r="E50" s="237"/>
      <c r="F50" s="269">
        <f>IF('数据-取费表'!B24=0,'数据-取费表'!N16,1)</f>
        <v>0.68</v>
      </c>
      <c r="G50" s="252" t="s">
        <v>125</v>
      </c>
    </row>
    <row r="51" spans="1:7" ht="16.5" customHeight="1">
      <c r="A51" s="884" t="s">
        <v>790</v>
      </c>
      <c r="B51" s="215" t="s">
        <v>132</v>
      </c>
      <c r="C51" s="237">
        <f ca="1">ROUND(C49*F50,0)</f>
        <v>4302</v>
      </c>
      <c r="D51" s="237"/>
      <c r="E51" s="237"/>
      <c r="F51" s="269"/>
      <c r="G51" s="239" t="s">
        <v>64</v>
      </c>
    </row>
    <row r="52" spans="1:7" s="213" customFormat="1" ht="16.8" thickBot="1">
      <c r="A52" s="270" t="s">
        <v>65</v>
      </c>
      <c r="B52" s="271"/>
      <c r="C52" s="272">
        <f ca="1">C31+C51</f>
        <v>30842</v>
      </c>
      <c r="D52" s="271"/>
      <c r="E52" s="271"/>
      <c r="F52" s="271"/>
      <c r="G52" s="273"/>
    </row>
    <row r="55" spans="1:7" ht="15">
      <c r="B55" s="275" t="s">
        <v>66</v>
      </c>
      <c r="C55" s="276"/>
    </row>
    <row r="56" spans="1:7">
      <c r="B56" s="278" t="s">
        <v>67</v>
      </c>
      <c r="C56" s="279">
        <f ca="1">ROUND(C51/C52,3)</f>
        <v>0.13900000000000001</v>
      </c>
    </row>
    <row r="57" spans="1:7">
      <c r="B57" s="278" t="s">
        <v>68</v>
      </c>
      <c r="C57" s="280">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598" t="s">
        <v>156</v>
      </c>
      <c r="B1" s="3598"/>
      <c r="C1" s="3598"/>
      <c r="D1" s="3598"/>
      <c r="E1" s="3598"/>
      <c r="F1" s="359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599" t="s">
        <v>169</v>
      </c>
      <c r="B2" s="3599"/>
      <c r="C2" s="3599"/>
      <c r="D2" s="3599"/>
      <c r="E2" s="3599"/>
      <c r="F2" s="359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598" t="s">
        <v>839</v>
      </c>
      <c r="B1" s="3598"/>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380" customWidth="1"/>
    <col min="2" max="2" width="13.21875" style="1386" customWidth="1"/>
    <col min="3" max="3" width="15.6640625" style="1386" customWidth="1"/>
    <col min="4" max="4" width="9.33203125" style="1386" bestFit="1" customWidth="1"/>
    <col min="5" max="5" width="13.44140625" style="1386" customWidth="1"/>
    <col min="6" max="6" width="9" style="1386"/>
    <col min="7" max="7" width="9.33203125" style="1386" bestFit="1" customWidth="1"/>
    <col min="8" max="8" width="12.21875" style="1386" customWidth="1"/>
    <col min="9" max="9" width="9" style="1386"/>
    <col min="10" max="10" width="9.33203125" style="1386" bestFit="1" customWidth="1"/>
    <col min="11" max="11" width="4" style="1380" customWidth="1"/>
    <col min="12" max="12" width="5.109375" style="1386" customWidth="1"/>
    <col min="13" max="13" width="13.77734375" style="1386" customWidth="1"/>
    <col min="14" max="256" width="9" style="1386"/>
    <col min="257" max="257" width="4.88671875" style="1377" customWidth="1"/>
    <col min="258" max="258" width="13.21875" style="1377" customWidth="1"/>
    <col min="259" max="259" width="15.6640625" style="1377" customWidth="1"/>
    <col min="260" max="260" width="9.33203125" style="1377" bestFit="1" customWidth="1"/>
    <col min="261" max="261" width="13.44140625" style="1377" customWidth="1"/>
    <col min="262" max="262" width="9" style="1377"/>
    <col min="263" max="263" width="9.33203125" style="1377" bestFit="1" customWidth="1"/>
    <col min="264" max="265" width="9" style="1377"/>
    <col min="266" max="266" width="9.33203125" style="1377" bestFit="1" customWidth="1"/>
    <col min="267" max="267" width="4" style="1377" customWidth="1"/>
    <col min="268" max="268" width="5.109375" style="1377" customWidth="1"/>
    <col min="269" max="269" width="13.77734375" style="1377" customWidth="1"/>
    <col min="270" max="512" width="9" style="1377"/>
    <col min="513" max="513" width="4.88671875" style="1377" customWidth="1"/>
    <col min="514" max="514" width="13.21875" style="1377" customWidth="1"/>
    <col min="515" max="515" width="15.6640625" style="1377" customWidth="1"/>
    <col min="516" max="516" width="9.33203125" style="1377" bestFit="1" customWidth="1"/>
    <col min="517" max="517" width="13.44140625" style="1377" customWidth="1"/>
    <col min="518" max="518" width="9" style="1377"/>
    <col min="519" max="519" width="9.33203125" style="1377" bestFit="1" customWidth="1"/>
    <col min="520" max="521" width="9" style="1377"/>
    <col min="522" max="522" width="9.33203125" style="1377" bestFit="1" customWidth="1"/>
    <col min="523" max="523" width="4" style="1377" customWidth="1"/>
    <col min="524" max="524" width="5.109375" style="1377" customWidth="1"/>
    <col min="525" max="525" width="13.77734375" style="1377" customWidth="1"/>
    <col min="526" max="768" width="9" style="1377"/>
    <col min="769" max="769" width="4.88671875" style="1377" customWidth="1"/>
    <col min="770" max="770" width="13.21875" style="1377" customWidth="1"/>
    <col min="771" max="771" width="15.6640625" style="1377" customWidth="1"/>
    <col min="772" max="772" width="9.33203125" style="1377" bestFit="1" customWidth="1"/>
    <col min="773" max="773" width="13.44140625" style="1377" customWidth="1"/>
    <col min="774" max="774" width="9" style="1377"/>
    <col min="775" max="775" width="9.33203125" style="1377" bestFit="1" customWidth="1"/>
    <col min="776" max="777" width="9" style="1377"/>
    <col min="778" max="778" width="9.33203125" style="1377" bestFit="1" customWidth="1"/>
    <col min="779" max="779" width="4" style="1377" customWidth="1"/>
    <col min="780" max="780" width="5.109375" style="1377" customWidth="1"/>
    <col min="781" max="781" width="13.77734375" style="1377" customWidth="1"/>
    <col min="782" max="1024" width="9" style="1377"/>
    <col min="1025" max="1025" width="4.88671875" style="1377" customWidth="1"/>
    <col min="1026" max="1026" width="13.21875" style="1377" customWidth="1"/>
    <col min="1027" max="1027" width="15.6640625" style="1377" customWidth="1"/>
    <col min="1028" max="1028" width="9.33203125" style="1377" bestFit="1" customWidth="1"/>
    <col min="1029" max="1029" width="13.44140625" style="1377" customWidth="1"/>
    <col min="1030" max="1030" width="9" style="1377"/>
    <col min="1031" max="1031" width="9.33203125" style="1377" bestFit="1" customWidth="1"/>
    <col min="1032" max="1033" width="9" style="1377"/>
    <col min="1034" max="1034" width="9.33203125" style="1377" bestFit="1" customWidth="1"/>
    <col min="1035" max="1035" width="4" style="1377" customWidth="1"/>
    <col min="1036" max="1036" width="5.109375" style="1377" customWidth="1"/>
    <col min="1037" max="1037" width="13.77734375" style="1377" customWidth="1"/>
    <col min="1038" max="1280" width="9" style="1377"/>
    <col min="1281" max="1281" width="4.88671875" style="1377" customWidth="1"/>
    <col min="1282" max="1282" width="13.21875" style="1377" customWidth="1"/>
    <col min="1283" max="1283" width="15.6640625" style="1377" customWidth="1"/>
    <col min="1284" max="1284" width="9.33203125" style="1377" bestFit="1" customWidth="1"/>
    <col min="1285" max="1285" width="13.44140625" style="1377" customWidth="1"/>
    <col min="1286" max="1286" width="9" style="1377"/>
    <col min="1287" max="1287" width="9.33203125" style="1377" bestFit="1" customWidth="1"/>
    <col min="1288" max="1289" width="9" style="1377"/>
    <col min="1290" max="1290" width="9.33203125" style="1377" bestFit="1" customWidth="1"/>
    <col min="1291" max="1291" width="4" style="1377" customWidth="1"/>
    <col min="1292" max="1292" width="5.109375" style="1377" customWidth="1"/>
    <col min="1293" max="1293" width="13.77734375" style="1377" customWidth="1"/>
    <col min="1294" max="1536" width="9" style="1377"/>
    <col min="1537" max="1537" width="4.88671875" style="1377" customWidth="1"/>
    <col min="1538" max="1538" width="13.21875" style="1377" customWidth="1"/>
    <col min="1539" max="1539" width="15.6640625" style="1377" customWidth="1"/>
    <col min="1540" max="1540" width="9.33203125" style="1377" bestFit="1" customWidth="1"/>
    <col min="1541" max="1541" width="13.44140625" style="1377" customWidth="1"/>
    <col min="1542" max="1542" width="9" style="1377"/>
    <col min="1543" max="1543" width="9.33203125" style="1377" bestFit="1" customWidth="1"/>
    <col min="1544" max="1545" width="9" style="1377"/>
    <col min="1546" max="1546" width="9.33203125" style="1377" bestFit="1" customWidth="1"/>
    <col min="1547" max="1547" width="4" style="1377" customWidth="1"/>
    <col min="1548" max="1548" width="5.109375" style="1377" customWidth="1"/>
    <col min="1549" max="1549" width="13.77734375" style="1377" customWidth="1"/>
    <col min="1550" max="1792" width="9" style="1377"/>
    <col min="1793" max="1793" width="4.88671875" style="1377" customWidth="1"/>
    <col min="1794" max="1794" width="13.21875" style="1377" customWidth="1"/>
    <col min="1795" max="1795" width="15.6640625" style="1377" customWidth="1"/>
    <col min="1796" max="1796" width="9.33203125" style="1377" bestFit="1" customWidth="1"/>
    <col min="1797" max="1797" width="13.44140625" style="1377" customWidth="1"/>
    <col min="1798" max="1798" width="9" style="1377"/>
    <col min="1799" max="1799" width="9.33203125" style="1377" bestFit="1" customWidth="1"/>
    <col min="1800" max="1801" width="9" style="1377"/>
    <col min="1802" max="1802" width="9.33203125" style="1377" bestFit="1" customWidth="1"/>
    <col min="1803" max="1803" width="4" style="1377" customWidth="1"/>
    <col min="1804" max="1804" width="5.109375" style="1377" customWidth="1"/>
    <col min="1805" max="1805" width="13.77734375" style="1377" customWidth="1"/>
    <col min="1806" max="2048" width="9" style="1377"/>
    <col min="2049" max="2049" width="4.88671875" style="1377" customWidth="1"/>
    <col min="2050" max="2050" width="13.21875" style="1377" customWidth="1"/>
    <col min="2051" max="2051" width="15.6640625" style="1377" customWidth="1"/>
    <col min="2052" max="2052" width="9.33203125" style="1377" bestFit="1" customWidth="1"/>
    <col min="2053" max="2053" width="13.44140625" style="1377" customWidth="1"/>
    <col min="2054" max="2054" width="9" style="1377"/>
    <col min="2055" max="2055" width="9.33203125" style="1377" bestFit="1" customWidth="1"/>
    <col min="2056" max="2057" width="9" style="1377"/>
    <col min="2058" max="2058" width="9.33203125" style="1377" bestFit="1" customWidth="1"/>
    <col min="2059" max="2059" width="4" style="1377" customWidth="1"/>
    <col min="2060" max="2060" width="5.109375" style="1377" customWidth="1"/>
    <col min="2061" max="2061" width="13.77734375" style="1377" customWidth="1"/>
    <col min="2062" max="2304" width="9" style="1377"/>
    <col min="2305" max="2305" width="4.88671875" style="1377" customWidth="1"/>
    <col min="2306" max="2306" width="13.21875" style="1377" customWidth="1"/>
    <col min="2307" max="2307" width="15.6640625" style="1377" customWidth="1"/>
    <col min="2308" max="2308" width="9.33203125" style="1377" bestFit="1" customWidth="1"/>
    <col min="2309" max="2309" width="13.44140625" style="1377" customWidth="1"/>
    <col min="2310" max="2310" width="9" style="1377"/>
    <col min="2311" max="2311" width="9.33203125" style="1377" bestFit="1" customWidth="1"/>
    <col min="2312" max="2313" width="9" style="1377"/>
    <col min="2314" max="2314" width="9.33203125" style="1377" bestFit="1" customWidth="1"/>
    <col min="2315" max="2315" width="4" style="1377" customWidth="1"/>
    <col min="2316" max="2316" width="5.109375" style="1377" customWidth="1"/>
    <col min="2317" max="2317" width="13.77734375" style="1377" customWidth="1"/>
    <col min="2318" max="2560" width="9" style="1377"/>
    <col min="2561" max="2561" width="4.88671875" style="1377" customWidth="1"/>
    <col min="2562" max="2562" width="13.21875" style="1377" customWidth="1"/>
    <col min="2563" max="2563" width="15.6640625" style="1377" customWidth="1"/>
    <col min="2564" max="2564" width="9.33203125" style="1377" bestFit="1" customWidth="1"/>
    <col min="2565" max="2565" width="13.44140625" style="1377" customWidth="1"/>
    <col min="2566" max="2566" width="9" style="1377"/>
    <col min="2567" max="2567" width="9.33203125" style="1377" bestFit="1" customWidth="1"/>
    <col min="2568" max="2569" width="9" style="1377"/>
    <col min="2570" max="2570" width="9.33203125" style="1377" bestFit="1" customWidth="1"/>
    <col min="2571" max="2571" width="4" style="1377" customWidth="1"/>
    <col min="2572" max="2572" width="5.109375" style="1377" customWidth="1"/>
    <col min="2573" max="2573" width="13.77734375" style="1377" customWidth="1"/>
    <col min="2574" max="2816" width="9" style="1377"/>
    <col min="2817" max="2817" width="4.88671875" style="1377" customWidth="1"/>
    <col min="2818" max="2818" width="13.21875" style="1377" customWidth="1"/>
    <col min="2819" max="2819" width="15.6640625" style="1377" customWidth="1"/>
    <col min="2820" max="2820" width="9.33203125" style="1377" bestFit="1" customWidth="1"/>
    <col min="2821" max="2821" width="13.44140625" style="1377" customWidth="1"/>
    <col min="2822" max="2822" width="9" style="1377"/>
    <col min="2823" max="2823" width="9.33203125" style="1377" bestFit="1" customWidth="1"/>
    <col min="2824" max="2825" width="9" style="1377"/>
    <col min="2826" max="2826" width="9.33203125" style="1377" bestFit="1" customWidth="1"/>
    <col min="2827" max="2827" width="4" style="1377" customWidth="1"/>
    <col min="2828" max="2828" width="5.109375" style="1377" customWidth="1"/>
    <col min="2829" max="2829" width="13.77734375" style="1377" customWidth="1"/>
    <col min="2830" max="3072" width="9" style="1377"/>
    <col min="3073" max="3073" width="4.88671875" style="1377" customWidth="1"/>
    <col min="3074" max="3074" width="13.21875" style="1377" customWidth="1"/>
    <col min="3075" max="3075" width="15.6640625" style="1377" customWidth="1"/>
    <col min="3076" max="3076" width="9.33203125" style="1377" bestFit="1" customWidth="1"/>
    <col min="3077" max="3077" width="13.44140625" style="1377" customWidth="1"/>
    <col min="3078" max="3078" width="9" style="1377"/>
    <col min="3079" max="3079" width="9.33203125" style="1377" bestFit="1" customWidth="1"/>
    <col min="3080" max="3081" width="9" style="1377"/>
    <col min="3082" max="3082" width="9.33203125" style="1377" bestFit="1" customWidth="1"/>
    <col min="3083" max="3083" width="4" style="1377" customWidth="1"/>
    <col min="3084" max="3084" width="5.109375" style="1377" customWidth="1"/>
    <col min="3085" max="3085" width="13.77734375" style="1377" customWidth="1"/>
    <col min="3086" max="3328" width="9" style="1377"/>
    <col min="3329" max="3329" width="4.88671875" style="1377" customWidth="1"/>
    <col min="3330" max="3330" width="13.21875" style="1377" customWidth="1"/>
    <col min="3331" max="3331" width="15.6640625" style="1377" customWidth="1"/>
    <col min="3332" max="3332" width="9.33203125" style="1377" bestFit="1" customWidth="1"/>
    <col min="3333" max="3333" width="13.44140625" style="1377" customWidth="1"/>
    <col min="3334" max="3334" width="9" style="1377"/>
    <col min="3335" max="3335" width="9.33203125" style="1377" bestFit="1" customWidth="1"/>
    <col min="3336" max="3337" width="9" style="1377"/>
    <col min="3338" max="3338" width="9.33203125" style="1377" bestFit="1" customWidth="1"/>
    <col min="3339" max="3339" width="4" style="1377" customWidth="1"/>
    <col min="3340" max="3340" width="5.109375" style="1377" customWidth="1"/>
    <col min="3341" max="3341" width="13.77734375" style="1377" customWidth="1"/>
    <col min="3342" max="3584" width="9" style="1377"/>
    <col min="3585" max="3585" width="4.88671875" style="1377" customWidth="1"/>
    <col min="3586" max="3586" width="13.21875" style="1377" customWidth="1"/>
    <col min="3587" max="3587" width="15.6640625" style="1377" customWidth="1"/>
    <col min="3588" max="3588" width="9.33203125" style="1377" bestFit="1" customWidth="1"/>
    <col min="3589" max="3589" width="13.44140625" style="1377" customWidth="1"/>
    <col min="3590" max="3590" width="9" style="1377"/>
    <col min="3591" max="3591" width="9.33203125" style="1377" bestFit="1" customWidth="1"/>
    <col min="3592" max="3593" width="9" style="1377"/>
    <col min="3594" max="3594" width="9.33203125" style="1377" bestFit="1" customWidth="1"/>
    <col min="3595" max="3595" width="4" style="1377" customWidth="1"/>
    <col min="3596" max="3596" width="5.109375" style="1377" customWidth="1"/>
    <col min="3597" max="3597" width="13.77734375" style="1377" customWidth="1"/>
    <col min="3598" max="3840" width="9" style="1377"/>
    <col min="3841" max="3841" width="4.88671875" style="1377" customWidth="1"/>
    <col min="3842" max="3842" width="13.21875" style="1377" customWidth="1"/>
    <col min="3843" max="3843" width="15.6640625" style="1377" customWidth="1"/>
    <col min="3844" max="3844" width="9.33203125" style="1377" bestFit="1" customWidth="1"/>
    <col min="3845" max="3845" width="13.44140625" style="1377" customWidth="1"/>
    <col min="3846" max="3846" width="9" style="1377"/>
    <col min="3847" max="3847" width="9.33203125" style="1377" bestFit="1" customWidth="1"/>
    <col min="3848" max="3849" width="9" style="1377"/>
    <col min="3850" max="3850" width="9.33203125" style="1377" bestFit="1" customWidth="1"/>
    <col min="3851" max="3851" width="4" style="1377" customWidth="1"/>
    <col min="3852" max="3852" width="5.109375" style="1377" customWidth="1"/>
    <col min="3853" max="3853" width="13.77734375" style="1377" customWidth="1"/>
    <col min="3854" max="4096" width="9" style="1377"/>
    <col min="4097" max="4097" width="4.88671875" style="1377" customWidth="1"/>
    <col min="4098" max="4098" width="13.21875" style="1377" customWidth="1"/>
    <col min="4099" max="4099" width="15.6640625" style="1377" customWidth="1"/>
    <col min="4100" max="4100" width="9.33203125" style="1377" bestFit="1" customWidth="1"/>
    <col min="4101" max="4101" width="13.44140625" style="1377" customWidth="1"/>
    <col min="4102" max="4102" width="9" style="1377"/>
    <col min="4103" max="4103" width="9.33203125" style="1377" bestFit="1" customWidth="1"/>
    <col min="4104" max="4105" width="9" style="1377"/>
    <col min="4106" max="4106" width="9.33203125" style="1377" bestFit="1" customWidth="1"/>
    <col min="4107" max="4107" width="4" style="1377" customWidth="1"/>
    <col min="4108" max="4108" width="5.109375" style="1377" customWidth="1"/>
    <col min="4109" max="4109" width="13.77734375" style="1377" customWidth="1"/>
    <col min="4110" max="4352" width="9" style="1377"/>
    <col min="4353" max="4353" width="4.88671875" style="1377" customWidth="1"/>
    <col min="4354" max="4354" width="13.21875" style="1377" customWidth="1"/>
    <col min="4355" max="4355" width="15.6640625" style="1377" customWidth="1"/>
    <col min="4356" max="4356" width="9.33203125" style="1377" bestFit="1" customWidth="1"/>
    <col min="4357" max="4357" width="13.44140625" style="1377" customWidth="1"/>
    <col min="4358" max="4358" width="9" style="1377"/>
    <col min="4359" max="4359" width="9.33203125" style="1377" bestFit="1" customWidth="1"/>
    <col min="4360" max="4361" width="9" style="1377"/>
    <col min="4362" max="4362" width="9.33203125" style="1377" bestFit="1" customWidth="1"/>
    <col min="4363" max="4363" width="4" style="1377" customWidth="1"/>
    <col min="4364" max="4364" width="5.109375" style="1377" customWidth="1"/>
    <col min="4365" max="4365" width="13.77734375" style="1377" customWidth="1"/>
    <col min="4366" max="4608" width="9" style="1377"/>
    <col min="4609" max="4609" width="4.88671875" style="1377" customWidth="1"/>
    <col min="4610" max="4610" width="13.21875" style="1377" customWidth="1"/>
    <col min="4611" max="4611" width="15.6640625" style="1377" customWidth="1"/>
    <col min="4612" max="4612" width="9.33203125" style="1377" bestFit="1" customWidth="1"/>
    <col min="4613" max="4613" width="13.44140625" style="1377" customWidth="1"/>
    <col min="4614" max="4614" width="9" style="1377"/>
    <col min="4615" max="4615" width="9.33203125" style="1377" bestFit="1" customWidth="1"/>
    <col min="4616" max="4617" width="9" style="1377"/>
    <col min="4618" max="4618" width="9.33203125" style="1377" bestFit="1" customWidth="1"/>
    <col min="4619" max="4619" width="4" style="1377" customWidth="1"/>
    <col min="4620" max="4620" width="5.109375" style="1377" customWidth="1"/>
    <col min="4621" max="4621" width="13.77734375" style="1377" customWidth="1"/>
    <col min="4622" max="4864" width="9" style="1377"/>
    <col min="4865" max="4865" width="4.88671875" style="1377" customWidth="1"/>
    <col min="4866" max="4866" width="13.21875" style="1377" customWidth="1"/>
    <col min="4867" max="4867" width="15.6640625" style="1377" customWidth="1"/>
    <col min="4868" max="4868" width="9.33203125" style="1377" bestFit="1" customWidth="1"/>
    <col min="4869" max="4869" width="13.44140625" style="1377" customWidth="1"/>
    <col min="4870" max="4870" width="9" style="1377"/>
    <col min="4871" max="4871" width="9.33203125" style="1377" bestFit="1" customWidth="1"/>
    <col min="4872" max="4873" width="9" style="1377"/>
    <col min="4874" max="4874" width="9.33203125" style="1377" bestFit="1" customWidth="1"/>
    <col min="4875" max="4875" width="4" style="1377" customWidth="1"/>
    <col min="4876" max="4876" width="5.109375" style="1377" customWidth="1"/>
    <col min="4877" max="4877" width="13.77734375" style="1377" customWidth="1"/>
    <col min="4878" max="5120" width="9" style="1377"/>
    <col min="5121" max="5121" width="4.88671875" style="1377" customWidth="1"/>
    <col min="5122" max="5122" width="13.21875" style="1377" customWidth="1"/>
    <col min="5123" max="5123" width="15.6640625" style="1377" customWidth="1"/>
    <col min="5124" max="5124" width="9.33203125" style="1377" bestFit="1" customWidth="1"/>
    <col min="5125" max="5125" width="13.44140625" style="1377" customWidth="1"/>
    <col min="5126" max="5126" width="9" style="1377"/>
    <col min="5127" max="5127" width="9.33203125" style="1377" bestFit="1" customWidth="1"/>
    <col min="5128" max="5129" width="9" style="1377"/>
    <col min="5130" max="5130" width="9.33203125" style="1377" bestFit="1" customWidth="1"/>
    <col min="5131" max="5131" width="4" style="1377" customWidth="1"/>
    <col min="5132" max="5132" width="5.109375" style="1377" customWidth="1"/>
    <col min="5133" max="5133" width="13.77734375" style="1377" customWidth="1"/>
    <col min="5134" max="5376" width="9" style="1377"/>
    <col min="5377" max="5377" width="4.88671875" style="1377" customWidth="1"/>
    <col min="5378" max="5378" width="13.21875" style="1377" customWidth="1"/>
    <col min="5379" max="5379" width="15.6640625" style="1377" customWidth="1"/>
    <col min="5380" max="5380" width="9.33203125" style="1377" bestFit="1" customWidth="1"/>
    <col min="5381" max="5381" width="13.44140625" style="1377" customWidth="1"/>
    <col min="5382" max="5382" width="9" style="1377"/>
    <col min="5383" max="5383" width="9.33203125" style="1377" bestFit="1" customWidth="1"/>
    <col min="5384" max="5385" width="9" style="1377"/>
    <col min="5386" max="5386" width="9.33203125" style="1377" bestFit="1" customWidth="1"/>
    <col min="5387" max="5387" width="4" style="1377" customWidth="1"/>
    <col min="5388" max="5388" width="5.109375" style="1377" customWidth="1"/>
    <col min="5389" max="5389" width="13.77734375" style="1377" customWidth="1"/>
    <col min="5390" max="5632" width="9" style="1377"/>
    <col min="5633" max="5633" width="4.88671875" style="1377" customWidth="1"/>
    <col min="5634" max="5634" width="13.21875" style="1377" customWidth="1"/>
    <col min="5635" max="5635" width="15.6640625" style="1377" customWidth="1"/>
    <col min="5636" max="5636" width="9.33203125" style="1377" bestFit="1" customWidth="1"/>
    <col min="5637" max="5637" width="13.44140625" style="1377" customWidth="1"/>
    <col min="5638" max="5638" width="9" style="1377"/>
    <col min="5639" max="5639" width="9.33203125" style="1377" bestFit="1" customWidth="1"/>
    <col min="5640" max="5641" width="9" style="1377"/>
    <col min="5642" max="5642" width="9.33203125" style="1377" bestFit="1" customWidth="1"/>
    <col min="5643" max="5643" width="4" style="1377" customWidth="1"/>
    <col min="5644" max="5644" width="5.109375" style="1377" customWidth="1"/>
    <col min="5645" max="5645" width="13.77734375" style="1377" customWidth="1"/>
    <col min="5646" max="5888" width="9" style="1377"/>
    <col min="5889" max="5889" width="4.88671875" style="1377" customWidth="1"/>
    <col min="5890" max="5890" width="13.21875" style="1377" customWidth="1"/>
    <col min="5891" max="5891" width="15.6640625" style="1377" customWidth="1"/>
    <col min="5892" max="5892" width="9.33203125" style="1377" bestFit="1" customWidth="1"/>
    <col min="5893" max="5893" width="13.44140625" style="1377" customWidth="1"/>
    <col min="5894" max="5894" width="9" style="1377"/>
    <col min="5895" max="5895" width="9.33203125" style="1377" bestFit="1" customWidth="1"/>
    <col min="5896" max="5897" width="9" style="1377"/>
    <col min="5898" max="5898" width="9.33203125" style="1377" bestFit="1" customWidth="1"/>
    <col min="5899" max="5899" width="4" style="1377" customWidth="1"/>
    <col min="5900" max="5900" width="5.109375" style="1377" customWidth="1"/>
    <col min="5901" max="5901" width="13.77734375" style="1377" customWidth="1"/>
    <col min="5902" max="6144" width="9" style="1377"/>
    <col min="6145" max="6145" width="4.88671875" style="1377" customWidth="1"/>
    <col min="6146" max="6146" width="13.21875" style="1377" customWidth="1"/>
    <col min="6147" max="6147" width="15.6640625" style="1377" customWidth="1"/>
    <col min="6148" max="6148" width="9.33203125" style="1377" bestFit="1" customWidth="1"/>
    <col min="6149" max="6149" width="13.44140625" style="1377" customWidth="1"/>
    <col min="6150" max="6150" width="9" style="1377"/>
    <col min="6151" max="6151" width="9.33203125" style="1377" bestFit="1" customWidth="1"/>
    <col min="6152" max="6153" width="9" style="1377"/>
    <col min="6154" max="6154" width="9.33203125" style="1377" bestFit="1" customWidth="1"/>
    <col min="6155" max="6155" width="4" style="1377" customWidth="1"/>
    <col min="6156" max="6156" width="5.109375" style="1377" customWidth="1"/>
    <col min="6157" max="6157" width="13.77734375" style="1377" customWidth="1"/>
    <col min="6158" max="6400" width="9" style="1377"/>
    <col min="6401" max="6401" width="4.88671875" style="1377" customWidth="1"/>
    <col min="6402" max="6402" width="13.21875" style="1377" customWidth="1"/>
    <col min="6403" max="6403" width="15.6640625" style="1377" customWidth="1"/>
    <col min="6404" max="6404" width="9.33203125" style="1377" bestFit="1" customWidth="1"/>
    <col min="6405" max="6405" width="13.44140625" style="1377" customWidth="1"/>
    <col min="6406" max="6406" width="9" style="1377"/>
    <col min="6407" max="6407" width="9.33203125" style="1377" bestFit="1" customWidth="1"/>
    <col min="6408" max="6409" width="9" style="1377"/>
    <col min="6410" max="6410" width="9.33203125" style="1377" bestFit="1" customWidth="1"/>
    <col min="6411" max="6411" width="4" style="1377" customWidth="1"/>
    <col min="6412" max="6412" width="5.109375" style="1377" customWidth="1"/>
    <col min="6413" max="6413" width="13.77734375" style="1377" customWidth="1"/>
    <col min="6414" max="6656" width="9" style="1377"/>
    <col min="6657" max="6657" width="4.88671875" style="1377" customWidth="1"/>
    <col min="6658" max="6658" width="13.21875" style="1377" customWidth="1"/>
    <col min="6659" max="6659" width="15.6640625" style="1377" customWidth="1"/>
    <col min="6660" max="6660" width="9.33203125" style="1377" bestFit="1" customWidth="1"/>
    <col min="6661" max="6661" width="13.44140625" style="1377" customWidth="1"/>
    <col min="6662" max="6662" width="9" style="1377"/>
    <col min="6663" max="6663" width="9.33203125" style="1377" bestFit="1" customWidth="1"/>
    <col min="6664" max="6665" width="9" style="1377"/>
    <col min="6666" max="6666" width="9.33203125" style="1377" bestFit="1" customWidth="1"/>
    <col min="6667" max="6667" width="4" style="1377" customWidth="1"/>
    <col min="6668" max="6668" width="5.109375" style="1377" customWidth="1"/>
    <col min="6669" max="6669" width="13.77734375" style="1377" customWidth="1"/>
    <col min="6670" max="6912" width="9" style="1377"/>
    <col min="6913" max="6913" width="4.88671875" style="1377" customWidth="1"/>
    <col min="6914" max="6914" width="13.21875" style="1377" customWidth="1"/>
    <col min="6915" max="6915" width="15.6640625" style="1377" customWidth="1"/>
    <col min="6916" max="6916" width="9.33203125" style="1377" bestFit="1" customWidth="1"/>
    <col min="6917" max="6917" width="13.44140625" style="1377" customWidth="1"/>
    <col min="6918" max="6918" width="9" style="1377"/>
    <col min="6919" max="6919" width="9.33203125" style="1377" bestFit="1" customWidth="1"/>
    <col min="6920" max="6921" width="9" style="1377"/>
    <col min="6922" max="6922" width="9.33203125" style="1377" bestFit="1" customWidth="1"/>
    <col min="6923" max="6923" width="4" style="1377" customWidth="1"/>
    <col min="6924" max="6924" width="5.109375" style="1377" customWidth="1"/>
    <col min="6925" max="6925" width="13.77734375" style="1377" customWidth="1"/>
    <col min="6926" max="7168" width="9" style="1377"/>
    <col min="7169" max="7169" width="4.88671875" style="1377" customWidth="1"/>
    <col min="7170" max="7170" width="13.21875" style="1377" customWidth="1"/>
    <col min="7171" max="7171" width="15.6640625" style="1377" customWidth="1"/>
    <col min="7172" max="7172" width="9.33203125" style="1377" bestFit="1" customWidth="1"/>
    <col min="7173" max="7173" width="13.44140625" style="1377" customWidth="1"/>
    <col min="7174" max="7174" width="9" style="1377"/>
    <col min="7175" max="7175" width="9.33203125" style="1377" bestFit="1" customWidth="1"/>
    <col min="7176" max="7177" width="9" style="1377"/>
    <col min="7178" max="7178" width="9.33203125" style="1377" bestFit="1" customWidth="1"/>
    <col min="7179" max="7179" width="4" style="1377" customWidth="1"/>
    <col min="7180" max="7180" width="5.109375" style="1377" customWidth="1"/>
    <col min="7181" max="7181" width="13.77734375" style="1377" customWidth="1"/>
    <col min="7182" max="7424" width="9" style="1377"/>
    <col min="7425" max="7425" width="4.88671875" style="1377" customWidth="1"/>
    <col min="7426" max="7426" width="13.21875" style="1377" customWidth="1"/>
    <col min="7427" max="7427" width="15.6640625" style="1377" customWidth="1"/>
    <col min="7428" max="7428" width="9.33203125" style="1377" bestFit="1" customWidth="1"/>
    <col min="7429" max="7429" width="13.44140625" style="1377" customWidth="1"/>
    <col min="7430" max="7430" width="9" style="1377"/>
    <col min="7431" max="7431" width="9.33203125" style="1377" bestFit="1" customWidth="1"/>
    <col min="7432" max="7433" width="9" style="1377"/>
    <col min="7434" max="7434" width="9.33203125" style="1377" bestFit="1" customWidth="1"/>
    <col min="7435" max="7435" width="4" style="1377" customWidth="1"/>
    <col min="7436" max="7436" width="5.109375" style="1377" customWidth="1"/>
    <col min="7437" max="7437" width="13.77734375" style="1377" customWidth="1"/>
    <col min="7438" max="7680" width="9" style="1377"/>
    <col min="7681" max="7681" width="4.88671875" style="1377" customWidth="1"/>
    <col min="7682" max="7682" width="13.21875" style="1377" customWidth="1"/>
    <col min="7683" max="7683" width="15.6640625" style="1377" customWidth="1"/>
    <col min="7684" max="7684" width="9.33203125" style="1377" bestFit="1" customWidth="1"/>
    <col min="7685" max="7685" width="13.44140625" style="1377" customWidth="1"/>
    <col min="7686" max="7686" width="9" style="1377"/>
    <col min="7687" max="7687" width="9.33203125" style="1377" bestFit="1" customWidth="1"/>
    <col min="7688" max="7689" width="9" style="1377"/>
    <col min="7690" max="7690" width="9.33203125" style="1377" bestFit="1" customWidth="1"/>
    <col min="7691" max="7691" width="4" style="1377" customWidth="1"/>
    <col min="7692" max="7692" width="5.109375" style="1377" customWidth="1"/>
    <col min="7693" max="7693" width="13.77734375" style="1377" customWidth="1"/>
    <col min="7694" max="7936" width="9" style="1377"/>
    <col min="7937" max="7937" width="4.88671875" style="1377" customWidth="1"/>
    <col min="7938" max="7938" width="13.21875" style="1377" customWidth="1"/>
    <col min="7939" max="7939" width="15.6640625" style="1377" customWidth="1"/>
    <col min="7940" max="7940" width="9.33203125" style="1377" bestFit="1" customWidth="1"/>
    <col min="7941" max="7941" width="13.44140625" style="1377" customWidth="1"/>
    <col min="7942" max="7942" width="9" style="1377"/>
    <col min="7943" max="7943" width="9.33203125" style="1377" bestFit="1" customWidth="1"/>
    <col min="7944" max="7945" width="9" style="1377"/>
    <col min="7946" max="7946" width="9.33203125" style="1377" bestFit="1" customWidth="1"/>
    <col min="7947" max="7947" width="4" style="1377" customWidth="1"/>
    <col min="7948" max="7948" width="5.109375" style="1377" customWidth="1"/>
    <col min="7949" max="7949" width="13.77734375" style="1377" customWidth="1"/>
    <col min="7950" max="8192" width="9" style="1377"/>
    <col min="8193" max="8193" width="4.88671875" style="1377" customWidth="1"/>
    <col min="8194" max="8194" width="13.21875" style="1377" customWidth="1"/>
    <col min="8195" max="8195" width="15.6640625" style="1377" customWidth="1"/>
    <col min="8196" max="8196" width="9.33203125" style="1377" bestFit="1" customWidth="1"/>
    <col min="8197" max="8197" width="13.44140625" style="1377" customWidth="1"/>
    <col min="8198" max="8198" width="9" style="1377"/>
    <col min="8199" max="8199" width="9.33203125" style="1377" bestFit="1" customWidth="1"/>
    <col min="8200" max="8201" width="9" style="1377"/>
    <col min="8202" max="8202" width="9.33203125" style="1377" bestFit="1" customWidth="1"/>
    <col min="8203" max="8203" width="4" style="1377" customWidth="1"/>
    <col min="8204" max="8204" width="5.109375" style="1377" customWidth="1"/>
    <col min="8205" max="8205" width="13.77734375" style="1377" customWidth="1"/>
    <col min="8206" max="8448" width="9" style="1377"/>
    <col min="8449" max="8449" width="4.88671875" style="1377" customWidth="1"/>
    <col min="8450" max="8450" width="13.21875" style="1377" customWidth="1"/>
    <col min="8451" max="8451" width="15.6640625" style="1377" customWidth="1"/>
    <col min="8452" max="8452" width="9.33203125" style="1377" bestFit="1" customWidth="1"/>
    <col min="8453" max="8453" width="13.44140625" style="1377" customWidth="1"/>
    <col min="8454" max="8454" width="9" style="1377"/>
    <col min="8455" max="8455" width="9.33203125" style="1377" bestFit="1" customWidth="1"/>
    <col min="8456" max="8457" width="9" style="1377"/>
    <col min="8458" max="8458" width="9.33203125" style="1377" bestFit="1" customWidth="1"/>
    <col min="8459" max="8459" width="4" style="1377" customWidth="1"/>
    <col min="8460" max="8460" width="5.109375" style="1377" customWidth="1"/>
    <col min="8461" max="8461" width="13.77734375" style="1377" customWidth="1"/>
    <col min="8462" max="8704" width="9" style="1377"/>
    <col min="8705" max="8705" width="4.88671875" style="1377" customWidth="1"/>
    <col min="8706" max="8706" width="13.21875" style="1377" customWidth="1"/>
    <col min="8707" max="8707" width="15.6640625" style="1377" customWidth="1"/>
    <col min="8708" max="8708" width="9.33203125" style="1377" bestFit="1" customWidth="1"/>
    <col min="8709" max="8709" width="13.44140625" style="1377" customWidth="1"/>
    <col min="8710" max="8710" width="9" style="1377"/>
    <col min="8711" max="8711" width="9.33203125" style="1377" bestFit="1" customWidth="1"/>
    <col min="8712" max="8713" width="9" style="1377"/>
    <col min="8714" max="8714" width="9.33203125" style="1377" bestFit="1" customWidth="1"/>
    <col min="8715" max="8715" width="4" style="1377" customWidth="1"/>
    <col min="8716" max="8716" width="5.109375" style="1377" customWidth="1"/>
    <col min="8717" max="8717" width="13.77734375" style="1377" customWidth="1"/>
    <col min="8718" max="8960" width="9" style="1377"/>
    <col min="8961" max="8961" width="4.88671875" style="1377" customWidth="1"/>
    <col min="8962" max="8962" width="13.21875" style="1377" customWidth="1"/>
    <col min="8963" max="8963" width="15.6640625" style="1377" customWidth="1"/>
    <col min="8964" max="8964" width="9.33203125" style="1377" bestFit="1" customWidth="1"/>
    <col min="8965" max="8965" width="13.44140625" style="1377" customWidth="1"/>
    <col min="8966" max="8966" width="9" style="1377"/>
    <col min="8967" max="8967" width="9.33203125" style="1377" bestFit="1" customWidth="1"/>
    <col min="8968" max="8969" width="9" style="1377"/>
    <col min="8970" max="8970" width="9.33203125" style="1377" bestFit="1" customWidth="1"/>
    <col min="8971" max="8971" width="4" style="1377" customWidth="1"/>
    <col min="8972" max="8972" width="5.109375" style="1377" customWidth="1"/>
    <col min="8973" max="8973" width="13.77734375" style="1377" customWidth="1"/>
    <col min="8974" max="9216" width="9" style="1377"/>
    <col min="9217" max="9217" width="4.88671875" style="1377" customWidth="1"/>
    <col min="9218" max="9218" width="13.21875" style="1377" customWidth="1"/>
    <col min="9219" max="9219" width="15.6640625" style="1377" customWidth="1"/>
    <col min="9220" max="9220" width="9.33203125" style="1377" bestFit="1" customWidth="1"/>
    <col min="9221" max="9221" width="13.44140625" style="1377" customWidth="1"/>
    <col min="9222" max="9222" width="9" style="1377"/>
    <col min="9223" max="9223" width="9.33203125" style="1377" bestFit="1" customWidth="1"/>
    <col min="9224" max="9225" width="9" style="1377"/>
    <col min="9226" max="9226" width="9.33203125" style="1377" bestFit="1" customWidth="1"/>
    <col min="9227" max="9227" width="4" style="1377" customWidth="1"/>
    <col min="9228" max="9228" width="5.109375" style="1377" customWidth="1"/>
    <col min="9229" max="9229" width="13.77734375" style="1377" customWidth="1"/>
    <col min="9230" max="9472" width="9" style="1377"/>
    <col min="9473" max="9473" width="4.88671875" style="1377" customWidth="1"/>
    <col min="9474" max="9474" width="13.21875" style="1377" customWidth="1"/>
    <col min="9475" max="9475" width="15.6640625" style="1377" customWidth="1"/>
    <col min="9476" max="9476" width="9.33203125" style="1377" bestFit="1" customWidth="1"/>
    <col min="9477" max="9477" width="13.44140625" style="1377" customWidth="1"/>
    <col min="9478" max="9478" width="9" style="1377"/>
    <col min="9479" max="9479" width="9.33203125" style="1377" bestFit="1" customWidth="1"/>
    <col min="9480" max="9481" width="9" style="1377"/>
    <col min="9482" max="9482" width="9.33203125" style="1377" bestFit="1" customWidth="1"/>
    <col min="9483" max="9483" width="4" style="1377" customWidth="1"/>
    <col min="9484" max="9484" width="5.109375" style="1377" customWidth="1"/>
    <col min="9485" max="9485" width="13.77734375" style="1377" customWidth="1"/>
    <col min="9486" max="9728" width="9" style="1377"/>
    <col min="9729" max="9729" width="4.88671875" style="1377" customWidth="1"/>
    <col min="9730" max="9730" width="13.21875" style="1377" customWidth="1"/>
    <col min="9731" max="9731" width="15.6640625" style="1377" customWidth="1"/>
    <col min="9732" max="9732" width="9.33203125" style="1377" bestFit="1" customWidth="1"/>
    <col min="9733" max="9733" width="13.44140625" style="1377" customWidth="1"/>
    <col min="9734" max="9734" width="9" style="1377"/>
    <col min="9735" max="9735" width="9.33203125" style="1377" bestFit="1" customWidth="1"/>
    <col min="9736" max="9737" width="9" style="1377"/>
    <col min="9738" max="9738" width="9.33203125" style="1377" bestFit="1" customWidth="1"/>
    <col min="9739" max="9739" width="4" style="1377" customWidth="1"/>
    <col min="9740" max="9740" width="5.109375" style="1377" customWidth="1"/>
    <col min="9741" max="9741" width="13.77734375" style="1377" customWidth="1"/>
    <col min="9742" max="9984" width="9" style="1377"/>
    <col min="9985" max="9985" width="4.88671875" style="1377" customWidth="1"/>
    <col min="9986" max="9986" width="13.21875" style="1377" customWidth="1"/>
    <col min="9987" max="9987" width="15.6640625" style="1377" customWidth="1"/>
    <col min="9988" max="9988" width="9.33203125" style="1377" bestFit="1" customWidth="1"/>
    <col min="9989" max="9989" width="13.44140625" style="1377" customWidth="1"/>
    <col min="9990" max="9990" width="9" style="1377"/>
    <col min="9991" max="9991" width="9.33203125" style="1377" bestFit="1" customWidth="1"/>
    <col min="9992" max="9993" width="9" style="1377"/>
    <col min="9994" max="9994" width="9.33203125" style="1377" bestFit="1" customWidth="1"/>
    <col min="9995" max="9995" width="4" style="1377" customWidth="1"/>
    <col min="9996" max="9996" width="5.109375" style="1377" customWidth="1"/>
    <col min="9997" max="9997" width="13.77734375" style="1377" customWidth="1"/>
    <col min="9998" max="10240" width="9" style="1377"/>
    <col min="10241" max="10241" width="4.88671875" style="1377" customWidth="1"/>
    <col min="10242" max="10242" width="13.21875" style="1377" customWidth="1"/>
    <col min="10243" max="10243" width="15.6640625" style="1377" customWidth="1"/>
    <col min="10244" max="10244" width="9.33203125" style="1377" bestFit="1" customWidth="1"/>
    <col min="10245" max="10245" width="13.44140625" style="1377" customWidth="1"/>
    <col min="10246" max="10246" width="9" style="1377"/>
    <col min="10247" max="10247" width="9.33203125" style="1377" bestFit="1" customWidth="1"/>
    <col min="10248" max="10249" width="9" style="1377"/>
    <col min="10250" max="10250" width="9.33203125" style="1377" bestFit="1" customWidth="1"/>
    <col min="10251" max="10251" width="4" style="1377" customWidth="1"/>
    <col min="10252" max="10252" width="5.109375" style="1377" customWidth="1"/>
    <col min="10253" max="10253" width="13.77734375" style="1377" customWidth="1"/>
    <col min="10254" max="10496" width="9" style="1377"/>
    <col min="10497" max="10497" width="4.88671875" style="1377" customWidth="1"/>
    <col min="10498" max="10498" width="13.21875" style="1377" customWidth="1"/>
    <col min="10499" max="10499" width="15.6640625" style="1377" customWidth="1"/>
    <col min="10500" max="10500" width="9.33203125" style="1377" bestFit="1" customWidth="1"/>
    <col min="10501" max="10501" width="13.44140625" style="1377" customWidth="1"/>
    <col min="10502" max="10502" width="9" style="1377"/>
    <col min="10503" max="10503" width="9.33203125" style="1377" bestFit="1" customWidth="1"/>
    <col min="10504" max="10505" width="9" style="1377"/>
    <col min="10506" max="10506" width="9.33203125" style="1377" bestFit="1" customWidth="1"/>
    <col min="10507" max="10507" width="4" style="1377" customWidth="1"/>
    <col min="10508" max="10508" width="5.109375" style="1377" customWidth="1"/>
    <col min="10509" max="10509" width="13.77734375" style="1377" customWidth="1"/>
    <col min="10510" max="10752" width="9" style="1377"/>
    <col min="10753" max="10753" width="4.88671875" style="1377" customWidth="1"/>
    <col min="10754" max="10754" width="13.21875" style="1377" customWidth="1"/>
    <col min="10755" max="10755" width="15.6640625" style="1377" customWidth="1"/>
    <col min="10756" max="10756" width="9.33203125" style="1377" bestFit="1" customWidth="1"/>
    <col min="10757" max="10757" width="13.44140625" style="1377" customWidth="1"/>
    <col min="10758" max="10758" width="9" style="1377"/>
    <col min="10759" max="10759" width="9.33203125" style="1377" bestFit="1" customWidth="1"/>
    <col min="10760" max="10761" width="9" style="1377"/>
    <col min="10762" max="10762" width="9.33203125" style="1377" bestFit="1" customWidth="1"/>
    <col min="10763" max="10763" width="4" style="1377" customWidth="1"/>
    <col min="10764" max="10764" width="5.109375" style="1377" customWidth="1"/>
    <col min="10765" max="10765" width="13.77734375" style="1377" customWidth="1"/>
    <col min="10766" max="11008" width="9" style="1377"/>
    <col min="11009" max="11009" width="4.88671875" style="1377" customWidth="1"/>
    <col min="11010" max="11010" width="13.21875" style="1377" customWidth="1"/>
    <col min="11011" max="11011" width="15.6640625" style="1377" customWidth="1"/>
    <col min="11012" max="11012" width="9.33203125" style="1377" bestFit="1" customWidth="1"/>
    <col min="11013" max="11013" width="13.44140625" style="1377" customWidth="1"/>
    <col min="11014" max="11014" width="9" style="1377"/>
    <col min="11015" max="11015" width="9.33203125" style="1377" bestFit="1" customWidth="1"/>
    <col min="11016" max="11017" width="9" style="1377"/>
    <col min="11018" max="11018" width="9.33203125" style="1377" bestFit="1" customWidth="1"/>
    <col min="11019" max="11019" width="4" style="1377" customWidth="1"/>
    <col min="11020" max="11020" width="5.109375" style="1377" customWidth="1"/>
    <col min="11021" max="11021" width="13.77734375" style="1377" customWidth="1"/>
    <col min="11022" max="11264" width="9" style="1377"/>
    <col min="11265" max="11265" width="4.88671875" style="1377" customWidth="1"/>
    <col min="11266" max="11266" width="13.21875" style="1377" customWidth="1"/>
    <col min="11267" max="11267" width="15.6640625" style="1377" customWidth="1"/>
    <col min="11268" max="11268" width="9.33203125" style="1377" bestFit="1" customWidth="1"/>
    <col min="11269" max="11269" width="13.44140625" style="1377" customWidth="1"/>
    <col min="11270" max="11270" width="9" style="1377"/>
    <col min="11271" max="11271" width="9.33203125" style="1377" bestFit="1" customWidth="1"/>
    <col min="11272" max="11273" width="9" style="1377"/>
    <col min="11274" max="11274" width="9.33203125" style="1377" bestFit="1" customWidth="1"/>
    <col min="11275" max="11275" width="4" style="1377" customWidth="1"/>
    <col min="11276" max="11276" width="5.109375" style="1377" customWidth="1"/>
    <col min="11277" max="11277" width="13.77734375" style="1377" customWidth="1"/>
    <col min="11278" max="11520" width="9" style="1377"/>
    <col min="11521" max="11521" width="4.88671875" style="1377" customWidth="1"/>
    <col min="11522" max="11522" width="13.21875" style="1377" customWidth="1"/>
    <col min="11523" max="11523" width="15.6640625" style="1377" customWidth="1"/>
    <col min="11524" max="11524" width="9.33203125" style="1377" bestFit="1" customWidth="1"/>
    <col min="11525" max="11525" width="13.44140625" style="1377" customWidth="1"/>
    <col min="11526" max="11526" width="9" style="1377"/>
    <col min="11527" max="11527" width="9.33203125" style="1377" bestFit="1" customWidth="1"/>
    <col min="11528" max="11529" width="9" style="1377"/>
    <col min="11530" max="11530" width="9.33203125" style="1377" bestFit="1" customWidth="1"/>
    <col min="11531" max="11531" width="4" style="1377" customWidth="1"/>
    <col min="11532" max="11532" width="5.109375" style="1377" customWidth="1"/>
    <col min="11533" max="11533" width="13.77734375" style="1377" customWidth="1"/>
    <col min="11534" max="11776" width="9" style="1377"/>
    <col min="11777" max="11777" width="4.88671875" style="1377" customWidth="1"/>
    <col min="11778" max="11778" width="13.21875" style="1377" customWidth="1"/>
    <col min="11779" max="11779" width="15.6640625" style="1377" customWidth="1"/>
    <col min="11780" max="11780" width="9.33203125" style="1377" bestFit="1" customWidth="1"/>
    <col min="11781" max="11781" width="13.44140625" style="1377" customWidth="1"/>
    <col min="11782" max="11782" width="9" style="1377"/>
    <col min="11783" max="11783" width="9.33203125" style="1377" bestFit="1" customWidth="1"/>
    <col min="11784" max="11785" width="9" style="1377"/>
    <col min="11786" max="11786" width="9.33203125" style="1377" bestFit="1" customWidth="1"/>
    <col min="11787" max="11787" width="4" style="1377" customWidth="1"/>
    <col min="11788" max="11788" width="5.109375" style="1377" customWidth="1"/>
    <col min="11789" max="11789" width="13.77734375" style="1377" customWidth="1"/>
    <col min="11790" max="12032" width="9" style="1377"/>
    <col min="12033" max="12033" width="4.88671875" style="1377" customWidth="1"/>
    <col min="12034" max="12034" width="13.21875" style="1377" customWidth="1"/>
    <col min="12035" max="12035" width="15.6640625" style="1377" customWidth="1"/>
    <col min="12036" max="12036" width="9.33203125" style="1377" bestFit="1" customWidth="1"/>
    <col min="12037" max="12037" width="13.44140625" style="1377" customWidth="1"/>
    <col min="12038" max="12038" width="9" style="1377"/>
    <col min="12039" max="12039" width="9.33203125" style="1377" bestFit="1" customWidth="1"/>
    <col min="12040" max="12041" width="9" style="1377"/>
    <col min="12042" max="12042" width="9.33203125" style="1377" bestFit="1" customWidth="1"/>
    <col min="12043" max="12043" width="4" style="1377" customWidth="1"/>
    <col min="12044" max="12044" width="5.109375" style="1377" customWidth="1"/>
    <col min="12045" max="12045" width="13.77734375" style="1377" customWidth="1"/>
    <col min="12046" max="12288" width="9" style="1377"/>
    <col min="12289" max="12289" width="4.88671875" style="1377" customWidth="1"/>
    <col min="12290" max="12290" width="13.21875" style="1377" customWidth="1"/>
    <col min="12291" max="12291" width="15.6640625" style="1377" customWidth="1"/>
    <col min="12292" max="12292" width="9.33203125" style="1377" bestFit="1" customWidth="1"/>
    <col min="12293" max="12293" width="13.44140625" style="1377" customWidth="1"/>
    <col min="12294" max="12294" width="9" style="1377"/>
    <col min="12295" max="12295" width="9.33203125" style="1377" bestFit="1" customWidth="1"/>
    <col min="12296" max="12297" width="9" style="1377"/>
    <col min="12298" max="12298" width="9.33203125" style="1377" bestFit="1" customWidth="1"/>
    <col min="12299" max="12299" width="4" style="1377" customWidth="1"/>
    <col min="12300" max="12300" width="5.109375" style="1377" customWidth="1"/>
    <col min="12301" max="12301" width="13.77734375" style="1377" customWidth="1"/>
    <col min="12302" max="12544" width="9" style="1377"/>
    <col min="12545" max="12545" width="4.88671875" style="1377" customWidth="1"/>
    <col min="12546" max="12546" width="13.21875" style="1377" customWidth="1"/>
    <col min="12547" max="12547" width="15.6640625" style="1377" customWidth="1"/>
    <col min="12548" max="12548" width="9.33203125" style="1377" bestFit="1" customWidth="1"/>
    <col min="12549" max="12549" width="13.44140625" style="1377" customWidth="1"/>
    <col min="12550" max="12550" width="9" style="1377"/>
    <col min="12551" max="12551" width="9.33203125" style="1377" bestFit="1" customWidth="1"/>
    <col min="12552" max="12553" width="9" style="1377"/>
    <col min="12554" max="12554" width="9.33203125" style="1377" bestFit="1" customWidth="1"/>
    <col min="12555" max="12555" width="4" style="1377" customWidth="1"/>
    <col min="12556" max="12556" width="5.109375" style="1377" customWidth="1"/>
    <col min="12557" max="12557" width="13.77734375" style="1377" customWidth="1"/>
    <col min="12558" max="12800" width="9" style="1377"/>
    <col min="12801" max="12801" width="4.88671875" style="1377" customWidth="1"/>
    <col min="12802" max="12802" width="13.21875" style="1377" customWidth="1"/>
    <col min="12803" max="12803" width="15.6640625" style="1377" customWidth="1"/>
    <col min="12804" max="12804" width="9.33203125" style="1377" bestFit="1" customWidth="1"/>
    <col min="12805" max="12805" width="13.44140625" style="1377" customWidth="1"/>
    <col min="12806" max="12806" width="9" style="1377"/>
    <col min="12807" max="12807" width="9.33203125" style="1377" bestFit="1" customWidth="1"/>
    <col min="12808" max="12809" width="9" style="1377"/>
    <col min="12810" max="12810" width="9.33203125" style="1377" bestFit="1" customWidth="1"/>
    <col min="12811" max="12811" width="4" style="1377" customWidth="1"/>
    <col min="12812" max="12812" width="5.109375" style="1377" customWidth="1"/>
    <col min="12813" max="12813" width="13.77734375" style="1377" customWidth="1"/>
    <col min="12814" max="13056" width="9" style="1377"/>
    <col min="13057" max="13057" width="4.88671875" style="1377" customWidth="1"/>
    <col min="13058" max="13058" width="13.21875" style="1377" customWidth="1"/>
    <col min="13059" max="13059" width="15.6640625" style="1377" customWidth="1"/>
    <col min="13060" max="13060" width="9.33203125" style="1377" bestFit="1" customWidth="1"/>
    <col min="13061" max="13061" width="13.44140625" style="1377" customWidth="1"/>
    <col min="13062" max="13062" width="9" style="1377"/>
    <col min="13063" max="13063" width="9.33203125" style="1377" bestFit="1" customWidth="1"/>
    <col min="13064" max="13065" width="9" style="1377"/>
    <col min="13066" max="13066" width="9.33203125" style="1377" bestFit="1" customWidth="1"/>
    <col min="13067" max="13067" width="4" style="1377" customWidth="1"/>
    <col min="13068" max="13068" width="5.109375" style="1377" customWidth="1"/>
    <col min="13069" max="13069" width="13.77734375" style="1377" customWidth="1"/>
    <col min="13070" max="13312" width="9" style="1377"/>
    <col min="13313" max="13313" width="4.88671875" style="1377" customWidth="1"/>
    <col min="13314" max="13314" width="13.21875" style="1377" customWidth="1"/>
    <col min="13315" max="13315" width="15.6640625" style="1377" customWidth="1"/>
    <col min="13316" max="13316" width="9.33203125" style="1377" bestFit="1" customWidth="1"/>
    <col min="13317" max="13317" width="13.44140625" style="1377" customWidth="1"/>
    <col min="13318" max="13318" width="9" style="1377"/>
    <col min="13319" max="13319" width="9.33203125" style="1377" bestFit="1" customWidth="1"/>
    <col min="13320" max="13321" width="9" style="1377"/>
    <col min="13322" max="13322" width="9.33203125" style="1377" bestFit="1" customWidth="1"/>
    <col min="13323" max="13323" width="4" style="1377" customWidth="1"/>
    <col min="13324" max="13324" width="5.109375" style="1377" customWidth="1"/>
    <col min="13325" max="13325" width="13.77734375" style="1377" customWidth="1"/>
    <col min="13326" max="13568" width="9" style="1377"/>
    <col min="13569" max="13569" width="4.88671875" style="1377" customWidth="1"/>
    <col min="13570" max="13570" width="13.21875" style="1377" customWidth="1"/>
    <col min="13571" max="13571" width="15.6640625" style="1377" customWidth="1"/>
    <col min="13572" max="13572" width="9.33203125" style="1377" bestFit="1" customWidth="1"/>
    <col min="13573" max="13573" width="13.44140625" style="1377" customWidth="1"/>
    <col min="13574" max="13574" width="9" style="1377"/>
    <col min="13575" max="13575" width="9.33203125" style="1377" bestFit="1" customWidth="1"/>
    <col min="13576" max="13577" width="9" style="1377"/>
    <col min="13578" max="13578" width="9.33203125" style="1377" bestFit="1" customWidth="1"/>
    <col min="13579" max="13579" width="4" style="1377" customWidth="1"/>
    <col min="13580" max="13580" width="5.109375" style="1377" customWidth="1"/>
    <col min="13581" max="13581" width="13.77734375" style="1377" customWidth="1"/>
    <col min="13582" max="13824" width="9" style="1377"/>
    <col min="13825" max="13825" width="4.88671875" style="1377" customWidth="1"/>
    <col min="13826" max="13826" width="13.21875" style="1377" customWidth="1"/>
    <col min="13827" max="13827" width="15.6640625" style="1377" customWidth="1"/>
    <col min="13828" max="13828" width="9.33203125" style="1377" bestFit="1" customWidth="1"/>
    <col min="13829" max="13829" width="13.44140625" style="1377" customWidth="1"/>
    <col min="13830" max="13830" width="9" style="1377"/>
    <col min="13831" max="13831" width="9.33203125" style="1377" bestFit="1" customWidth="1"/>
    <col min="13832" max="13833" width="9" style="1377"/>
    <col min="13834" max="13834" width="9.33203125" style="1377" bestFit="1" customWidth="1"/>
    <col min="13835" max="13835" width="4" style="1377" customWidth="1"/>
    <col min="13836" max="13836" width="5.109375" style="1377" customWidth="1"/>
    <col min="13837" max="13837" width="13.77734375" style="1377" customWidth="1"/>
    <col min="13838" max="14080" width="9" style="1377"/>
    <col min="14081" max="14081" width="4.88671875" style="1377" customWidth="1"/>
    <col min="14082" max="14082" width="13.21875" style="1377" customWidth="1"/>
    <col min="14083" max="14083" width="15.6640625" style="1377" customWidth="1"/>
    <col min="14084" max="14084" width="9.33203125" style="1377" bestFit="1" customWidth="1"/>
    <col min="14085" max="14085" width="13.44140625" style="1377" customWidth="1"/>
    <col min="14086" max="14086" width="9" style="1377"/>
    <col min="14087" max="14087" width="9.33203125" style="1377" bestFit="1" customWidth="1"/>
    <col min="14088" max="14089" width="9" style="1377"/>
    <col min="14090" max="14090" width="9.33203125" style="1377" bestFit="1" customWidth="1"/>
    <col min="14091" max="14091" width="4" style="1377" customWidth="1"/>
    <col min="14092" max="14092" width="5.109375" style="1377" customWidth="1"/>
    <col min="14093" max="14093" width="13.77734375" style="1377" customWidth="1"/>
    <col min="14094" max="14336" width="9" style="1377"/>
    <col min="14337" max="14337" width="4.88671875" style="1377" customWidth="1"/>
    <col min="14338" max="14338" width="13.21875" style="1377" customWidth="1"/>
    <col min="14339" max="14339" width="15.6640625" style="1377" customWidth="1"/>
    <col min="14340" max="14340" width="9.33203125" style="1377" bestFit="1" customWidth="1"/>
    <col min="14341" max="14341" width="13.44140625" style="1377" customWidth="1"/>
    <col min="14342" max="14342" width="9" style="1377"/>
    <col min="14343" max="14343" width="9.33203125" style="1377" bestFit="1" customWidth="1"/>
    <col min="14344" max="14345" width="9" style="1377"/>
    <col min="14346" max="14346" width="9.33203125" style="1377" bestFit="1" customWidth="1"/>
    <col min="14347" max="14347" width="4" style="1377" customWidth="1"/>
    <col min="14348" max="14348" width="5.109375" style="1377" customWidth="1"/>
    <col min="14349" max="14349" width="13.77734375" style="1377" customWidth="1"/>
    <col min="14350" max="14592" width="9" style="1377"/>
    <col min="14593" max="14593" width="4.88671875" style="1377" customWidth="1"/>
    <col min="14594" max="14594" width="13.21875" style="1377" customWidth="1"/>
    <col min="14595" max="14595" width="15.6640625" style="1377" customWidth="1"/>
    <col min="14596" max="14596" width="9.33203125" style="1377" bestFit="1" customWidth="1"/>
    <col min="14597" max="14597" width="13.44140625" style="1377" customWidth="1"/>
    <col min="14598" max="14598" width="9" style="1377"/>
    <col min="14599" max="14599" width="9.33203125" style="1377" bestFit="1" customWidth="1"/>
    <col min="14600" max="14601" width="9" style="1377"/>
    <col min="14602" max="14602" width="9.33203125" style="1377" bestFit="1" customWidth="1"/>
    <col min="14603" max="14603" width="4" style="1377" customWidth="1"/>
    <col min="14604" max="14604" width="5.109375" style="1377" customWidth="1"/>
    <col min="14605" max="14605" width="13.77734375" style="1377" customWidth="1"/>
    <col min="14606" max="14848" width="9" style="1377"/>
    <col min="14849" max="14849" width="4.88671875" style="1377" customWidth="1"/>
    <col min="14850" max="14850" width="13.21875" style="1377" customWidth="1"/>
    <col min="14851" max="14851" width="15.6640625" style="1377" customWidth="1"/>
    <col min="14852" max="14852" width="9.33203125" style="1377" bestFit="1" customWidth="1"/>
    <col min="14853" max="14853" width="13.44140625" style="1377" customWidth="1"/>
    <col min="14854" max="14854" width="9" style="1377"/>
    <col min="14855" max="14855" width="9.33203125" style="1377" bestFit="1" customWidth="1"/>
    <col min="14856" max="14857" width="9" style="1377"/>
    <col min="14858" max="14858" width="9.33203125" style="1377" bestFit="1" customWidth="1"/>
    <col min="14859" max="14859" width="4" style="1377" customWidth="1"/>
    <col min="14860" max="14860" width="5.109375" style="1377" customWidth="1"/>
    <col min="14861" max="14861" width="13.77734375" style="1377" customWidth="1"/>
    <col min="14862" max="15104" width="9" style="1377"/>
    <col min="15105" max="15105" width="4.88671875" style="1377" customWidth="1"/>
    <col min="15106" max="15106" width="13.21875" style="1377" customWidth="1"/>
    <col min="15107" max="15107" width="15.6640625" style="1377" customWidth="1"/>
    <col min="15108" max="15108" width="9.33203125" style="1377" bestFit="1" customWidth="1"/>
    <col min="15109" max="15109" width="13.44140625" style="1377" customWidth="1"/>
    <col min="15110" max="15110" width="9" style="1377"/>
    <col min="15111" max="15111" width="9.33203125" style="1377" bestFit="1" customWidth="1"/>
    <col min="15112" max="15113" width="9" style="1377"/>
    <col min="15114" max="15114" width="9.33203125" style="1377" bestFit="1" customWidth="1"/>
    <col min="15115" max="15115" width="4" style="1377" customWidth="1"/>
    <col min="15116" max="15116" width="5.109375" style="1377" customWidth="1"/>
    <col min="15117" max="15117" width="13.77734375" style="1377" customWidth="1"/>
    <col min="15118" max="15360" width="9" style="1377"/>
    <col min="15361" max="15361" width="4.88671875" style="1377" customWidth="1"/>
    <col min="15362" max="15362" width="13.21875" style="1377" customWidth="1"/>
    <col min="15363" max="15363" width="15.6640625" style="1377" customWidth="1"/>
    <col min="15364" max="15364" width="9.33203125" style="1377" bestFit="1" customWidth="1"/>
    <col min="15365" max="15365" width="13.44140625" style="1377" customWidth="1"/>
    <col min="15366" max="15366" width="9" style="1377"/>
    <col min="15367" max="15367" width="9.33203125" style="1377" bestFit="1" customWidth="1"/>
    <col min="15368" max="15369" width="9" style="1377"/>
    <col min="15370" max="15370" width="9.33203125" style="1377" bestFit="1" customWidth="1"/>
    <col min="15371" max="15371" width="4" style="1377" customWidth="1"/>
    <col min="15372" max="15372" width="5.109375" style="1377" customWidth="1"/>
    <col min="15373" max="15373" width="13.77734375" style="1377" customWidth="1"/>
    <col min="15374" max="15616" width="9" style="1377"/>
    <col min="15617" max="15617" width="4.88671875" style="1377" customWidth="1"/>
    <col min="15618" max="15618" width="13.21875" style="1377" customWidth="1"/>
    <col min="15619" max="15619" width="15.6640625" style="1377" customWidth="1"/>
    <col min="15620" max="15620" width="9.33203125" style="1377" bestFit="1" customWidth="1"/>
    <col min="15621" max="15621" width="13.44140625" style="1377" customWidth="1"/>
    <col min="15622" max="15622" width="9" style="1377"/>
    <col min="15623" max="15623" width="9.33203125" style="1377" bestFit="1" customWidth="1"/>
    <col min="15624" max="15625" width="9" style="1377"/>
    <col min="15626" max="15626" width="9.33203125" style="1377" bestFit="1" customWidth="1"/>
    <col min="15627" max="15627" width="4" style="1377" customWidth="1"/>
    <col min="15628" max="15628" width="5.109375" style="1377" customWidth="1"/>
    <col min="15629" max="15629" width="13.77734375" style="1377" customWidth="1"/>
    <col min="15630" max="15872" width="9" style="1377"/>
    <col min="15873" max="15873" width="4.88671875" style="1377" customWidth="1"/>
    <col min="15874" max="15874" width="13.21875" style="1377" customWidth="1"/>
    <col min="15875" max="15875" width="15.6640625" style="1377" customWidth="1"/>
    <col min="15876" max="15876" width="9.33203125" style="1377" bestFit="1" customWidth="1"/>
    <col min="15877" max="15877" width="13.44140625" style="1377" customWidth="1"/>
    <col min="15878" max="15878" width="9" style="1377"/>
    <col min="15879" max="15879" width="9.33203125" style="1377" bestFit="1" customWidth="1"/>
    <col min="15880" max="15881" width="9" style="1377"/>
    <col min="15882" max="15882" width="9.33203125" style="1377" bestFit="1" customWidth="1"/>
    <col min="15883" max="15883" width="4" style="1377" customWidth="1"/>
    <col min="15884" max="15884" width="5.109375" style="1377" customWidth="1"/>
    <col min="15885" max="15885" width="13.77734375" style="1377" customWidth="1"/>
    <col min="15886" max="16128" width="9" style="1377"/>
    <col min="16129" max="16129" width="4.88671875" style="1377" customWidth="1"/>
    <col min="16130" max="16130" width="13.21875" style="1377" customWidth="1"/>
    <col min="16131" max="16131" width="15.6640625" style="1377" customWidth="1"/>
    <col min="16132" max="16132" width="9.33203125" style="1377" bestFit="1" customWidth="1"/>
    <col min="16133" max="16133" width="13.44140625" style="1377" customWidth="1"/>
    <col min="16134" max="16134" width="9" style="1377"/>
    <col min="16135" max="16135" width="9.33203125" style="1377" bestFit="1" customWidth="1"/>
    <col min="16136" max="16137" width="9" style="1377"/>
    <col min="16138" max="16138" width="9.33203125" style="1377" bestFit="1" customWidth="1"/>
    <col min="16139" max="16139" width="4" style="1377" customWidth="1"/>
    <col min="16140" max="16140" width="5.109375" style="1377" customWidth="1"/>
    <col min="16141" max="16141" width="13.77734375" style="1377" customWidth="1"/>
    <col min="16142" max="16384" width="9" style="1377"/>
  </cols>
  <sheetData>
    <row r="1" spans="1:257" s="1439" customFormat="1" ht="15" thickBot="1">
      <c r="A1" s="1433"/>
      <c r="B1" s="1440" t="s">
        <v>1208</v>
      </c>
      <c r="C1" s="1434">
        <f>项目基本情况!D3</f>
        <v>44567</v>
      </c>
      <c r="D1" s="1440" t="s">
        <v>1209</v>
      </c>
      <c r="E1" s="1435">
        <f>'数据-取费表'!B22</f>
        <v>1.5</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399999999999999">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2">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31.2">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5.6">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5.6">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5.6">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5.6">
      <c r="A17" s="1422"/>
      <c r="B17" s="3015" t="s">
        <v>2998</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6.8">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6" t="s">
        <v>1278</v>
      </c>
      <c r="E1" s="1480" t="s">
        <v>1282</v>
      </c>
      <c r="F1" s="1481" t="s">
        <v>1286</v>
      </c>
    </row>
    <row r="2" spans="1:13" ht="19.8">
      <c r="A2" s="1487" t="s">
        <v>1279</v>
      </c>
    </row>
    <row r="3" spans="1:13" ht="15.6">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9" sqref="N9"/>
    </sheetView>
  </sheetViews>
  <sheetFormatPr defaultRowHeight="14.4"/>
  <sheetData/>
  <phoneticPr fontId="140"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0" customWidth="1"/>
    <col min="2" max="9" width="12.109375" style="1630" customWidth="1"/>
    <col min="10" max="16384" width="9" style="1630"/>
  </cols>
  <sheetData>
    <row r="1" spans="1:9" ht="18"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1546</v>
      </c>
      <c r="B2" s="3274" t="s">
        <v>1547</v>
      </c>
      <c r="C2" s="3274" t="s">
        <v>1548</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6">
      <c r="A3" s="3275"/>
      <c r="B3" s="3275"/>
      <c r="C3" s="3275"/>
      <c r="D3" s="962" t="s">
        <v>1543</v>
      </c>
      <c r="E3" s="962" t="s">
        <v>1549</v>
      </c>
      <c r="F3" s="962" t="s">
        <v>1543</v>
      </c>
      <c r="G3" s="962" t="s">
        <v>1544</v>
      </c>
      <c r="H3" s="962" t="s">
        <v>1543</v>
      </c>
      <c r="I3" s="962" t="s">
        <v>1544</v>
      </c>
    </row>
    <row r="4" spans="1:9" ht="15">
      <c r="A4" s="1658" t="str">
        <f>项目基本情况!S2</f>
        <v>北京市房地产</v>
      </c>
      <c r="B4" s="962">
        <f>项目基本情况!C17</f>
        <v>24880.78</v>
      </c>
      <c r="C4" s="962">
        <f>项目基本情况!C18</f>
        <v>31250</v>
      </c>
      <c r="D4" s="962">
        <f ca="1">结果表!D118</f>
        <v>5373</v>
      </c>
      <c r="E4" s="962">
        <f ca="1">结果表!E118</f>
        <v>2160</v>
      </c>
      <c r="F4" s="962">
        <f ca="1">结果表!F118</f>
        <v>4036</v>
      </c>
      <c r="G4" s="962">
        <f ca="1">结果表!G118</f>
        <v>1622</v>
      </c>
      <c r="H4" s="962">
        <f ca="1">结果表!H118</f>
        <v>9409</v>
      </c>
      <c r="I4" s="962">
        <f ca="1">结果表!I118</f>
        <v>3782</v>
      </c>
    </row>
    <row r="5" spans="1:9" ht="30" customHeight="1">
      <c r="A5" s="3275" t="s">
        <v>1545</v>
      </c>
      <c r="B5" s="3275"/>
      <c r="C5" s="3275"/>
      <c r="D5" s="3276" t="str">
        <f ca="1">结果表!D119</f>
        <v>伍仟叁佰柒拾叁万元整</v>
      </c>
      <c r="E5" s="3276"/>
      <c r="F5" s="3276" t="str">
        <f ca="1">结果表!F119</f>
        <v>肆仟零叁拾陆万元整</v>
      </c>
      <c r="G5" s="3276"/>
      <c r="H5" s="3276" t="str">
        <f ca="1">结果表!H119</f>
        <v>玖仟肆佰零玖万元整</v>
      </c>
      <c r="I5" s="3276"/>
    </row>
    <row r="6" spans="1:9" ht="15.6">
      <c r="A6" s="3277" t="str">
        <f>结果表!A120</f>
        <v>估价师知悉的法定优先受偿款</v>
      </c>
      <c r="B6" s="3277"/>
      <c r="C6" s="3277"/>
      <c r="D6" s="3277">
        <f>结果表!D120</f>
        <v>0</v>
      </c>
      <c r="E6" s="3277"/>
      <c r="F6" s="3277"/>
      <c r="G6" s="3277"/>
      <c r="H6" s="3277"/>
      <c r="I6" s="3277"/>
    </row>
    <row r="7" spans="1:9" ht="15">
      <c r="A7" s="3275" t="s">
        <v>1545</v>
      </c>
      <c r="B7" s="3275"/>
      <c r="C7" s="3275"/>
      <c r="D7" s="3278" t="str">
        <f>结果表!D121</f>
        <v>零元整</v>
      </c>
      <c r="E7" s="3279"/>
      <c r="F7" s="3279"/>
      <c r="G7" s="3279"/>
      <c r="H7" s="3279"/>
      <c r="I7" s="3280"/>
    </row>
    <row r="8" spans="1:9" ht="15.6">
      <c r="A8" s="3277" t="str">
        <f>结果表!A122</f>
        <v>房地产抵押价值</v>
      </c>
      <c r="B8" s="3277"/>
      <c r="C8" s="3277"/>
      <c r="D8" s="3277">
        <f ca="1">结果表!D122</f>
        <v>9409</v>
      </c>
      <c r="E8" s="3277"/>
      <c r="F8" s="3277"/>
      <c r="G8" s="3277"/>
      <c r="H8" s="3277"/>
      <c r="I8" s="3277"/>
    </row>
    <row r="9" spans="1:9" ht="15">
      <c r="A9" s="3275" t="s">
        <v>1545</v>
      </c>
      <c r="B9" s="3275"/>
      <c r="C9" s="3275"/>
      <c r="D9" s="3276" t="str">
        <f ca="1">结果表!D123</f>
        <v>玖仟肆佰零玖万元整</v>
      </c>
      <c r="E9" s="3276"/>
      <c r="F9" s="3276"/>
      <c r="G9" s="3276"/>
      <c r="H9" s="3276"/>
      <c r="I9" s="3276"/>
    </row>
    <row r="10" spans="1:9" ht="15.6">
      <c r="A10" s="3277" t="str">
        <f>结果表!A124</f>
        <v/>
      </c>
      <c r="B10" s="3277"/>
      <c r="C10" s="3277"/>
      <c r="D10" s="3277" t="str">
        <f>结果表!D124</f>
        <v>——</v>
      </c>
      <c r="E10" s="3277"/>
      <c r="F10" s="3277"/>
      <c r="G10" s="3277"/>
      <c r="H10" s="3277"/>
      <c r="I10" s="3277"/>
    </row>
    <row r="11" spans="1:9" ht="15">
      <c r="A11" s="3275" t="s">
        <v>1545</v>
      </c>
      <c r="B11" s="3275"/>
      <c r="C11" s="3275"/>
      <c r="D11" s="3276" t="e">
        <f>结果表!D125</f>
        <v>#VALUE!</v>
      </c>
      <c r="E11" s="3276"/>
      <c r="F11" s="3276"/>
      <c r="G11" s="3276"/>
      <c r="H11" s="3276"/>
      <c r="I11" s="3276"/>
    </row>
    <row r="12" spans="1:9" ht="15.6">
      <c r="A12" s="3277" t="str">
        <f>结果表!A126</f>
        <v/>
      </c>
      <c r="B12" s="3277"/>
      <c r="C12" s="3277"/>
      <c r="D12" s="3277" t="str">
        <f>结果表!D126</f>
        <v>——</v>
      </c>
      <c r="E12" s="3277"/>
      <c r="F12" s="3277"/>
      <c r="G12" s="3277"/>
      <c r="H12" s="3277"/>
      <c r="I12" s="3277"/>
    </row>
    <row r="13" spans="1:9" ht="15.6" thickBot="1">
      <c r="A13" s="3281" t="s">
        <v>1545</v>
      </c>
      <c r="B13" s="3281"/>
      <c r="C13" s="3281"/>
      <c r="D13" s="3282" t="e">
        <f>结果表!D127</f>
        <v>#VALUE!</v>
      </c>
      <c r="E13" s="3282"/>
      <c r="F13" s="3282"/>
      <c r="G13" s="3282"/>
      <c r="H13" s="3282"/>
      <c r="I13" s="3282"/>
    </row>
    <row r="14" spans="1:9" ht="14.4" thickTop="1">
      <c r="A14" s="3283" t="s">
        <v>1550</v>
      </c>
      <c r="B14" s="3283"/>
      <c r="C14" s="3283"/>
      <c r="D14" s="3283"/>
      <c r="E14" s="3283"/>
      <c r="F14" s="3283"/>
      <c r="G14" s="3283"/>
      <c r="H14" s="3283"/>
      <c r="I14" s="3283"/>
    </row>
    <row r="16" spans="1:9" ht="17.399999999999999">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0" customWidth="1"/>
    <col min="2" max="3" width="22.33203125" style="1630" customWidth="1"/>
    <col min="4" max="4" width="23" style="1630" customWidth="1"/>
    <col min="5" max="16384" width="9" style="1630"/>
  </cols>
  <sheetData>
    <row r="1" spans="1:4" ht="17.399999999999999">
      <c r="A1" s="3284" t="s">
        <v>1567</v>
      </c>
      <c r="B1" s="3284"/>
      <c r="C1" s="3284"/>
      <c r="D1" s="3284"/>
    </row>
    <row r="2" spans="1:4" ht="17.399999999999999">
      <c r="A2" s="3285" t="s">
        <v>1551</v>
      </c>
      <c r="B2" s="3285"/>
      <c r="C2" s="3285"/>
      <c r="D2" s="3285"/>
    </row>
    <row r="3" spans="1:4" ht="17.399999999999999">
      <c r="A3" s="1662" t="s">
        <v>1552</v>
      </c>
      <c r="B3" s="1662" t="s">
        <v>1553</v>
      </c>
      <c r="C3" s="1662" t="s">
        <v>1554</v>
      </c>
      <c r="D3" s="1662" t="s">
        <v>1555</v>
      </c>
    </row>
    <row r="4" spans="1:4" ht="56.25" customHeight="1">
      <c r="A4" s="1663" t="str">
        <f>项目基本情况!B4</f>
        <v>郑燚</v>
      </c>
      <c r="B4" s="1664">
        <f ca="1">项目基本情况!C4</f>
        <v>1120070131</v>
      </c>
      <c r="C4" s="1665"/>
      <c r="D4" s="1666" t="s">
        <v>1556</v>
      </c>
    </row>
    <row r="5" spans="1:4" ht="56.25" customHeight="1">
      <c r="A5" s="1663" t="str">
        <f>项目基本情况!D4</f>
        <v>崔锴</v>
      </c>
      <c r="B5" s="1664">
        <f ca="1">项目基本情况!E4</f>
        <v>1120100036</v>
      </c>
      <c r="C5" s="1667"/>
      <c r="D5" s="1666" t="s">
        <v>1556</v>
      </c>
    </row>
    <row r="6" spans="1:4" ht="17.399999999999999">
      <c r="A6" s="3285" t="s">
        <v>1557</v>
      </c>
      <c r="B6" s="3285"/>
      <c r="C6" s="3285"/>
      <c r="D6" s="3285"/>
    </row>
    <row r="7" spans="1:4" ht="17.399999999999999">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7.399999999999999">
      <c r="A10" s="1669" t="s">
        <v>1559</v>
      </c>
      <c r="B10" s="683"/>
      <c r="C10" s="683"/>
      <c r="D10" s="683"/>
    </row>
    <row r="11" spans="1:4" ht="30" customHeight="1">
      <c r="A11" s="3286" t="s">
        <v>1560</v>
      </c>
      <c r="B11" s="3287"/>
      <c r="C11" s="3287"/>
      <c r="D11" s="3287"/>
    </row>
    <row r="12" spans="1:4" ht="15.6">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0" t="s">
        <v>1561</v>
      </c>
      <c r="B16" s="3290"/>
      <c r="C16" s="3290"/>
      <c r="D16" s="3290"/>
    </row>
    <row r="17" spans="1:4" ht="144" customHeight="1">
      <c r="A17" s="3290" t="s">
        <v>1562</v>
      </c>
      <c r="B17" s="3290"/>
      <c r="C17" s="3290"/>
      <c r="D17" s="3290"/>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1563</v>
      </c>
      <c r="B22" s="3292"/>
      <c r="C22" s="3292"/>
      <c r="D22" s="3292"/>
    </row>
    <row r="23" spans="1:4">
      <c r="A23" s="1670"/>
      <c r="B23" s="1642"/>
      <c r="C23" s="1642"/>
      <c r="D23" s="1642"/>
    </row>
    <row r="24" spans="1:4">
      <c r="A24" s="1670"/>
      <c r="B24" s="1642"/>
      <c r="C24" s="1642"/>
      <c r="D24" s="1642"/>
    </row>
    <row r="25" spans="1:4" ht="17.399999999999999">
      <c r="A25" s="1671" t="s">
        <v>1564</v>
      </c>
    </row>
    <row r="26" spans="1:4" ht="17.399999999999999">
      <c r="A26" s="1640"/>
    </row>
    <row r="27" spans="1:4" ht="17.399999999999999">
      <c r="A27" s="1640" t="s">
        <v>1565</v>
      </c>
    </row>
    <row r="30" spans="1:4" ht="17.399999999999999">
      <c r="D30" s="1671" t="s">
        <v>1566</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8" customWidth="1"/>
    <col min="3" max="10" width="12.44140625" style="1628" customWidth="1"/>
    <col min="11" max="16384" width="9" style="1628"/>
  </cols>
  <sheetData>
    <row r="1" spans="1:10" ht="17.399999999999999">
      <c r="A1" s="1661" t="s">
        <v>838</v>
      </c>
      <c r="B1" s="1672"/>
      <c r="C1" s="1672"/>
      <c r="D1" s="1672"/>
      <c r="E1" s="1672"/>
      <c r="F1" s="1672"/>
      <c r="G1" s="1672"/>
      <c r="H1" s="1672"/>
      <c r="I1" s="1672"/>
      <c r="J1" s="1672"/>
    </row>
    <row r="2" spans="1:10" ht="17.399999999999999">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78" customWidth="1"/>
    <col min="2" max="16384" width="14.44140625" style="1660"/>
  </cols>
  <sheetData>
    <row r="1" spans="1:7" s="1675" customFormat="1" ht="17.399999999999999">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4.4">
      <c r="A15" s="3298" t="s">
        <v>1574</v>
      </c>
      <c r="B15" s="3293" t="s">
        <v>136</v>
      </c>
      <c r="C15" s="3294"/>
    </row>
    <row r="16" spans="1:7" ht="14.4">
      <c r="A16" s="3299"/>
      <c r="B16" s="3293" t="s">
        <v>69</v>
      </c>
      <c r="C16" s="3294"/>
    </row>
    <row r="17" spans="1:3" ht="14.4">
      <c r="A17" s="3299"/>
      <c r="B17" s="3296" t="s">
        <v>1575</v>
      </c>
      <c r="C17" s="1685" t="s">
        <v>1574</v>
      </c>
    </row>
    <row r="18" spans="1:3" ht="14.4">
      <c r="A18" s="3299"/>
      <c r="B18" s="3296"/>
      <c r="C18" s="1685" t="s">
        <v>1576</v>
      </c>
    </row>
    <row r="19" spans="1:3" ht="14.4">
      <c r="A19" s="3299"/>
      <c r="B19" s="3296"/>
      <c r="C19" s="1685" t="s">
        <v>1577</v>
      </c>
    </row>
    <row r="20" spans="1:3" ht="14.4">
      <c r="A20" s="3300"/>
      <c r="B20" s="3295" t="s">
        <v>1578</v>
      </c>
      <c r="C20" s="3294"/>
    </row>
    <row r="21" spans="1:3" ht="14.4">
      <c r="A21" s="1686" t="s">
        <v>1579</v>
      </c>
      <c r="B21" s="1687"/>
      <c r="C21" s="1688"/>
    </row>
    <row r="22" spans="1:3" ht="14.4">
      <c r="A22" s="3297" t="s">
        <v>1580</v>
      </c>
      <c r="B22" s="3295" t="s">
        <v>1581</v>
      </c>
      <c r="C22" s="3294"/>
    </row>
    <row r="23" spans="1:3" ht="14.4">
      <c r="A23" s="3297"/>
      <c r="B23" s="3295" t="s">
        <v>1582</v>
      </c>
      <c r="C23" s="3294"/>
    </row>
    <row r="24" spans="1:3" ht="14.4">
      <c r="A24" s="3297"/>
      <c r="B24" s="3295" t="s">
        <v>1583</v>
      </c>
      <c r="C24" s="3294"/>
    </row>
    <row r="25" spans="1:3" ht="14.4">
      <c r="A25" s="3297"/>
      <c r="B25" s="3296" t="s">
        <v>1584</v>
      </c>
      <c r="C25" s="1685" t="s">
        <v>1585</v>
      </c>
    </row>
    <row r="26" spans="1:3" ht="14.4">
      <c r="A26" s="3297"/>
      <c r="B26" s="3296"/>
      <c r="C26" s="1685" t="s">
        <v>1586</v>
      </c>
    </row>
    <row r="27" spans="1:3" ht="14.4">
      <c r="A27" s="3297"/>
      <c r="B27" s="3296"/>
      <c r="C27" s="1685" t="s">
        <v>1587</v>
      </c>
    </row>
    <row r="28" spans="1:3" ht="14.4">
      <c r="A28" s="3297"/>
      <c r="B28" s="3296"/>
      <c r="C28" s="1685" t="s">
        <v>1588</v>
      </c>
    </row>
    <row r="29" spans="1:3" ht="14.4">
      <c r="A29" s="3297"/>
      <c r="B29" s="3296"/>
      <c r="C29" s="1685" t="s">
        <v>1589</v>
      </c>
    </row>
    <row r="30" spans="1:3" ht="14.4">
      <c r="A30" s="3297"/>
      <c r="B30" s="3296"/>
      <c r="C30" s="1685" t="s">
        <v>1590</v>
      </c>
    </row>
    <row r="31" spans="1:3" ht="14.4">
      <c r="A31" s="3297"/>
      <c r="B31" s="3296"/>
      <c r="C31" s="1685" t="s">
        <v>1591</v>
      </c>
    </row>
    <row r="32" spans="1:3" ht="14.4">
      <c r="A32" s="3297"/>
      <c r="B32" s="3296"/>
      <c r="C32" s="1685" t="s">
        <v>1592</v>
      </c>
    </row>
    <row r="33" spans="1:3" ht="14.4">
      <c r="A33" s="3297"/>
      <c r="B33" s="3296"/>
      <c r="C33" s="1685" t="s">
        <v>1593</v>
      </c>
    </row>
    <row r="34" spans="1:3">
      <c r="A34" s="1689" t="s">
        <v>76</v>
      </c>
    </row>
    <row r="37" spans="1:3">
      <c r="A37" s="1689" t="s">
        <v>1594</v>
      </c>
    </row>
    <row r="38" spans="1:3" ht="14.4">
      <c r="A38" s="1690" t="s">
        <v>77</v>
      </c>
    </row>
    <row r="39" spans="1:3" ht="14.4">
      <c r="A39" s="1690" t="s">
        <v>78</v>
      </c>
    </row>
    <row r="40" spans="1:3" ht="14.4">
      <c r="A40" s="1690" t="s">
        <v>79</v>
      </c>
    </row>
    <row r="41" spans="1:3" ht="14.4">
      <c r="A41" s="1691" t="s">
        <v>80</v>
      </c>
    </row>
    <row r="42" spans="1:3" ht="14.4">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28" customWidth="1"/>
    <col min="2" max="2" width="38.6640625" style="2528" customWidth="1"/>
    <col min="3" max="3" width="26" style="2528" customWidth="1"/>
    <col min="4" max="4" width="35" style="2528" hidden="1" customWidth="1"/>
    <col min="5" max="5" width="30.109375" style="2528" customWidth="1"/>
    <col min="6" max="6" width="35.44140625" style="2528" customWidth="1"/>
    <col min="7" max="7" width="31" style="2528" customWidth="1"/>
    <col min="8" max="8" width="37.44140625" style="2528" hidden="1" customWidth="1"/>
    <col min="9" max="16384" width="22.6640625" style="2528"/>
  </cols>
  <sheetData>
    <row r="1" spans="1:8" ht="24" customHeight="1">
      <c r="A1" s="2527"/>
      <c r="B1" s="2527"/>
      <c r="C1" s="2527"/>
      <c r="D1" s="2527"/>
      <c r="E1" s="2527"/>
      <c r="F1" s="2527"/>
      <c r="G1" s="2527"/>
      <c r="H1" s="2527"/>
    </row>
    <row r="2" spans="1:8" ht="24" customHeight="1">
      <c r="A2" s="2529" t="s">
        <v>2819</v>
      </c>
      <c r="B2" s="2530">
        <f ca="1">TODAY()</f>
        <v>44574</v>
      </c>
      <c r="C2" s="2531" t="s">
        <v>2820</v>
      </c>
      <c r="D2" s="2531"/>
      <c r="E2" s="2531"/>
      <c r="F2" s="2527"/>
      <c r="G2" s="2527"/>
      <c r="H2" s="2527"/>
    </row>
    <row r="3" spans="1:8" ht="24" customHeight="1">
      <c r="A3" s="2532" t="s">
        <v>2821</v>
      </c>
      <c r="B3" s="2533" t="s">
        <v>2822</v>
      </c>
      <c r="C3" s="2533" t="s">
        <v>2823</v>
      </c>
      <c r="D3" s="2534" t="s">
        <v>2824</v>
      </c>
      <c r="E3" s="2535" t="s">
        <v>2825</v>
      </c>
      <c r="F3" s="1442" t="s">
        <v>2826</v>
      </c>
      <c r="G3" s="2533" t="s">
        <v>2823</v>
      </c>
      <c r="H3" s="2534" t="s">
        <v>2827</v>
      </c>
    </row>
    <row r="4" spans="1:8" ht="24" customHeight="1">
      <c r="A4" s="1442" t="s">
        <v>2828</v>
      </c>
      <c r="B4" s="1442">
        <f ca="1">IF(C4&lt;B2,"已过期",1119970066)</f>
        <v>1119970066</v>
      </c>
      <c r="C4" s="2536">
        <v>44876</v>
      </c>
      <c r="D4" s="2537" t="str">
        <f ca="1">A4&amp;"（注册号："&amp;B4&amp;"）"</f>
        <v>梁津（注册号：1119970066）</v>
      </c>
      <c r="E4" s="2538" t="s">
        <v>2828</v>
      </c>
      <c r="F4" s="1442">
        <f ca="1">IF(G4&lt;B2,"已过期",96010014)</f>
        <v>96010014</v>
      </c>
      <c r="G4" s="2539">
        <v>47118</v>
      </c>
      <c r="H4" s="2540" t="str">
        <f ca="1">E4&amp;"（注册号："&amp;F4&amp;"）"</f>
        <v>梁津（注册号：96010014）</v>
      </c>
    </row>
    <row r="5" spans="1:8" ht="24" customHeight="1">
      <c r="A5" s="1442" t="s">
        <v>2829</v>
      </c>
      <c r="B5" s="1442">
        <f ca="1">IF(C5&lt;B2,"已过期",1119970111)</f>
        <v>1119970111</v>
      </c>
      <c r="C5" s="2536">
        <v>44876</v>
      </c>
      <c r="D5" s="2537" t="str">
        <f t="shared" ref="D5:D15" ca="1" si="0">A5&amp;"（注册号："&amp;B5&amp;"）"</f>
        <v>叶凌（注册号：1119970111）</v>
      </c>
      <c r="E5" s="2538" t="s">
        <v>2829</v>
      </c>
      <c r="F5" s="1442">
        <f ca="1">IF(G5&lt;B2,"已过期",94010078)</f>
        <v>94010078</v>
      </c>
      <c r="G5" s="2539">
        <v>46387</v>
      </c>
      <c r="H5" s="2540" t="str">
        <f t="shared" ref="H5:H16" ca="1" si="1">E5&amp;"（注册号："&amp;F5&amp;"）"</f>
        <v>叶凌（注册号：94010078）</v>
      </c>
    </row>
    <row r="6" spans="1:8" ht="24" customHeight="1">
      <c r="A6" s="1442" t="s">
        <v>2830</v>
      </c>
      <c r="B6" s="1442" t="str">
        <f ca="1">IF(C6&lt;B2,"已过期",1120050019)</f>
        <v>已过期</v>
      </c>
      <c r="C6" s="2536">
        <v>44395</v>
      </c>
      <c r="D6" s="2537" t="str">
        <f t="shared" ca="1" si="0"/>
        <v>王鹏（注册号：已过期）</v>
      </c>
      <c r="E6" s="2538" t="s">
        <v>2830</v>
      </c>
      <c r="F6" s="1442">
        <f ca="1">IF(G6&lt;B2,"已过期",2002110030)</f>
        <v>2002110030</v>
      </c>
      <c r="G6" s="2539">
        <v>46387</v>
      </c>
      <c r="H6" s="2540" t="str">
        <f t="shared" ca="1" si="1"/>
        <v>王鹏（注册号：2002110030）</v>
      </c>
    </row>
    <row r="7" spans="1:8" ht="24" customHeight="1">
      <c r="A7" s="1442" t="s">
        <v>2831</v>
      </c>
      <c r="B7" s="1442">
        <f ca="1">IF(C7&lt;B2,"已过期",1120000080)</f>
        <v>1120000080</v>
      </c>
      <c r="C7" s="2536">
        <v>44876</v>
      </c>
      <c r="D7" s="2537" t="str">
        <f t="shared" ca="1" si="0"/>
        <v>欧红伟（注册号：1120000080）</v>
      </c>
      <c r="E7" s="2538" t="s">
        <v>2831</v>
      </c>
      <c r="F7" s="1442">
        <f ca="1">IF(G7&lt;B2,"已过期",2000110082)</f>
        <v>2000110082</v>
      </c>
      <c r="G7" s="2539">
        <v>46387</v>
      </c>
      <c r="H7" s="2540" t="str">
        <f t="shared" ca="1" si="1"/>
        <v>欧红伟（注册号：2000110082）</v>
      </c>
    </row>
    <row r="8" spans="1:8" ht="24" customHeight="1">
      <c r="A8" s="1442" t="s">
        <v>2832</v>
      </c>
      <c r="B8" s="1442">
        <f ca="1">IF(C8&lt;B2,"已过期",1419970001)</f>
        <v>1419970001</v>
      </c>
      <c r="C8" s="2536">
        <v>44899</v>
      </c>
      <c r="D8" s="2537" t="str">
        <f t="shared" ca="1" si="0"/>
        <v>吴薇（注册号：1419970001）</v>
      </c>
      <c r="E8" s="2538" t="s">
        <v>2832</v>
      </c>
      <c r="F8" s="1442">
        <f ca="1">IF(G8&lt;B2,"已过期",2002110125)</f>
        <v>2002110125</v>
      </c>
      <c r="G8" s="2539">
        <v>47118</v>
      </c>
      <c r="H8" s="2540" t="str">
        <f t="shared" ca="1" si="1"/>
        <v>吴薇（注册号：2002110125）</v>
      </c>
    </row>
    <row r="9" spans="1:8" ht="24" customHeight="1">
      <c r="A9" s="1442" t="s">
        <v>2833</v>
      </c>
      <c r="B9" s="1442" t="str">
        <f ca="1">IF(C9&lt;B2,"已过期",1120060040)</f>
        <v>已过期</v>
      </c>
      <c r="C9" s="2541">
        <v>44554</v>
      </c>
      <c r="D9" s="2537" t="str">
        <f t="shared" ca="1" si="0"/>
        <v>陈颖（注册号：已过期）</v>
      </c>
      <c r="E9" s="2538" t="s">
        <v>2833</v>
      </c>
      <c r="F9" s="1442">
        <f ca="1">IF(G9&lt;B2,"已过期",2004110096)</f>
        <v>2004110096</v>
      </c>
      <c r="G9" s="2539">
        <v>47118</v>
      </c>
      <c r="H9" s="2540" t="str">
        <f t="shared" ca="1" si="1"/>
        <v>陈颖（注册号：2004110096）</v>
      </c>
    </row>
    <row r="10" spans="1:8" ht="24" customHeight="1">
      <c r="A10" s="1442" t="s">
        <v>2834</v>
      </c>
      <c r="B10" s="1442">
        <f ca="1">IF(C10&lt;B2,"已过期",1120100036)</f>
        <v>1120100036</v>
      </c>
      <c r="C10" s="2541">
        <v>44675</v>
      </c>
      <c r="D10" s="2537" t="str">
        <f t="shared" ca="1" si="0"/>
        <v>崔锴（注册号：1120100036）</v>
      </c>
      <c r="E10" s="2538" t="s">
        <v>2834</v>
      </c>
      <c r="F10" s="1442">
        <f ca="1">IF(G10&lt;B2,"已过期",2010110070)</f>
        <v>2010110070</v>
      </c>
      <c r="G10" s="2539">
        <v>47907</v>
      </c>
      <c r="H10" s="2540" t="str">
        <f t="shared" ca="1" si="1"/>
        <v>崔锴（注册号：2010110070）</v>
      </c>
    </row>
    <row r="11" spans="1:8" ht="24" customHeight="1">
      <c r="A11" s="1442" t="s">
        <v>2835</v>
      </c>
      <c r="B11" s="1442">
        <f ca="1">IF(C11&lt;B2,"已过期",1120070131)</f>
        <v>1120070131</v>
      </c>
      <c r="C11" s="2536">
        <v>44849</v>
      </c>
      <c r="D11" s="2537" t="str">
        <f t="shared" ca="1" si="0"/>
        <v>郑燚（注册号：1120070131）</v>
      </c>
      <c r="E11" s="2538" t="s">
        <v>2835</v>
      </c>
      <c r="F11" s="1442">
        <f ca="1">IF(G11&lt;B2,"已过期",2014110011)</f>
        <v>2014110011</v>
      </c>
      <c r="G11" s="2539">
        <v>49302</v>
      </c>
      <c r="H11" s="2540" t="str">
        <f t="shared" ca="1" si="1"/>
        <v>郑燚（注册号：2014110011）</v>
      </c>
    </row>
    <row r="12" spans="1:8" ht="24" customHeight="1">
      <c r="A12" s="1442" t="s">
        <v>2836</v>
      </c>
      <c r="B12" s="1442">
        <f ca="1">IF(C12&lt;B2,"已过期",1120040230)</f>
        <v>1120040230</v>
      </c>
      <c r="C12" s="2541">
        <v>44864</v>
      </c>
      <c r="D12" s="2537" t="str">
        <f t="shared" ca="1" si="0"/>
        <v>苏海（注册号：1120040230）</v>
      </c>
      <c r="E12" s="2538" t="s">
        <v>2836</v>
      </c>
      <c r="F12" s="1442">
        <f ca="1">IF(G12&lt;B2,"已过期",98030020)</f>
        <v>98030020</v>
      </c>
      <c r="G12" s="2539">
        <v>47118</v>
      </c>
      <c r="H12" s="2540" t="str">
        <f t="shared" ca="1" si="1"/>
        <v>苏海（注册号：98030020）</v>
      </c>
    </row>
    <row r="13" spans="1:8" ht="24" customHeight="1">
      <c r="A13" s="1442" t="s">
        <v>2837</v>
      </c>
      <c r="B13" s="1442" t="str">
        <f ca="1">IF(C13&lt;B2,"已过期",1120020033)</f>
        <v>已过期</v>
      </c>
      <c r="C13" s="2536">
        <v>44339</v>
      </c>
      <c r="D13" s="2537" t="str">
        <f t="shared" ca="1" si="0"/>
        <v>刘敬东（注册号：已过期）</v>
      </c>
      <c r="E13" s="2538" t="s">
        <v>2837</v>
      </c>
      <c r="F13" s="1442">
        <f ca="1">IF(G13&lt;B2,"已过期",2000110137)</f>
        <v>2000110137</v>
      </c>
      <c r="G13" s="2539">
        <v>46387</v>
      </c>
      <c r="H13" s="2540" t="str">
        <f t="shared" ca="1" si="1"/>
        <v>刘敬东（注册号：2000110137）</v>
      </c>
    </row>
    <row r="14" spans="1:8" ht="24" customHeight="1">
      <c r="A14" s="1442" t="s">
        <v>2838</v>
      </c>
      <c r="B14" s="1442">
        <f ca="1">IF(C14&lt;B2,"已过期",1119980106)</f>
        <v>1119980106</v>
      </c>
      <c r="C14" s="2541">
        <v>44969</v>
      </c>
      <c r="D14" s="2537" t="str">
        <f t="shared" ca="1" si="0"/>
        <v>刘俊财（注册号：1119980106）</v>
      </c>
      <c r="E14" s="2538" t="s">
        <v>2838</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2839</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301" t="s">
        <v>2840</v>
      </c>
      <c r="B17" s="3301"/>
      <c r="C17" s="3301"/>
      <c r="D17" s="3301"/>
      <c r="E17" s="3301"/>
      <c r="F17" s="3301"/>
      <c r="G17" s="3301"/>
      <c r="H17" s="3301"/>
    </row>
    <row r="18" spans="1:8" ht="24" customHeight="1">
      <c r="A18" s="3302" t="s">
        <v>2841</v>
      </c>
      <c r="B18" s="3302"/>
      <c r="C18" s="3302"/>
      <c r="D18" s="2534"/>
      <c r="E18" s="3303" t="s">
        <v>2842</v>
      </c>
      <c r="F18" s="3302"/>
      <c r="G18" s="3302"/>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土地案例</vt:lpstr>
      <vt:lpstr>年期修正系数</vt:lpstr>
      <vt:lpstr>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2022-01-12T16:50:06Z</dcterms:modified>
</cp:coreProperties>
</file>