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15" yWindow="15" windowWidth="15105" windowHeight="117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位置及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 i="80" l="1"/>
  <c r="I2" i="80"/>
  <c r="F12" i="80"/>
  <c r="E12" i="80"/>
  <c r="C14" i="74" l="1"/>
  <c r="B14" i="74"/>
  <c r="L52" i="15" l="1"/>
  <c r="L50" i="15"/>
  <c r="G44" i="43"/>
  <c r="E13" i="4"/>
  <c r="D40" i="43"/>
  <c r="D33" i="43"/>
  <c r="Y6" i="1" l="1"/>
  <c r="U6" i="1"/>
  <c r="N14" i="1"/>
  <c r="N6" i="1"/>
  <c r="N17" i="1"/>
  <c r="N19" i="1" s="1"/>
  <c r="AL16" i="3"/>
  <c r="K17" i="3"/>
  <c r="I14" i="3"/>
  <c r="I15" i="3"/>
  <c r="I17" i="3"/>
  <c r="I13" i="3"/>
  <c r="B14" i="3"/>
  <c r="B15" i="3"/>
  <c r="B16" i="3"/>
  <c r="B17" i="3"/>
  <c r="B13" i="3"/>
  <c r="A3" i="3"/>
  <c r="C8" i="80"/>
  <c r="L6" i="1" s="1"/>
  <c r="L14" i="1" s="1"/>
  <c r="I7" i="80"/>
  <c r="I6" i="80"/>
  <c r="I5" i="80"/>
  <c r="I4" i="80"/>
  <c r="I3" i="80"/>
  <c r="I8" i="80" l="1"/>
  <c r="H8" i="80"/>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26" i="67"/>
  <c r="F16" i="67"/>
  <c r="B7" i="76"/>
  <c r="F40" i="67"/>
  <c r="F6" i="73"/>
  <c r="F8" i="67"/>
  <c r="L47" i="15"/>
  <c r="M28" i="15"/>
  <c r="E12" i="76"/>
  <c r="J15" i="15"/>
  <c r="F5" i="73"/>
  <c r="D3" i="73"/>
  <c r="F26" i="15"/>
  <c r="F38" i="15"/>
  <c r="E9" i="76"/>
  <c r="M6" i="15"/>
  <c r="M29" i="15"/>
  <c r="B9" i="76"/>
  <c r="D5" i="73"/>
  <c r="M28" i="67"/>
  <c r="M6" i="67"/>
  <c r="F16" i="15"/>
  <c r="F3" i="73"/>
  <c r="F40" i="15"/>
  <c r="F9" i="67"/>
  <c r="M9" i="15"/>
  <c r="F13" i="67"/>
  <c r="F7" i="15"/>
  <c r="AO13" i="1"/>
  <c r="M24" i="67"/>
  <c r="B10" i="76"/>
  <c r="E2" i="68"/>
  <c r="M29" i="67"/>
  <c r="F37" i="15"/>
  <c r="F42" i="67"/>
  <c r="L48" i="67"/>
  <c r="F9" i="15"/>
  <c r="F43" i="15"/>
  <c r="M22" i="67"/>
  <c r="F6" i="67"/>
  <c r="F20" i="31"/>
  <c r="B13" i="76"/>
  <c r="F43" i="67"/>
  <c r="F42" i="15"/>
  <c r="E13" i="76"/>
  <c r="F4" i="73"/>
  <c r="D7" i="73"/>
  <c r="B8" i="76"/>
  <c r="D6" i="73"/>
  <c r="M24" i="15"/>
  <c r="C76" i="15"/>
  <c r="E7" i="76"/>
  <c r="E2" i="69"/>
  <c r="E10" i="76"/>
  <c r="F13" i="15"/>
  <c r="M9" i="67"/>
  <c r="F36" i="67"/>
  <c r="M23" i="15"/>
  <c r="C76" i="67"/>
  <c r="B11" i="76"/>
  <c r="M23" i="67"/>
  <c r="F7" i="67"/>
  <c r="F38" i="67"/>
  <c r="M8" i="67"/>
  <c r="M8" i="15"/>
  <c r="F37" i="67"/>
  <c r="M22" i="15"/>
  <c r="J15" i="67"/>
  <c r="D4" i="73"/>
  <c r="L48" i="15"/>
  <c r="F6" i="15"/>
  <c r="B12" i="76"/>
  <c r="E8" i="76"/>
  <c r="F7" i="73"/>
  <c r="M26" i="67"/>
  <c r="F8" i="15"/>
  <c r="E11" i="76"/>
  <c r="M26" i="15"/>
  <c r="L47" i="67"/>
  <c r="G6" i="1" l="1"/>
  <c r="I24" i="43"/>
  <c r="C21" i="68"/>
  <c r="C40" i="69"/>
  <c r="G26" i="12"/>
  <c r="G22" i="69"/>
  <c r="BA5" i="3"/>
  <c r="G5" i="3"/>
  <c r="B3" i="3" s="1"/>
  <c r="BL5" i="3"/>
  <c r="G28" i="6"/>
  <c r="F29" i="6"/>
  <c r="F30" i="6" s="1"/>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13" i="3" l="1"/>
  <c r="AT6"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E35" i="3"/>
  <c r="E86" i="3"/>
  <c r="E34" i="3"/>
  <c r="E49" i="3"/>
  <c r="E206" i="3"/>
  <c r="E232" i="3"/>
  <c r="E251" i="3"/>
  <c r="E370" i="3"/>
  <c r="AF6" i="3"/>
  <c r="E102" i="3"/>
  <c r="E80" i="3"/>
  <c r="E113" i="3"/>
  <c r="E158" i="3"/>
  <c r="E287" i="3"/>
  <c r="E308" i="3"/>
  <c r="E326" i="3"/>
  <c r="E22" i="3"/>
  <c r="E83" i="3"/>
  <c r="AQ6" i="3"/>
  <c r="E52" i="3"/>
  <c r="E36" i="3"/>
  <c r="E112" i="3"/>
  <c r="E123" i="3"/>
  <c r="E147" i="3"/>
  <c r="E289" i="3"/>
  <c r="E340" i="3"/>
  <c r="E364" i="3"/>
  <c r="E50" i="3"/>
  <c r="E20" i="3"/>
  <c r="E62" i="3"/>
  <c r="E176" i="3"/>
  <c r="E218" i="3"/>
  <c r="E265" i="3"/>
  <c r="E365" i="3"/>
  <c r="E524" i="3"/>
  <c r="E10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34"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7"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M48" i="9" s="1"/>
  <c r="I118" i="9"/>
  <c r="C105" i="9" s="1"/>
  <c r="D119" i="9"/>
  <c r="D5" i="52" s="1"/>
  <c r="B49" i="72" s="1"/>
  <c r="H4" i="52"/>
  <c r="F119" i="9"/>
  <c r="F5" i="52" s="1"/>
  <c r="B53" i="72" s="1"/>
  <c r="G118" i="9"/>
  <c r="G4" i="52" s="1"/>
  <c r="B52" i="72" s="1"/>
  <c r="H119" i="9"/>
  <c r="H5" i="52" s="1"/>
  <c r="H102" i="9" l="1"/>
  <c r="D7" i="53" s="1"/>
  <c r="B21" i="72" s="1"/>
  <c r="E14" i="74"/>
  <c r="B5" i="74"/>
  <c r="D5" i="74" s="1"/>
  <c r="F14" i="74"/>
  <c r="D45" i="9"/>
  <c r="C93" i="9" s="1"/>
  <c r="C86" i="9" s="1"/>
  <c r="I4" i="52"/>
  <c r="D5" i="53"/>
  <c r="D6" i="53" s="1"/>
  <c r="B22" i="72" s="1"/>
  <c r="H107" i="9"/>
  <c r="D13" i="53" s="1"/>
  <c r="D52" i="9"/>
  <c r="E118" i="9"/>
  <c r="E4" i="52" s="1"/>
  <c r="B48" i="72" s="1"/>
  <c r="D53" i="9" l="1"/>
  <c r="C5" i="74"/>
  <c r="C64" i="9"/>
  <c r="C63" i="9" s="1"/>
  <c r="C67" i="9" s="1"/>
  <c r="D59" i="9" s="1"/>
  <c r="M55" i="9" s="1"/>
  <c r="C85" i="9"/>
  <c r="C95" i="9" s="1"/>
  <c r="D122" i="9"/>
  <c r="G14" i="74" s="1"/>
  <c r="B6" i="74" s="1"/>
  <c r="D6" i="74" s="1"/>
  <c r="H108" i="9"/>
  <c r="D15" i="53" s="1"/>
  <c r="B31" i="72" s="1"/>
  <c r="D55" i="9"/>
  <c r="M53" i="9" s="1"/>
  <c r="C78" i="9"/>
  <c r="C73" i="9" s="1"/>
  <c r="C72" i="9"/>
  <c r="M49" i="9"/>
  <c r="L64" i="9" s="1"/>
  <c r="M64" i="9" s="1"/>
  <c r="B20" i="72"/>
  <c r="D14" i="53"/>
  <c r="B32" i="72" s="1"/>
  <c r="B30" i="72"/>
  <c r="C68" i="9" l="1"/>
  <c r="D54" i="9" s="1"/>
  <c r="D8" i="52"/>
  <c r="D123" i="9"/>
  <c r="D9" i="52" s="1"/>
  <c r="C6" i="74"/>
  <c r="L67" i="9"/>
  <c r="M67" i="9" s="1"/>
  <c r="L68" i="9"/>
  <c r="M68" i="9" s="1"/>
  <c r="L66" i="9"/>
  <c r="M66" i="9" s="1"/>
  <c r="C79" i="9"/>
  <c r="L65" i="9"/>
  <c r="M65" i="9" s="1"/>
  <c r="L63" i="9"/>
  <c r="M63" i="9" s="1"/>
  <c r="C96" i="9"/>
  <c r="E96" i="9" s="1"/>
  <c r="E97" i="9" s="1"/>
  <c r="C80" i="9"/>
  <c r="E80" i="9" s="1"/>
  <c r="E81" i="9" s="1"/>
  <c r="M69" i="9" l="1"/>
  <c r="N69" i="9" s="1"/>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<sst xmlns="http://schemas.openxmlformats.org/spreadsheetml/2006/main" count="7889" uniqueCount="3481">
  <si>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</si>
  <si>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</si>
  <si>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</si>
  <si>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</si>
  <si>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</si>
  <si>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</si>
  <si>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</si>
  <si>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</si>
  <si>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</si>
  <si>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</si>
  <si>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</si>
  <si>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</si>
  <si>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</si>
  <si>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</si>
  <si>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</si>
  <si>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</si>
  <si>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</si>
  <si>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</si>
  <si>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</si>
  <si>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</si>
  <si>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</si>
  <si>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</si>
  <si>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</si>
  <si>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</si>
  <si>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</si>
  <si>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</si>
  <si>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</si>
  <si>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</si>
  <si>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</si>
  <si>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</si>
  <si>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</si>
  <si>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</si>
  <si>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</si>
  <si>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</si>
  <si>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</si>
  <si>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</si>
  <si>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</si>
  <si>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</si>
  <si>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</si>
  <si>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</si>
  <si>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</si>
  <si>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</si>
  <si>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</si>
  <si>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</si>
  <si>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</si>
  <si>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</si>
  <si>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</si>
  <si>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</si>
  <si>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</si>
  <si>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</si>
  <si>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</si>
  <si>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</si>
  <si>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</si>
  <si>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</si>
  <si>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</si>
  <si>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</si>
  <si>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</si>
  <si>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</si>
  <si>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</si>
  <si>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</si>
  <si>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</si>
  <si>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</si>
  <si>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</si>
  <si>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</si>
  <si>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</si>
  <si>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</si>
  <si>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</si>
  <si>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</si>
  <si>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</si>
  <si>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</si>
  <si>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</si>
  <si>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</si>
  <si>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</si>
  <si>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</si>
  <si>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</si>
  <si>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</si>
  <si>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</si>
  <si>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</si>
  <si>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</si>
  <si>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</si>
  <si>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</si>
  <si>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</si>
  <si>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</si>
  <si>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</si>
  <si>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</si>
  <si>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</si>
  <si>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</si>
  <si>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</si>
  <si>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</si>
  <si>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</si>
  <si>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</si>
  <si>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</si>
  <si>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</si>
  <si>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</si>
  <si>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</si>
  <si>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</si>
  <si>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</si>
  <si>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</si>
  <si>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</si>
  <si>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</si>
  <si>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</si>
  <si>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</si>
  <si>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</si>
  <si>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</si>
  <si>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</si>
  <si>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</si>
  <si>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</si>
  <si>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</si>
  <si>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</si>
  <si>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</si>
  <si>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</si>
  <si>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</si>
  <si>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</si>
  <si>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</si>
  <si>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</si>
  <si>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</si>
  <si>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</si>
  <si>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</si>
  <si>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</si>
  <si>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</si>
  <si>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</si>
  <si>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</si>
  <si>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</si>
  <si>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</si>
  <si>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</si>
  <si>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</si>
  <si>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</si>
  <si>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</si>
  <si>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</si>
  <si>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</si>
  <si>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</si>
  <si>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</si>
  <si>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</si>
  <si>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</si>
  <si>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</si>
  <si>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</si>
  <si>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</si>
  <si>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</si>
  <si>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</si>
  <si>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</si>
  <si>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</si>
  <si>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</si>
  <si>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</si>
  <si>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</si>
  <si>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</si>
  <si>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</si>
  <si>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</si>
  <si>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</si>
  <si>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</si>
  <si>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</si>
  <si>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</si>
  <si>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</si>
  <si>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</si>
  <si>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</si>
  <si>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</si>
  <si>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</si>
  <si>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</si>
  <si>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</si>
  <si>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</si>
  <si>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</si>
  <si>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</si>
  <si>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</si>
  <si>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</si>
  <si>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</si>
  <si>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</si>
  <si>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</si>
  <si>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</si>
  <si>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</si>
  <si>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</si>
  <si>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</si>
  <si>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</si>
  <si>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</si>
  <si>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</si>
  <si>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</si>
  <si>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</si>
  <si>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</si>
  <si>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</si>
  <si>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</si>
  <si>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</si>
  <si>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</si>
  <si>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</si>
  <si>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</si>
  <si>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</si>
  <si>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</si>
  <si>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</si>
  <si>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</si>
  <si>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</si>
  <si>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</si>
  <si>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</si>
  <si>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</si>
  <si>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</si>
  <si>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</si>
  <si>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</si>
  <si>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</si>
  <si>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</si>
  <si>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</si>
  <si>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</si>
  <si>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</si>
  <si>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</si>
  <si>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</si>
  <si>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</si>
  <si>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</si>
  <si>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</si>
  <si>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</si>
  <si>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</si>
  <si>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</si>
  <si>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</si>
  <si>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</si>
  <si>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</si>
  <si>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</si>
  <si>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</si>
  <si>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</si>
  <si>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</si>
  <si>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</si>
  <si>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</si>
  <si>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</si>
  <si>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</si>
  <si>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</si>
  <si>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</si>
  <si>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</si>
  <si>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</si>
  <si>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</si>
  <si>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</si>
  <si>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</si>
  <si>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</si>
  <si>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</si>
  <si>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</si>
  <si>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</si>
  <si>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</si>
  <si>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</si>
  <si>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</si>
  <si>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</si>
  <si>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</si>
  <si>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</si>
  <si>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</si>
  <si>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</si>
  <si>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</si>
  <si>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</si>
  <si>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</si>
  <si>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</si>
  <si>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</si>
  <si>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</si>
  <si>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</si>
  <si>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</si>
  <si>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</si>
  <si>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</si>
  <si>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</si>
  <si>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</si>
  <si>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</si>
  <si>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</si>
  <si>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</si>
  <si>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</si>
  <si>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</si>
  <si>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</si>
  <si>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</si>
  <si>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</si>
  <si>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</si>
  <si>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</si>
  <si>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</si>
  <si>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</si>
  <si>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</si>
  <si>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</si>
  <si>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</si>
  <si>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</si>
  <si>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</si>
  <si>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</si>
  <si>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</si>
  <si>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</si>
  <si>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</si>
  <si>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</si>
  <si>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</si>
  <si>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</si>
  <si>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</si>
  <si>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</si>
  <si>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</si>
  <si>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</si>
  <si>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</si>
  <si>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</si>
  <si>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</si>
  <si>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</si>
  <si>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</si>
  <si>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</si>
  <si>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</si>
  <si>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</si>
  <si>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</si>
  <si>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</si>
  <si>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</si>
  <si>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</si>
  <si>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</si>
  <si>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</si>
  <si>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</si>
  <si>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</si>
  <si>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</si>
  <si>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</si>
  <si>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</si>
  <si>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</si>
  <si>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</si>
  <si>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</si>
  <si>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</si>
  <si>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</si>
  <si>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</si>
  <si>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</si>
  <si>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</si>
  <si>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</si>
  <si>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</si>
  <si>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</si>
  <si>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</si>
  <si>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</si>
  <si>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</si>
  <si>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</si>
  <si>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</si>
  <si>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</si>
  <si>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</si>
  <si>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</si>
  <si>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</si>
  <si>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</si>
  <si>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</si>
  <si>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</si>
  <si>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</si>
  <si>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</si>
  <si>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</si>
  <si>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</si>
  <si>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</si>
  <si>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</si>
  <si>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</si>
  <si>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</si>
  <si>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</si>
  <si>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</si>
  <si>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</si>
  <si>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</si>
  <si>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</si>
  <si>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</si>
  <si>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</si>
  <si>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</si>
  <si>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</si>
  <si>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</si>
  <si>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</si>
  <si>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</si>
  <si>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</si>
  <si>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</si>
  <si>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</si>
  <si>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</si>
  <si>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</si>
  <si>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</si>
  <si>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</si>
  <si>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</si>
  <si>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</si>
  <si>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</si>
  <si>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</si>
  <si>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</si>
  <si>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</si>
  <si>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</si>
  <si>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</si>
  <si>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</si>
  <si>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</si>
  <si>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</si>
  <si>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</si>
  <si>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</si>
  <si>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</si>
  <si>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</si>
  <si>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</si>
  <si>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</si>
  <si>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</si>
  <si>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</si>
  <si>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</si>
  <si>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</si>
  <si>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</si>
  <si>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</si>
  <si>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</si>
  <si>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</si>
  <si>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</si>
  <si>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</si>
  <si>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</si>
  <si>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</si>
  <si>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</si>
  <si>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</si>
  <si>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</si>
  <si>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</si>
  <si>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</si>
  <si>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</si>
  <si>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</si>
  <si>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</si>
  <si>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</si>
  <si>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</si>
  <si>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</si>
  <si>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</si>
  <si>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</si>
  <si>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</si>
  <si>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</si>
  <si>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</si>
  <si>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</si>
  <si>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</si>
  <si>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</si>
  <si>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</si>
  <si>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</si>
  <si>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</si>
  <si>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</si>
  <si>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</si>
  <si>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</si>
  <si>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</si>
  <si>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</si>
  <si>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</si>
  <si>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</si>
  <si>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</si>
  <si>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</si>
  <si>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</si>
  <si>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</si>
  <si>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</si>
  <si>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</si>
  <si>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</si>
  <si>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</si>
  <si>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</si>
  <si>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</si>
  <si>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</si>
  <si>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</si>
  <si>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</si>
  <si>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</si>
  <si>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</si>
  <si>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</si>
  <si>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</si>
  <si>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</si>
  <si>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</si>
  <si>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</si>
  <si>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</si>
  <si>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</si>
  <si>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</si>
  <si>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</si>
  <si>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</si>
  <si>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</si>
  <si>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</si>
  <si>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</si>
  <si>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</si>
  <si>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</si>
  <si>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</si>
  <si>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</si>
  <si>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</si>
  <si>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</si>
  <si>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</si>
  <si>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</si>
  <si>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</si>
  <si>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</si>
  <si>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</si>
  <si>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</si>
  <si>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</si>
  <si>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</si>
  <si>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</si>
  <si>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</si>
  <si>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</si>
  <si>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</si>
  <si>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</si>
  <si>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</si>
  <si>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</si>
  <si>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</si>
  <si>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</si>
  <si>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</si>
  <si>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</si>
  <si>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</si>
  <si>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</si>
  <si>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</si>
  <si>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</si>
  <si>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</si>
  <si>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</si>
  <si>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</si>
  <si>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</si>
  <si>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</si>
  <si>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</si>
  <si>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</si>
  <si>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</si>
  <si>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</si>
  <si>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</si>
  <si>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</si>
  <si>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</si>
  <si>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</si>
  <si>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</si>
  <si>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</si>
  <si>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</si>
  <si>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</si>
  <si>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</si>
  <si>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</si>
  <si>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</si>
  <si>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</si>
  <si>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</si>
  <si>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</si>
  <si>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</si>
  <si>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</si>
  <si>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</si>
  <si>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</si>
  <si>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</si>
  <si>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</si>
  <si>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</si>
  <si>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</si>
  <si>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</si>
  <si>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</si>
  <si>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</si>
  <si>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</si>
  <si>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</si>
  <si>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</si>
  <si>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</si>
  <si>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</si>
  <si>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</si>
  <si>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</si>
  <si>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</si>
  <si>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</si>
  <si>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</si>
  <si>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</si>
  <si>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</si>
  <si>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</si>
  <si>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</si>
  <si>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</si>
  <si>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</si>
  <si>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</si>
  <si>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</si>
  <si>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</si>
  <si>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</si>
  <si>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</si>
  <si>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</si>
  <si>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</si>
  <si>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</si>
  <si>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</si>
  <si>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</si>
  <si>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</si>
  <si>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</si>
  <si>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</si>
  <si>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</si>
  <si>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</si>
  <si>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</si>
  <si>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</si>
  <si>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</si>
  <si>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</si>
  <si>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</si>
  <si>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</si>
  <si>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</si>
  <si>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</si>
  <si>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</si>
  <si>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</si>
  <si>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</si>
  <si>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</si>
  <si>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</si>
  <si>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</si>
  <si>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</si>
  <si>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</si>
  <si>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</si>
  <si>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</si>
  <si>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</si>
  <si>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</si>
  <si>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</si>
  <si>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</si>
  <si>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</si>
  <si>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</si>
  <si>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</si>
  <si>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</si>
  <si>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</si>
  <si>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</si>
  <si>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</si>
  <si>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</si>
  <si>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</si>
  <si>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</si>
  <si>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</si>
  <si>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</si>
  <si>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</si>
  <si>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</si>
  <si>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</si>
  <si>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</si>
  <si>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</si>
  <si>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</si>
  <si>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</si>
  <si>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</si>
  <si>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</si>
  <si>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</si>
  <si>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</si>
  <si>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</si>
  <si>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</si>
  <si>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</si>
  <si>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</si>
  <si>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</si>
  <si>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</si>
  <si>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</si>
  <si>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</si>
  <si>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</si>
  <si>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</si>
  <si>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</si>
  <si>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</si>
  <si>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</si>
  <si>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</si>
  <si>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</si>
  <si>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</si>
  <si>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</si>
  <si>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</si>
  <si>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</si>
  <si>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</si>
  <si>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</si>
  <si>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</si>
  <si>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</si>
  <si>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</si>
  <si>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</si>
  <si>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</si>
  <si>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</si>
  <si>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</si>
  <si>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</si>
  <si>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</si>
  <si>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</si>
  <si>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</si>
  <si>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</si>
  <si>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</si>
  <si>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</si>
  <si>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</si>
  <si>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</si>
  <si>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</si>
  <si>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</si>
  <si>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</si>
  <si>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</si>
  <si>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</si>
  <si>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</si>
  <si>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</si>
  <si>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</si>
  <si>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</si>
  <si>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</si>
  <si>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</si>
  <si>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</si>
  <si>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</si>
  <si>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</si>
  <si>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</si>
  <si>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</si>
  <si>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</si>
  <si>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</si>
  <si>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</si>
  <si>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</si>
  <si>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</si>
  <si>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</si>
  <si>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</si>
  <si>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</si>
  <si>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</si>
  <si>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</si>
  <si>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</si>
  <si>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</si>
  <si>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</si>
  <si>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</si>
  <si>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</si>
  <si>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</si>
  <si>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</si>
  <si>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</si>
  <si>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</si>
  <si>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</si>
  <si>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</si>
  <si>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</si>
  <si>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</si>
  <si>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</si>
  <si>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</si>
  <si>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</si>
  <si>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</si>
  <si>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</si>
  <si>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</si>
  <si>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</si>
  <si>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</si>
  <si>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</si>
  <si>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</si>
  <si>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</si>
  <si>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</si>
  <si>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</si>
  <si>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</si>
  <si>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</si>
  <si>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</si>
  <si>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</si>
  <si>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</si>
  <si>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</si>
  <si>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</si>
  <si>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</si>
  <si>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</si>
  <si>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</si>
  <si>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</si>
  <si>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</si>
  <si>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</si>
  <si>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</si>
  <si>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</si>
  <si>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</si>
  <si>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</si>
  <si>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</si>
  <si>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</si>
  <si>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</si>
  <si>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</si>
  <si>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</si>
  <si>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</si>
  <si>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</si>
  <si>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</si>
  <si>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</si>
  <si>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</si>
  <si>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</si>
  <si>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</si>
  <si>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</si>
  <si>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</si>
  <si>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</si>
  <si>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</si>
  <si>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</si>
  <si>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</si>
  <si>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</si>
  <si>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</si>
  <si>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</si>
  <si>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</si>
  <si>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</si>
  <si>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</si>
  <si>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</si>
  <si>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</si>
  <si>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</si>
  <si>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</si>
  <si>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</si>
  <si>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</si>
  <si>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</si>
  <si>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</si>
  <si>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</si>
  <si>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</si>
  <si>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</si>
  <si>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</si>
  <si>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</si>
  <si>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</si>
  <si>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</si>
  <si>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</si>
  <si>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</si>
  <si>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</si>
  <si>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</si>
  <si>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</si>
  <si>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</si>
  <si>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</si>
  <si>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</si>
  <si>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</si>
  <si>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</si>
  <si>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</si>
  <si>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</si>
  <si>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</si>
  <si>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</si>
  <si>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</si>
  <si>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</si>
  <si>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</si>
  <si>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</si>
  <si>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</si>
  <si>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</si>
  <si>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</si>
  <si>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</si>
  <si>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</si>
  <si>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</si>
  <si>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</si>
  <si>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</si>
  <si>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</si>
  <si>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</si>
  <si>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</si>
  <si>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</si>
  <si>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</si>
  <si>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</si>
  <si>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</si>
  <si>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</si>
  <si>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</si>
  <si>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</si>
  <si>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</si>
  <si>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</si>
  <si>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</si>
  <si>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</si>
  <si>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</si>
  <si>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</si>
  <si>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</si>
  <si>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</si>
  <si>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</si>
  <si>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</si>
  <si>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</si>
  <si>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</si>
  <si>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</si>
  <si>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</si>
  <si>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</si>
  <si>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</si>
  <si>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</si>
  <si>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</si>
  <si>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</si>
  <si>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</si>
  <si>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</si>
  <si>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</si>
  <si>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</si>
  <si>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</si>
  <si>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</si>
  <si>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</si>
  <si>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</si>
  <si>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</si>
  <si>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</si>
  <si>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</si>
  <si>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</si>
  <si>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</si>
  <si>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</si>
  <si>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</si>
  <si>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</si>
  <si>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</si>
  <si>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</si>
  <si>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</si>
  <si>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</si>
  <si>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</si>
  <si>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</si>
  <si>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</si>
  <si>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</si>
  <si>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</si>
  <si>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</si>
  <si>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</si>
  <si>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</si>
  <si>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</si>
  <si>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</si>
  <si>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</si>
  <si>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</si>
  <si>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</si>
  <si>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</si>
  <si>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</si>
  <si>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</si>
  <si>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</si>
  <si>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</si>
  <si>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</si>
  <si>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</si>
  <si>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</si>
  <si>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</si>
  <si>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</si>
  <si>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</si>
  <si>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</si>
  <si>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</si>
  <si>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</si>
  <si>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</si>
  <si>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</si>
  <si>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</si>
  <si>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</si>
  <si>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</si>
  <si>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</si>
  <si>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</si>
  <si>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</si>
  <si>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</si>
  <si>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</si>
  <si>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</si>
  <si>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</si>
  <si>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</si>
  <si>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</si>
  <si>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</si>
  <si>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</si>
  <si>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</si>
  <si>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</si>
  <si>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</si>
  <si>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</si>
  <si>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</si>
  <si>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</si>
  <si>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</si>
  <si>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</si>
  <si>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</si>
  <si>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</si>
  <si>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</si>
  <si>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</si>
  <si>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</si>
  <si>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</si>
  <si>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</si>
  <si>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</si>
  <si>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</si>
  <si>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</si>
  <si>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</si>
  <si>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</si>
  <si>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</si>
  <si>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</si>
  <si>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</si>
  <si>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</si>
  <si>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</si>
  <si>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</si>
  <si>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</si>
  <si>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</si>
  <si>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</si>
  <si>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</si>
  <si>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</si>
  <si>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</si>
  <si>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</si>
  <si>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</si>
  <si>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</si>
  <si>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</si>
  <si>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</si>
  <si>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</si>
  <si>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</si>
  <si>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</si>
  <si>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</si>
  <si>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</si>
  <si>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</si>
  <si>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</si>
  <si>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</si>
  <si>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</si>
  <si>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</si>
  <si>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</si>
  <si>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</si>
  <si>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</si>
  <si>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</si>
  <si>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</si>
  <si>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</si>
  <si>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</si>
  <si>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</si>
  <si>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</si>
  <si>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</si>
  <si>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</si>
  <si>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</si>
  <si>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</si>
  <si>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</si>
  <si>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</si>
  <si>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</si>
  <si>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</si>
  <si>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</si>
  <si>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</si>
  <si>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</si>
  <si>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</si>
  <si>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</si>
  <si>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</si>
  <si>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</si>
  <si>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</si>
  <si>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</si>
  <si>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</si>
  <si>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</si>
  <si>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</si>
  <si>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</si>
  <si>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</si>
  <si>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</si>
  <si>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</si>
  <si>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</si>
  <si>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</si>
  <si>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</si>
  <si>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</si>
  <si>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</si>
  <si>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</si>
  <si>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</si>
  <si>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</si>
  <si>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</si>
  <si>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</si>
  <si>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</si>
  <si>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</si>
  <si>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</si>
  <si>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</si>
  <si>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</si>
  <si>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</si>
  <si>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</si>
  <si>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</si>
  <si>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</si>
  <si>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</si>
  <si>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</si>
  <si>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</si>
  <si>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</si>
  <si>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</si>
  <si>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</si>
  <si>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</si>
  <si>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</si>
  <si>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</si>
  <si>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</si>
  <si>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</si>
  <si>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</si>
  <si>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</si>
  <si>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</si>
  <si>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</si>
  <si>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</si>
  <si>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</si>
  <si>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</si>
  <si>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</si>
  <si>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</si>
  <si>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</si>
  <si>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</si>
  <si>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</si>
  <si>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</si>
  <si>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</si>
  <si>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</si>
  <si>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</si>
  <si>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</si>
  <si>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</si>
  <si>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</si>
  <si>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</si>
  <si>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</si>
  <si>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</si>
  <si>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</si>
  <si>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</si>
  <si>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</si>
  <si>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</si>
  <si>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</si>
  <si>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</si>
  <si>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</si>
  <si>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</si>
  <si>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</si>
  <si>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</si>
  <si>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</si>
  <si>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</si>
  <si>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</si>
  <si>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</si>
  <si>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</si>
  <si>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</si>
  <si>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</si>
  <si>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</si>
  <si>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</si>
  <si>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</si>
  <si>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</si>
  <si>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</si>
  <si>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</si>
  <si>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</si>
  <si>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</si>
  <si>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</si>
  <si>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</si>
  <si>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</si>
  <si>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</si>
  <si>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</si>
  <si>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</si>
  <si>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</si>
  <si>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</si>
  <si>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</si>
  <si>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</si>
  <si>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</si>
  <si>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</si>
  <si>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</si>
  <si>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</si>
  <si>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</si>
  <si>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</si>
  <si>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</si>
  <si>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</si>
  <si>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</si>
  <si>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</si>
  <si>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</si>
  <si>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</si>
  <si>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</si>
  <si>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</si>
  <si>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</si>
  <si>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</si>
  <si>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</si>
  <si>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</si>
  <si>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</si>
  <si>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</si>
  <si>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</si>
  <si>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</si>
  <si>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</si>
  <si>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</si>
  <si>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</si>
  <si>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</si>
  <si>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</si>
  <si>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</si>
  <si>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</si>
  <si>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</si>
  <si>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</si>
  <si>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</si>
  <si>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</si>
  <si>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</si>
  <si>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</si>
  <si>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</si>
  <si>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</si>
  <si>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</si>
  <si>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</si>
  <si>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</si>
  <si>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</si>
  <si>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</si>
  <si>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</si>
  <si>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</si>
  <si>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</si>
  <si>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</si>
  <si>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</si>
  <si>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</si>
  <si>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</si>
  <si>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</si>
  <si>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</si>
  <si>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</si>
  <si>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</si>
  <si>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</si>
  <si>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</si>
  <si>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</si>
  <si>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</si>
  <si>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</si>
  <si>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</si>
  <si>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</si>
  <si>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</si>
  <si>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</si>
  <si>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</si>
  <si>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</si>
  <si>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</si>
  <si>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</si>
  <si>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</si>
  <si>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</si>
  <si>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</si>
  <si>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</si>
  <si>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</si>
  <si>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</si>
  <si>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</si>
  <si>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</si>
  <si>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</si>
  <si>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</si>
  <si>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</si>
  <si>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</si>
  <si>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</si>
  <si>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</si>
  <si>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</si>
  <si>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</si>
  <si>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</si>
  <si>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</si>
  <si>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</si>
  <si>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</si>
  <si>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</si>
  <si>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</si>
  <si>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</si>
  <si>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</si>
  <si>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</si>
  <si>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</si>
  <si>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</si>
  <si>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</si>
  <si>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</si>
  <si>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</si>
  <si>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</si>
  <si>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</si>
  <si>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</si>
  <si>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</si>
  <si>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</si>
  <si>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</si>
  <si>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</si>
  <si>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</si>
  <si>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</si>
  <si>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</si>
  <si>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</si>
  <si>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</si>
  <si>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</si>
  <si>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</si>
  <si>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</si>
  <si>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</si>
  <si>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</si>
  <si>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</si>
  <si>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</si>
  <si>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</si>
  <si>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</si>
  <si>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</si>
  <si>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</si>
  <si>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</si>
  <si>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</si>
  <si>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</si>
  <si>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</si>
  <si>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</si>
  <si>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</si>
  <si>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</si>
  <si>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</si>
  <si>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</si>
  <si>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</si>
  <si>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</si>
  <si>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</si>
  <si>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</si>
  <si>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</si>
  <si>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</si>
  <si>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</si>
  <si>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</si>
  <si>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</si>
  <si>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</si>
  <si>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</si>
  <si>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</si>
  <si>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</si>
  <si>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</si>
  <si>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</si>
  <si>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</si>
  <si>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</si>
  <si>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</si>
  <si>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</si>
  <si>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</si>
  <si>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</si>
  <si>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</si>
  <si>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</si>
  <si>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</si>
  <si>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</si>
  <si>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</si>
  <si>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</si>
  <si>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</si>
  <si>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</si>
  <si>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</si>
  <si>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</si>
  <si>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</si>
  <si>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</si>
  <si>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</si>
  <si>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</si>
  <si>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</si>
  <si>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</si>
  <si>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</si>
  <si>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</si>
  <si>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</si>
  <si>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</si>
  <si>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</si>
  <si>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</si>
  <si>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</si>
  <si>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</si>
  <si>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</si>
  <si>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</si>
  <si>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</si>
  <si>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</si>
  <si>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</si>
  <si>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</si>
  <si>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</si>
  <si>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</si>
  <si>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</si>
  <si>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</si>
  <si>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</si>
  <si>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</si>
  <si>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</si>
  <si>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</si>
  <si>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</si>
  <si>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</si>
  <si>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</si>
  <si>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</si>
  <si>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</si>
  <si>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</si>
  <si>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</si>
  <si>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</si>
  <si>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</si>
  <si>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</si>
  <si>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</si>
  <si>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</si>
  <si>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</si>
  <si>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</si>
  <si>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</si>
  <si>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</si>
  <si>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</si>
  <si>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</si>
  <si>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</si>
  <si>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</si>
  <si>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</si>
  <si>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</si>
  <si>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</si>
  <si>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</si>
  <si>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</si>
  <si>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</si>
  <si>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</si>
  <si>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</si>
  <si>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</si>
  <si>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</si>
  <si>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</si>
  <si>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</si>
  <si>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</si>
  <si>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</si>
  <si>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</si>
  <si>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</si>
  <si>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</si>
  <si>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</si>
  <si>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</si>
  <si>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</si>
  <si>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</si>
  <si>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</si>
  <si>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</si>
  <si>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</si>
  <si>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</si>
  <si>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</si>
  <si>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</si>
  <si>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</si>
  <si>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</si>
  <si>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</si>
  <si>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</si>
  <si>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</si>
  <si>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</si>
  <si>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</si>
  <si>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</si>
  <si>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</si>
  <si>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</si>
  <si>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</si>
  <si>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</si>
  <si>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</si>
  <si>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</si>
  <si>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</si>
  <si>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</si>
  <si>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</si>
  <si>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</si>
  <si>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</si>
  <si>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</si>
  <si>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</si>
  <si>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</si>
  <si>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</si>
  <si>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</si>
  <si>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</si>
  <si>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</si>
  <si>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</si>
  <si>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</si>
  <si>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</si>
  <si>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</si>
  <si>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</si>
  <si>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</si>
  <si>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</si>
  <si>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</si>
  <si>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</si>
  <si>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</si>
  <si>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</si>
  <si>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</si>
  <si>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</si>
  <si>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</si>
  <si>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</si>
  <si>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</si>
  <si>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</si>
  <si>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</si>
  <si>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</si>
  <si>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</si>
  <si>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</si>
  <si>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</si>
  <si>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</si>
  <si>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</si>
  <si>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</si>
  <si>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</si>
  <si>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</si>
  <si>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</si>
  <si>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</si>
  <si>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</si>
  <si>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</si>
  <si>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</si>
  <si>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</si>
  <si>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</si>
  <si>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</si>
  <si>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</si>
  <si>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</si>
  <si>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</si>
  <si>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</si>
  <si>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</si>
  <si>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</si>
  <si>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</si>
  <si>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</si>
  <si>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</si>
  <si>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</si>
  <si>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</si>
  <si>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</si>
  <si>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</si>
  <si>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</si>
  <si>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</si>
  <si>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</si>
  <si>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</si>
  <si>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</si>
  <si>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</si>
  <si>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</si>
  <si>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</si>
  <si>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</si>
  <si>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</si>
  <si>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</si>
  <si>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</si>
  <si>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</si>
  <si>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</si>
  <si>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</si>
  <si>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</si>
  <si>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</si>
  <si>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</si>
  <si>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</si>
  <si>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</si>
  <si>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</si>
  <si>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</si>
  <si>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</si>
  <si>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</si>
  <si>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</si>
  <si>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</si>
  <si>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</si>
  <si>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</si>
  <si>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</si>
  <si>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</si>
  <si>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</si>
  <si>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</si>
  <si>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</si>
  <si>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</si>
  <si>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</si>
  <si>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</si>
  <si>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</si>
  <si>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</si>
  <si>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</si>
  <si>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</si>
  <si>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</si>
  <si>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</si>
  <si>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</si>
  <si>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</si>
  <si>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</si>
  <si>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</si>
  <si>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</si>
  <si>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</si>
  <si>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</si>
  <si>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</si>
  <si>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</si>
  <si>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</si>
  <si>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</si>
  <si>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</si>
  <si>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</si>
  <si>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</si>
  <si>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</si>
  <si>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</si>
  <si>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</si>
  <si>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</si>
  <si>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</si>
  <si>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</si>
  <si>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</si>
  <si>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</si>
  <si>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</si>
  <si>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</si>
  <si>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</si>
  <si>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</si>
  <si>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</si>
  <si>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</si>
  <si>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</si>
  <si>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</si>
  <si>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</si>
  <si>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</si>
  <si>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</si>
  <si>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</si>
  <si>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</si>
  <si>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</si>
  <si>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</si>
  <si>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</si>
  <si>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</si>
  <si>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</si>
  <si>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</si>
  <si>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</si>
  <si>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</si>
  <si>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</si>
  <si>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</si>
  <si>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</si>
  <si>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</si>
  <si>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</si>
  <si>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</si>
  <si>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</si>
  <si>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</si>
  <si>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</si>
  <si>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</si>
  <si>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</si>
  <si>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</si>
  <si>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</si>
  <si>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</si>
  <si>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</si>
  <si>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</si>
  <si>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</si>
  <si>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</si>
  <si>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</si>
  <si>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</si>
  <si>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</si>
  <si>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</si>
  <si>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</si>
  <si>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</si>
  <si>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</si>
  <si>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</si>
  <si>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</si>
  <si>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</si>
  <si>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</si>
  <si>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</si>
  <si>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</si>
  <si>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</si>
  <si>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</si>
  <si>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</si>
  <si>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</si>
  <si>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</si>
  <si>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</si>
  <si>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</si>
  <si>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</si>
  <si>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</si>
  <si>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</si>
  <si>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</si>
  <si>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</si>
  <si>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</si>
  <si>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</si>
  <si>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</si>
  <si>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</si>
  <si>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</si>
  <si>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</si>
  <si>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</si>
  <si>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</si>
  <si>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</si>
  <si>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</si>
  <si>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</si>
  <si>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</si>
  <si>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</si>
  <si>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</si>
  <si>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</si>
  <si>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</si>
  <si>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</si>
  <si>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</si>
  <si>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</si>
  <si>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</si>
  <si>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</si>
  <si>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</si>
  <si>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</si>
  <si>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</si>
  <si>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</si>
  <si>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</si>
  <si>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</si>
  <si>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</si>
  <si>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</si>
  <si>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</si>
  <si>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</si>
  <si>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</si>
  <si>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</si>
  <si>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</si>
  <si>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</si>
  <si>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</si>
  <si>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</si>
  <si>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</si>
  <si>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</si>
  <si>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</si>
  <si>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</si>
  <si>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</si>
  <si>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</si>
  <si>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</si>
  <si>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</si>
  <si>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</si>
  <si>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</si>
  <si>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</si>
  <si>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</si>
  <si>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</si>
  <si>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</si>
  <si>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</si>
  <si>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</si>
  <si>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</si>
  <si>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</si>
  <si>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</si>
  <si>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</si>
  <si>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</si>
  <si>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</si>
  <si>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</si>
  <si>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</si>
  <si>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</si>
  <si>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</si>
  <si>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</si>
  <si>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</si>
  <si>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</si>
  <si>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</si>
  <si>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</si>
  <si>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</si>
  <si>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</si>
  <si>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</si>
  <si>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</si>
  <si>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</si>
  <si>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</si>
  <si>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</si>
  <si>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</si>
  <si>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</si>
  <si>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</si>
  <si>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</si>
  <si>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</si>
  <si>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</si>
  <si>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</si>
  <si>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</si>
  <si>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</si>
  <si>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</si>
  <si>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</si>
  <si>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</si>
  <si>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</si>
  <si>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</si>
  <si>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</si>
  <si>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</si>
  <si>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</si>
  <si>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</si>
  <si>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</si>
  <si>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</si>
  <si>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</si>
  <si>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</si>
  <si>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</si>
  <si>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</si>
  <si>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</si>
  <si>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</si>
  <si>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</si>
  <si>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</si>
  <si>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</si>
  <si>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</si>
  <si>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</si>
  <si>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</si>
  <si>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</si>
  <si>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</si>
  <si>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</si>
  <si>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</si>
  <si>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</si>
  <si>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</si>
  <si>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</si>
  <si>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</si>
  <si>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</si>
  <si>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</si>
  <si>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</si>
  <si>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</si>
  <si>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</si>
  <si>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</si>
  <si>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</si>
  <si>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</si>
  <si>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</si>
  <si>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</si>
  <si>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</si>
  <si>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</si>
  <si>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</si>
  <si>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</si>
  <si>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</si>
  <si>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</si>
  <si>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</si>
  <si>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</si>
  <si>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</si>
  <si>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</si>
  <si>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</si>
  <si>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</si>
  <si>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</si>
  <si>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</si>
  <si>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</si>
  <si>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</si>
  <si>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</si>
  <si>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</si>
  <si>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</si>
  <si>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</si>
  <si>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</si>
  <si>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</si>
  <si>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</si>
  <si>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</si>
  <si>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</si>
  <si>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</si>
  <si>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</si>
  <si>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</si>
  <si>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</si>
  <si>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</si>
  <si>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</si>
  <si>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</si>
  <si>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</si>
  <si>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</si>
  <si>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</si>
  <si>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</si>
  <si>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</si>
  <si>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</si>
  <si>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</si>
  <si>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</si>
  <si>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</si>
  <si>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</si>
  <si>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</si>
  <si>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</si>
  <si>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</si>
  <si>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</si>
  <si>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</si>
  <si>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</si>
  <si>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</si>
  <si>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</si>
  <si>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</si>
  <si>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</si>
  <si>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</si>
  <si>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</si>
  <si>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</si>
  <si>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</si>
  <si>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</si>
  <si>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</si>
  <si>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</si>
  <si>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</si>
  <si>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</si>
  <si>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</si>
  <si>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</si>
  <si>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</si>
  <si>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</si>
  <si>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</si>
  <si>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</si>
  <si>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</si>
  <si>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</si>
  <si>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</si>
  <si>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</si>
  <si>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</si>
  <si>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</si>
  <si>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</si>
  <si>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</si>
  <si>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</si>
  <si>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</si>
  <si>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</si>
  <si>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</si>
  <si>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</si>
  <si>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</si>
  <si>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</si>
  <si>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</si>
  <si>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</si>
  <si>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</si>
  <si>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</si>
  <si>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</si>
  <si>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</si>
  <si>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</si>
  <si>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</si>
  <si>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</si>
  <si>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</si>
  <si>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</si>
  <si>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</si>
  <si>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</si>
  <si>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</si>
  <si>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</si>
  <si>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</si>
  <si>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</si>
  <si>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</si>
  <si>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</si>
  <si>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</si>
  <si>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</si>
  <si>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</si>
  <si>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</si>
  <si>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</si>
  <si>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</si>
  <si>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</si>
  <si>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</si>
  <si>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</si>
  <si>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</si>
  <si>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</si>
  <si>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</si>
  <si>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</si>
  <si>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</si>
  <si>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</si>
  <si>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</si>
  <si>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</si>
  <si>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</si>
  <si>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</si>
  <si>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</si>
  <si>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</si>
  <si>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</si>
  <si>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</si>
  <si>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</si>
  <si>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</si>
  <si>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</si>
  <si>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</si>
  <si>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</si>
  <si>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</si>
  <si>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</si>
  <si>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</si>
  <si>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</si>
  <si>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</si>
  <si>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</si>
  <si>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</si>
  <si>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</si>
  <si>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</si>
  <si>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</si>
  <si>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</si>
  <si>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</si>
  <si>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</si>
  <si>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</si>
  <si>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</si>
  <si>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</si>
  <si>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</si>
  <si>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</si>
  <si>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</si>
  <si>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</si>
  <si>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</si>
  <si>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</si>
  <si>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</si>
  <si>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</si>
  <si>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</si>
  <si>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</si>
  <si>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</si>
  <si>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</si>
  <si>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</si>
  <si>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</si>
  <si>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</si>
  <si>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</si>
  <si>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</si>
  <si>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</si>
  <si>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</si>
  <si>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</si>
  <si>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</si>
  <si>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</si>
  <si>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</si>
  <si>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</si>
  <si>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</si>
  <si>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</si>
  <si>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</si>
  <si>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</si>
  <si>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</si>
  <si>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</si>
  <si>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</si>
  <si>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</si>
  <si>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</si>
  <si>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</si>
  <si>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</si>
  <si>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</si>
  <si>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</si>
  <si>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</si>
  <si>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</si>
  <si>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</si>
  <si>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</si>
  <si>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</si>
  <si>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</si>
  <si>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</si>
  <si>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</si>
  <si>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</si>
  <si>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</si>
  <si>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</si>
  <si>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</si>
  <si>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</si>
  <si>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</si>
  <si>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</si>
  <si>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</si>
  <si>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</si>
  <si>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</si>
  <si>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</si>
  <si>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</si>
  <si>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</si>
  <si>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</si>
  <si>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</si>
  <si>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</si>
  <si>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</si>
  <si>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</si>
  <si>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</si>
  <si>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</si>
  <si>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</si>
  <si>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</si>
  <si>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</si>
  <si>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</si>
  <si>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</si>
  <si>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</si>
  <si>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</si>
  <si>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</si>
  <si>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</si>
  <si>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</si>
  <si>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</si>
  <si>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</si>
  <si>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</si>
  <si>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</si>
  <si>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</si>
  <si>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</si>
  <si>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</si>
  <si>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</si>
  <si>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</si>
  <si>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</si>
  <si>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</si>
  <si>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</si>
  <si>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</si>
  <si>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</si>
  <si>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</si>
  <si>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</si>
  <si>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</si>
  <si>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</si>
  <si>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</si>
  <si>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</si>
  <si>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</si>
  <si>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</si>
  <si>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</si>
  <si>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</si>
  <si>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</si>
  <si>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</si>
  <si>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</si>
  <si>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</si>
  <si>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</si>
  <si>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</si>
  <si>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</si>
  <si>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</si>
  <si>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</si>
  <si>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</si>
  <si>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</si>
  <si>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</si>
  <si>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</si>
  <si>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</si>
  <si>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</si>
  <si>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</si>
  <si>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</si>
  <si>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</si>
  <si>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</si>
  <si>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</si>
  <si>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</si>
  <si>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</si>
  <si>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</si>
  <si>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</si>
  <si>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</si>
  <si>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</si>
  <si>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</si>
  <si>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</si>
  <si>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</si>
  <si>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</si>
  <si>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</si>
  <si>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</si>
  <si>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</si>
  <si>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</si>
  <si>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</si>
  <si>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</si>
  <si>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</si>
  <si>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</si>
  <si>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</si>
  <si>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</si>
  <si>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</si>
  <si>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</si>
  <si>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</si>
  <si>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</si>
  <si>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</si>
  <si>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</si>
  <si>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</si>
  <si>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</si>
  <si>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</si>
  <si>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</si>
  <si>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</si>
  <si>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</si>
  <si>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</si>
  <si>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</si>
  <si>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</si>
  <si>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</si>
  <si>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</si>
  <si>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</si>
  <si>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</si>
  <si>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</si>
  <si>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</si>
  <si>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</si>
  <si>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</si>
  <si>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</si>
  <si>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</si>
  <si>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</si>
  <si>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</si>
  <si>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</si>
  <si>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</si>
  <si>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</si>
  <si>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</si>
  <si>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</si>
  <si>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</si>
  <si>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</si>
  <si>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</si>
  <si>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</si>
  <si>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</si>
  <si>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</si>
  <si>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</si>
  <si>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</si>
  <si>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</si>
  <si>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</si>
  <si>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</si>
  <si>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</si>
  <si>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</si>
  <si>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</si>
  <si>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</si>
  <si>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</si>
  <si>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</si>
  <si>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</si>
  <si>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</si>
  <si>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</si>
  <si>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</si>
  <si>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</si>
  <si>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</si>
  <si>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</si>
  <si>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</si>
  <si>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</si>
  <si>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</si>
  <si>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</si>
  <si>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</si>
  <si>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</si>
  <si>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</si>
  <si>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</si>
  <si>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</si>
  <si>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</si>
  <si>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</si>
  <si>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</si>
  <si>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</si>
  <si>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</si>
  <si>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</si>
  <si>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</si>
  <si>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</si>
  <si>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</si>
  <si>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</si>
  <si>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</si>
  <si>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</si>
  <si>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</si>
  <si>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</si>
  <si>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</si>
  <si>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</si>
  <si>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</si>
  <si>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</si>
  <si>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</si>
  <si>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</si>
  <si>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</si>
  <si>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</si>
  <si>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</si>
  <si>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</si>
  <si>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</si>
  <si>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</si>
  <si>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</si>
  <si>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</si>
  <si>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</si>
  <si>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</si>
  <si>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</si>
  <si>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</si>
  <si>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</si>
  <si>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</si>
  <si>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</si>
  <si>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</si>
  <si>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</si>
  <si>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</si>
  <si>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</si>
  <si>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</si>
  <si>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</si>
  <si>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</si>
  <si>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</si>
  <si>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</si>
  <si>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</si>
  <si>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</si>
  <si>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</si>
  <si>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</si>
  <si>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</si>
  <si>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</si>
  <si>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</si>
  <si>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</si>
  <si>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</si>
  <si>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</si>
  <si>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</si>
  <si>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</si>
  <si>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</si>
  <si>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</si>
  <si>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</si>
  <si>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</si>
  <si>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</si>
  <si>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</si>
  <si>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</si>
  <si>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</si>
  <si>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</si>
  <si>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</si>
  <si>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</si>
  <si>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</si>
  <si>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</si>
  <si>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</si>
  <si>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</si>
  <si>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</si>
  <si>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</si>
  <si>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</si>
  <si>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</si>
  <si>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</si>
  <si>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</si>
  <si>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</si>
  <si>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</si>
  <si>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</si>
  <si>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</si>
  <si>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</si>
  <si>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</si>
  <si>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</si>
  <si>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</si>
  <si>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</si>
  <si>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</si>
  <si>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</si>
  <si>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</si>
  <si>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</si>
  <si>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</si>
  <si>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</si>
  <si>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</si>
  <si>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</si>
  <si>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</si>
  <si>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</si>
  <si>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</si>
  <si>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</si>
  <si>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</si>
  <si>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</si>
  <si>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</si>
  <si>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</si>
  <si>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</si>
  <si>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</si>
  <si>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</si>
  <si>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</si>
  <si>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</si>
  <si>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</si>
  <si>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</si>
  <si>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</si>
  <si>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</si>
  <si>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</si>
  <si>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</si>
  <si>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</si>
  <si>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</si>
  <si>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</si>
  <si>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</si>
  <si>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</si>
  <si>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</si>
  <si>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</si>
  <si>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</si>
  <si>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</si>
  <si>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</si>
  <si>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</si>
  <si>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</si>
  <si>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</si>
  <si>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</si>
  <si>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</si>
  <si>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</si>
  <si>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</si>
  <si>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</si>
  <si>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</si>
  <si>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</si>
  <si>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</si>
  <si>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</si>
  <si>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</si>
  <si>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</si>
  <si>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</si>
  <si>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</si>
  <si>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</si>
  <si>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</si>
  <si>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</si>
  <si>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</si>
  <si>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</si>
  <si>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</si>
  <si>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</si>
  <si>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</si>
  <si>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</si>
  <si>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</si>
  <si>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</si>
  <si>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</si>
  <si>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</si>
  <si>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</si>
  <si>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</si>
  <si>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</si>
  <si>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</si>
  <si>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</si>
  <si>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</si>
  <si>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</si>
  <si>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</si>
  <si>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</si>
  <si>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</si>
  <si>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</si>
  <si>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</si>
  <si>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</si>
  <si>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</si>
  <si>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</si>
  <si>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</si>
  <si>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</si>
  <si>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</si>
  <si>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</si>
  <si>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</si>
  <si>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</si>
  <si>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</si>
  <si>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</si>
  <si>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</si>
  <si>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</si>
  <si>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</si>
  <si>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</si>
  <si>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</si>
  <si>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</si>
  <si>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</si>
  <si>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</si>
  <si>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</si>
  <si>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</si>
  <si>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</si>
  <si>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</si>
  <si>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</si>
  <si>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</si>
  <si>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</si>
  <si>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</si>
  <si>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</si>
  <si>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</si>
  <si>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</si>
  <si>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</si>
  <si>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</si>
  <si>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</si>
  <si>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</si>
  <si>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</si>
  <si>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</si>
  <si>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</si>
  <si>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</si>
  <si>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</si>
  <si>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</si>
  <si>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</si>
  <si>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</si>
  <si>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</si>
  <si>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</si>
  <si>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</si>
  <si>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</si>
  <si>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</si>
  <si>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</si>
  <si>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</si>
  <si>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</si>
  <si>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</si>
  <si>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</si>
  <si>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</si>
  <si>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</si>
  <si>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</si>
  <si>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</si>
  <si>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</si>
  <si>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</si>
  <si>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</si>
  <si>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</si>
  <si>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</si>
  <si>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</si>
  <si>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</si>
  <si>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</si>
  <si>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</si>
  <si>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</si>
  <si>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</si>
  <si>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</si>
  <si>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</si>
  <si>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</si>
  <si>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</si>
  <si>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</si>
  <si>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</si>
  <si>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</si>
  <si>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</si>
  <si>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</si>
  <si>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</si>
  <si>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</si>
  <si>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</si>
  <si>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</si>
  <si>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</si>
  <si>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</si>
  <si>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</si>
  <si>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</si>
  <si>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</si>
  <si>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</si>
  <si>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</si>
  <si>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</si>
  <si>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</si>
  <si>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</si>
  <si>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</si>
  <si>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</si>
  <si>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</si>
  <si>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</si>
  <si>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</si>
  <si>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</si>
  <si>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</si>
  <si>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</si>
  <si>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</si>
  <si>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</si>
  <si>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</si>
  <si>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</si>
  <si>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</si>
  <si>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</si>
  <si>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</si>
  <si>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</si>
  <si>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</si>
  <si>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</si>
  <si>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</si>
  <si>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</si>
  <si>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</si>
  <si>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</si>
  <si>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</si>
  <si>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</si>
  <si>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</si>
  <si>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</si>
  <si>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</si>
  <si>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</si>
  <si>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</si>
  <si>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</si>
  <si>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</si>
  <si>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</si>
  <si>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</si>
  <si>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</si>
  <si>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</si>
  <si>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</si>
  <si>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</si>
  <si>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</si>
  <si>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</si>
  <si>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</si>
  <si>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</si>
  <si>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</si>
  <si>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</si>
  <si>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</si>
  <si>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</si>
  <si>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</si>
  <si>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</si>
  <si>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</si>
  <si>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</si>
  <si>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</si>
  <si>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</si>
  <si>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</si>
  <si>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</si>
  <si>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</si>
  <si>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</si>
  <si>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</si>
  <si>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</si>
  <si>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</si>
  <si>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</si>
  <si>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</si>
  <si>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</si>
  <si>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</si>
  <si>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</si>
  <si>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</si>
  <si>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</si>
  <si>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</si>
  <si>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</si>
  <si>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</si>
  <si>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</si>
  <si>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</si>
  <si>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</si>
  <si>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</si>
  <si>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</si>
  <si>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</si>
  <si>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</si>
  <si>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</si>
  <si>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</si>
  <si>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</si>
  <si>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</si>
  <si>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</si>
  <si>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</si>
  <si>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</si>
  <si>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</si>
  <si>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</si>
  <si>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</si>
  <si>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</si>
  <si>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</si>
  <si>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</si>
  <si>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</si>
  <si>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</si>
  <si>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</si>
  <si>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</si>
  <si>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</si>
  <si>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</si>
  <si>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</si>
  <si>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</si>
  <si>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</si>
  <si>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</si>
  <si>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</si>
  <si>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</si>
  <si>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</si>
  <si>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</si>
  <si>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</si>
  <si>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</si>
  <si>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</si>
  <si>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</si>
  <si>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</si>
  <si>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</si>
  <si>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</si>
  <si>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</si>
  <si>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</si>
  <si>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</si>
  <si>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</si>
  <si>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</si>
  <si>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</si>
  <si>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</si>
  <si>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</si>
  <si>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</si>
  <si>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</si>
  <si>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</si>
  <si>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</si>
  <si>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</si>
  <si>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</si>
  <si>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</si>
  <si>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</si>
  <si>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</si>
  <si>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</si>
  <si>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</si>
  <si>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</si>
  <si>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</si>
  <si>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</si>
  <si>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</si>
  <si>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</si>
  <si>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</si>
  <si>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</si>
  <si>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</si>
  <si>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</si>
  <si>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</si>
  <si>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</si>
  <si>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</si>
  <si>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</si>
  <si>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</si>
  <si>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</si>
  <si>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</si>
  <si>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</si>
  <si>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</si>
  <si>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</si>
  <si>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</si>
  <si>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</si>
  <si>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</si>
  <si>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</si>
  <si>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</si>
  <si>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</si>
  <si>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</si>
  <si>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</si>
  <si>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</si>
  <si>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</si>
  <si>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</si>
  <si>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</si>
  <si>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</si>
  <si>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</si>
  <si>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</si>
  <si>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</si>
  <si>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</si>
  <si>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</si>
  <si>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</si>
  <si>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</si>
  <si>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</si>
  <si>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</si>
  <si>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</si>
  <si>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</si>
  <si>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</si>
  <si>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</si>
  <si>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</si>
  <si>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</si>
  <si>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</si>
  <si>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</si>
  <si>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</si>
  <si>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</si>
  <si>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</si>
  <si>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</si>
  <si>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</si>
  <si>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</si>
  <si>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</si>
  <si>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</si>
  <si>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</si>
  <si>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</si>
  <si>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</si>
  <si>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</si>
  <si>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</si>
  <si>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</si>
  <si>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</si>
  <si>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</si>
  <si>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</si>
  <si>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</si>
  <si>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</si>
  <si>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</si>
  <si>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</si>
  <si>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</si>
  <si>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</si>
  <si>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</si>
  <si>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</si>
  <si>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</si>
  <si>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</si>
  <si>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</si>
  <si>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</si>
  <si>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</si>
  <si>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</si>
  <si>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</si>
  <si>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</si>
  <si>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</si>
  <si>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</si>
  <si>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</si>
  <si>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</si>
  <si>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</si>
  <si>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</si>
  <si>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</si>
  <si>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</si>
  <si>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</si>
  <si>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</si>
  <si>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</si>
  <si>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</si>
  <si>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</si>
  <si>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</si>
  <si>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</si>
  <si>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</si>
  <si>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</si>
  <si>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</si>
  <si>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</si>
  <si>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</si>
  <si>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</si>
  <si>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</si>
  <si>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</si>
  <si>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</si>
  <si>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</si>
  <si>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</si>
  <si>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</si>
  <si>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</si>
  <si>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</si>
  <si>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</si>
  <si>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</si>
  <si>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</si>
  <si>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</si>
  <si>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</si>
  <si>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</si>
  <si>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</si>
  <si>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</si>
  <si>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</si>
  <si>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</si>
  <si>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</si>
  <si>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</si>
  <si>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</si>
  <si>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</si>
  <si>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</si>
  <si>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</si>
  <si>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</si>
  <si>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</si>
  <si>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</si>
  <si>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</si>
  <si>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</si>
  <si>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</si>
  <si>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</si>
  <si>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</si>
  <si>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</si>
  <si>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</si>
  <si>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</si>
  <si>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</si>
  <si>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</si>
  <si>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</si>
  <si>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</si>
  <si>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</si>
  <si>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</si>
  <si>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</si>
  <si>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</si>
  <si>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</si>
  <si>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</si>
  <si>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</si>
  <si>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</si>
  <si>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</si>
  <si>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</si>
  <si>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</si>
  <si>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</si>
  <si>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</si>
  <si>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</si>
  <si>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</si>
  <si>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</si>
  <si>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</si>
  <si>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</si>
  <si>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</si>
  <si>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</si>
  <si>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</si>
  <si>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</si>
  <si>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</si>
  <si>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</si>
  <si>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</si>
  <si>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</si>
  <si>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</si>
  <si>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</si>
  <si>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</si>
  <si>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</si>
  <si>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</si>
  <si>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</si>
  <si>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</si>
  <si>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</si>
  <si>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</si>
  <si>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</si>
  <si>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</si>
  <si>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</si>
  <si>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</si>
  <si>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</si>
  <si>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</si>
  <si>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</si>
  <si>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</si>
  <si>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</si>
  <si>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</si>
  <si>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</si>
  <si>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</si>
  <si>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</si>
  <si>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</si>
  <si>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</si>
  <si>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</si>
  <si>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</si>
  <si>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</si>
  <si>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</si>
  <si>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</si>
  <si>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</si>
  <si>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</si>
  <si>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</si>
  <si>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</si>
  <si>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</si>
  <si>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</si>
  <si>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</si>
  <si>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</si>
  <si>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</si>
  <si>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</si>
  <si>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</si>
  <si>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</si>
  <si>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</si>
  <si>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</si>
  <si>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</si>
  <si>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</si>
  <si>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</si>
  <si>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</si>
  <si>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</si>
  <si>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</si>
  <si>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</si>
  <si>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</si>
  <si>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</si>
  <si>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</si>
  <si>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</si>
  <si>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</si>
  <si>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</si>
  <si>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</si>
  <si>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</si>
  <si>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</si>
  <si>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</si>
  <si>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</si>
  <si>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</si>
  <si>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</si>
  <si>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</si>
  <si>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</si>
  <si>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</si>
  <si>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</si>
  <si>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</si>
  <si>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</si>
  <si>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</si>
  <si>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</si>
  <si>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</si>
  <si>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</si>
  <si>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</si>
  <si>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</si>
  <si>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</si>
  <si>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</si>
  <si>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</si>
  <si>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</si>
  <si>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</si>
  <si>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</si>
  <si>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</si>
  <si>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</si>
  <si>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</si>
  <si>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</si>
  <si>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</si>
  <si>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</si>
  <si>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</si>
  <si>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</si>
  <si>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</si>
  <si>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</si>
  <si>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</si>
  <si>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</si>
  <si>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</si>
  <si>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</si>
  <si>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</si>
  <si>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</si>
  <si>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</si>
  <si>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</si>
  <si>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</si>
  <si>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</si>
  <si>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</si>
  <si>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</si>
  <si>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</si>
  <si>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</si>
  <si>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</si>
  <si>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</si>
  <si>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</si>
  <si>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</si>
  <si>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</si>
  <si>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</si>
  <si>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</si>
  <si>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</si>
  <si>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</si>
  <si>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</si>
  <si>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</si>
  <si>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</si>
  <si>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</si>
  <si>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</si>
  <si>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</si>
  <si>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</si>
  <si>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</si>
  <si>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</si>
  <si>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</si>
  <si>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</si>
  <si>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</si>
  <si>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</si>
  <si>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</si>
  <si>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</si>
  <si>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</si>
  <si>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</si>
  <si>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</si>
  <si>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</si>
  <si>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</si>
  <si>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</si>
  <si>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</si>
  <si>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</si>
  <si>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</si>
  <si>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</si>
  <si>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</si>
  <si>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</si>
  <si>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</si>
  <si>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</si>
  <si>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</si>
  <si>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</si>
  <si>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</si>
  <si>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</si>
  <si>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</si>
  <si>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</si>
  <si>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</si>
  <si>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</si>
  <si>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</si>
  <si>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</si>
  <si>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</si>
  <si>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</si>
  <si>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</si>
  <si>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</si>
  <si>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</si>
  <si>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</si>
  <si>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</si>
  <si>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</si>
  <si>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</si>
  <si>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</si>
  <si>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</si>
  <si>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</si>
  <si>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</si>
  <si>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</si>
  <si>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</si>
  <si>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</si>
  <si>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</si>
  <si>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</si>
  <si>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</si>
  <si>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</si>
  <si>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</si>
  <si>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</si>
  <si>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</si>
  <si>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</si>
  <si>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</si>
  <si>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</si>
  <si>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</si>
  <si>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</si>
  <si>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</si>
  <si>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</si>
  <si>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</si>
  <si>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</si>
  <si>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</si>
  <si>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</si>
  <si>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</si>
  <si>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</si>
  <si>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</si>
  <si>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</si>
  <si>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</si>
  <si>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</si>
  <si>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</si>
  <si>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</si>
  <si>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</si>
  <si>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</si>
  <si>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</si>
  <si>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</si>
  <si>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</si>
  <si>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</si>
  <si>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</si>
  <si>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</si>
  <si>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</si>
  <si>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</si>
  <si>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</si>
  <si>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</si>
  <si>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</si>
  <si>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</si>
  <si>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</si>
  <si>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</si>
  <si>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</si>
  <si>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</si>
  <si>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</si>
  <si>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</si>
  <si>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</si>
  <si>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</si>
  <si>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</si>
  <si>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</si>
  <si>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</si>
  <si>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</si>
  <si>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</si>
  <si>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</si>
  <si>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</si>
  <si>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</si>
  <si>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</si>
  <si>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</si>
  <si>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</si>
  <si>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</si>
  <si>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</si>
  <si>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</si>
  <si>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</si>
  <si>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</si>
  <si>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</si>
  <si>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</si>
  <si>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</si>
  <si>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</si>
  <si>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</si>
  <si>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</si>
  <si>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</si>
  <si>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</si>
  <si>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</si>
  <si>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</si>
  <si>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</si>
  <si>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</si>
  <si>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</si>
  <si>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</si>
  <si>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</si>
  <si>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</si>
  <si>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</si>
  <si>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</si>
  <si>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</si>
  <si>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</si>
  <si>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</si>
  <si>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</si>
  <si>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</si>
  <si>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</si>
  <si>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</si>
  <si>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</si>
  <si>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</si>
  <si>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</si>
  <si>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</si>
  <si>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</si>
  <si>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</si>
  <si>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</si>
  <si>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</si>
  <si>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</si>
  <si>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</si>
  <si>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</si>
  <si>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</si>
  <si>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</si>
  <si>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</si>
  <si>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</si>
  <si>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</si>
  <si>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</si>
  <si>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</si>
  <si>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</si>
  <si>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</si>
  <si>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</si>
  <si>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</si>
  <si>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</si>
  <si>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</si>
  <si>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</si>
  <si>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</si>
  <si>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</si>
  <si>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</si>
  <si>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</si>
  <si>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</si>
  <si>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</si>
  <si>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</si>
  <si>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</si>
  <si>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</si>
  <si>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</si>
  <si>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</si>
  <si>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</si>
  <si>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</si>
  <si>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</si>
  <si>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</si>
  <si>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</si>
  <si>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</si>
  <si>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</si>
  <si>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</si>
  <si>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</si>
  <si>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</si>
  <si>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</si>
  <si>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</si>
  <si>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</si>
  <si>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</si>
  <si>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</si>
  <si>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</si>
  <si>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</si>
  <si>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</si>
  <si>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</si>
  <si>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</si>
  <si>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</si>
  <si>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</si>
  <si>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</si>
  <si>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</si>
  <si>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</si>
  <si>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</si>
  <si>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</si>
  <si>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</si>
  <si>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</si>
  <si>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</si>
  <si>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</si>
  <si>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</si>
  <si>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</si>
  <si>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</si>
  <si>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</si>
  <si>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</si>
  <si>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</si>
  <si>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</si>
  <si>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</si>
  <si>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</si>
  <si>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</si>
  <si>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</si>
  <si>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</si>
  <si>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</si>
  <si>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</si>
  <si>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</si>
  <si>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</si>
  <si>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</si>
  <si>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</si>
  <si>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</si>
  <si>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</si>
  <si>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</si>
  <si>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</si>
  <si>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</si>
  <si>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</si>
  <si>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</si>
  <si>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</si>
  <si>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</si>
  <si>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</si>
  <si>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</si>
  <si>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</si>
  <si>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</si>
  <si>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</si>
  <si>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</si>
  <si>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</si>
  <si>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</si>
  <si>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</si>
  <si>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</si>
  <si>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</si>
  <si>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</si>
  <si>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</si>
  <si>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</si>
  <si>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</si>
  <si>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</si>
  <si>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</si>
  <si>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</si>
  <si>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</si>
  <si>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</si>
  <si>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</si>
  <si>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</si>
  <si>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</si>
  <si>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</si>
  <si>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</si>
  <si>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</si>
  <si>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</si>
  <si>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</si>
  <si>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</si>
  <si>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</si>
  <si>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</si>
  <si>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</si>
  <si>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</si>
  <si>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</si>
  <si>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</si>
  <si>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</si>
  <si>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</si>
  <si>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</si>
  <si>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</si>
  <si>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</si>
  <si>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</si>
  <si>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</si>
  <si>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</si>
  <si>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</si>
  <si>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</si>
  <si>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</si>
  <si>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</si>
  <si>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</si>
  <si>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</si>
  <si>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</si>
  <si>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</si>
  <si>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</si>
  <si>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</si>
  <si>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</si>
  <si>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</si>
  <si>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</si>
  <si>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</si>
  <si>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</si>
  <si>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</si>
  <si>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</si>
  <si>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</si>
  <si>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</si>
  <si>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</si>
  <si>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</si>
  <si>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</si>
  <si>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</si>
  <si>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</si>
  <si>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</si>
  <si>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</si>
  <si>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</si>
  <si>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</si>
  <si>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</si>
  <si>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</si>
  <si>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</si>
  <si>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</si>
  <si>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</si>
  <si>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</si>
  <si>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</si>
  <si>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</si>
  <si>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</si>
  <si>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</si>
  <si>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</si>
  <si>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</si>
  <si>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</si>
  <si>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</si>
  <si>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</si>
  <si>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</si>
  <si>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</si>
  <si>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</si>
  <si>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</si>
  <si>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</si>
  <si>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</si>
  <si>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</si>
  <si>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</si>
  <si>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</si>
  <si>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</si>
  <si>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</si>
  <si>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</si>
  <si>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</si>
  <si>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</si>
  <si>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</si>
  <si>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</si>
  <si>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</si>
  <si>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</si>
  <si>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</si>
  <si>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</si>
  <si>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</si>
  <si>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</si>
  <si>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</si>
  <si>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</si>
  <si>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</si>
  <si>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</si>
  <si>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</si>
  <si>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</si>
  <si>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</si>
  <si>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</si>
  <si>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</si>
  <si>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</si>
  <si>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</si>
  <si>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</si>
  <si>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</si>
  <si>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</si>
  <si>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</si>
  <si>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</si>
  <si>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</si>
  <si>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</si>
  <si>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</si>
  <si>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</si>
  <si>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</si>
  <si>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</si>
  <si>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</si>
  <si>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</si>
  <si>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</si>
  <si>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</si>
  <si>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</si>
  <si>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</si>
  <si>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</si>
  <si>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</si>
  <si>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</si>
  <si>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</si>
  <si>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</si>
  <si>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</si>
  <si>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</si>
  <si>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</si>
  <si>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</si>
  <si>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</si>
  <si>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</si>
  <si>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</si>
  <si>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</si>
  <si>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</si>
  <si>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</si>
  <si>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</si>
  <si>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</si>
  <si>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</si>
  <si>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</si>
  <si>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</si>
  <si>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</si>
  <si>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</si>
  <si>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</si>
  <si>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</si>
  <si>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</si>
  <si>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</si>
  <si>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</si>
  <si>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</si>
  <si>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</si>
  <si>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</si>
  <si>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</si>
  <si>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</si>
  <si>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</si>
  <si>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</si>
  <si>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</si>
  <si>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</si>
  <si>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</si>
  <si>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</si>
  <si>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</si>
  <si>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</si>
  <si>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</si>
  <si>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</si>
  <si>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</si>
  <si>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</si>
  <si>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</si>
  <si>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</si>
  <si>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</si>
  <si>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</si>
  <si>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</si>
  <si>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</si>
  <si>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</si>
  <si>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</si>
  <si>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</si>
  <si>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</si>
  <si>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</si>
  <si>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</si>
  <si>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</si>
  <si>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</si>
  <si>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</si>
  <si>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</si>
  <si>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</si>
  <si>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</si>
  <si>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</si>
  <si>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</si>
  <si>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</si>
  <si>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</si>
  <si>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</si>
  <si>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</si>
  <si>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</si>
  <si>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</si>
  <si>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</si>
  <si>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</si>
  <si>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</si>
  <si>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</si>
  <si>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</si>
  <si>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</si>
  <si>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</si>
  <si>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</si>
  <si>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</si>
  <si>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</si>
  <si>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</si>
  <si>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</si>
  <si>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</si>
  <si>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</si>
  <si>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</si>
  <si>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</si>
  <si>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</si>
  <si>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</si>
  <si>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</si>
  <si>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</si>
  <si>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</si>
  <si>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</si>
  <si>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</si>
  <si>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</si>
  <si>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</si>
  <si>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</si>
  <si>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</si>
  <si>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</si>
  <si>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</si>
  <si>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</si>
  <si>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</si>
  <si>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</si>
  <si>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</si>
  <si>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</si>
  <si>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</si>
  <si>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</si>
  <si>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</si>
  <si>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</si>
  <si>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</si>
  <si>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</si>
  <si>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</si>
  <si>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</si>
  <si>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</si>
  <si>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</si>
  <si>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</si>
  <si>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</si>
  <si>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</si>
  <si>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</si>
  <si>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</si>
  <si>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</si>
  <si>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</si>
  <si>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</si>
  <si>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</si>
  <si>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</si>
  <si>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</si>
  <si>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</si>
  <si>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</si>
  <si>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</si>
  <si>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</si>
  <si>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</si>
  <si>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</si>
  <si>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</si>
  <si>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</si>
  <si>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</si>
  <si>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</si>
  <si>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</si>
  <si>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</si>
  <si>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</si>
  <si>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</si>
  <si>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</si>
  <si>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</si>
  <si>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</si>
  <si>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</si>
  <si>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</si>
  <si>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</si>
  <si>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</si>
  <si>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</si>
  <si>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</si>
  <si>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</si>
  <si>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</si>
  <si>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</si>
  <si>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</si>
  <si>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</si>
  <si>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</si>
  <si>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</si>
  <si>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</si>
  <si>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</si>
  <si>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</si>
  <si>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</si>
  <si>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</si>
  <si>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</si>
  <si>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</si>
  <si>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</si>
  <si>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</si>
  <si>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</si>
  <si>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</si>
  <si>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</si>
  <si>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</si>
  <si>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</si>
  <si>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</si>
  <si>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</si>
  <si>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</si>
  <si>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</si>
  <si>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</si>
  <si>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</si>
  <si>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</si>
  <si>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</si>
  <si>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</si>
  <si>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</si>
  <si>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</si>
  <si>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</si>
  <si>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</si>
  <si>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</si>
  <si>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</si>
  <si>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</si>
  <si>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</si>
  <si>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</si>
  <si>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</si>
  <si>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</si>
  <si>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</si>
  <si>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</si>
  <si>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</si>
  <si>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</si>
  <si>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</si>
  <si>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</si>
  <si>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</si>
  <si>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</si>
  <si>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</si>
  <si>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</si>
  <si>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</si>
  <si>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</si>
  <si>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</si>
  <si>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</si>
  <si>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</si>
  <si>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</si>
  <si>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</si>
  <si>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</si>
  <si>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</si>
  <si>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</si>
  <si>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</si>
  <si>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</si>
  <si>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</si>
  <si>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</si>
  <si>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</si>
  <si>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</si>
  <si>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</si>
  <si>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</si>
  <si>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</si>
  <si>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</si>
  <si>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</si>
  <si>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</si>
  <si>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</si>
  <si>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</si>
  <si>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</si>
  <si>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</si>
  <si>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</si>
  <si>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</si>
  <si>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</si>
  <si>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</si>
  <si>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</si>
  <si>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</si>
  <si>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</si>
  <si>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</si>
  <si>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</si>
  <si>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</si>
  <si>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</si>
  <si>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</si>
  <si>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</si>
  <si>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</si>
  <si>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</si>
  <si>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</si>
  <si>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</si>
  <si>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</si>
  <si>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</si>
  <si>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</si>
  <si>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</si>
  <si>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</si>
  <si>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</si>
  <si>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</si>
  <si>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</si>
  <si>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</si>
  <si>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</si>
  <si>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</si>
  <si>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</si>
  <si>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</si>
  <si>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</si>
  <si>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</si>
  <si>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</si>
  <si>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</si>
  <si>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</si>
  <si>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</si>
  <si>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</si>
  <si>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</si>
  <si>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</si>
  <si>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</si>
  <si>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</si>
  <si>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</si>
  <si>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</si>
  <si>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</si>
  <si>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</si>
  <si>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</si>
  <si>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</si>
  <si>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</si>
  <si>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</si>
  <si>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</si>
  <si>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</si>
  <si>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</si>
  <si>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</si>
  <si>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</si>
  <si>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</si>
  <si>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</si>
  <si>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</si>
  <si>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</si>
  <si>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</si>
  <si>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</si>
  <si>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</si>
  <si>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</si>
  <si>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</si>
  <si>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</si>
  <si>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</si>
  <si>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</si>
  <si>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</si>
  <si>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</si>
  <si>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</si>
  <si>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</si>
  <si>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</si>
  <si>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</si>
  <si>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</si>
  <si>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</si>
  <si>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</si>
  <si>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</si>
  <si>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</si>
  <si>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</si>
  <si>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</si>
  <si>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</si>
  <si>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</si>
  <si>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</si>
  <si>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</si>
  <si>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</si>
  <si>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</si>
  <si>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</si>
  <si>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</si>
  <si>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</si>
  <si>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</si>
  <si>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</si>
  <si>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</si>
  <si>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</si>
  <si>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</si>
  <si>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</si>
  <si>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</si>
  <si>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</si>
  <si>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</si>
  <si>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</si>
  <si>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</si>
  <si>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</si>
  <si>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</si>
  <si>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</si>
  <si>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</si>
  <si>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</si>
  <si>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</si>
  <si>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</si>
  <si>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</si>
  <si>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</si>
  <si>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</si>
  <si>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</si>
  <si>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</si>
  <si>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</si>
  <si>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</si>
  <si>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</si>
  <si>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</si>
  <si>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</si>
  <si>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</si>
  <si>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</si>
  <si>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</si>
  <si>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</si>
  <si>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</si>
  <si>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</si>
  <si>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</si>
  <si>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</si>
  <si>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</si>
  <si>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</si>
  <si>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</si>
  <si>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</si>
  <si>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</si>
  <si>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</si>
  <si>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</si>
  <si>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</si>
  <si>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</si>
  <si>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</si>
  <si>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</si>
  <si>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</si>
  <si>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</si>
  <si>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</si>
  <si>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</si>
  <si>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</si>
  <si>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</si>
  <si>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</si>
  <si>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</si>
  <si>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</si>
  <si>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</si>
  <si>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</si>
  <si>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</si>
  <si>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</si>
  <si>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</si>
  <si>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</si>
  <si>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</si>
  <si>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</si>
  <si>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</si>
  <si>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</si>
  <si>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</si>
  <si>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</si>
  <si>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</si>
  <si>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</si>
  <si>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</si>
  <si>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</si>
  <si>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</si>
  <si>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</si>
  <si>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</si>
  <si>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</si>
  <si>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</si>
  <si>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</si>
  <si>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</si>
  <si>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</si>
  <si>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</si>
  <si>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</si>
  <si>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</si>
  <si>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</si>
  <si>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</si>
  <si>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</si>
  <si>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</si>
  <si>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</si>
  <si>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</si>
  <si>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</si>
  <si>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</si>
  <si>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</si>
  <si>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</si>
  <si>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</si>
  <si>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</si>
  <si>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</si>
  <si>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</si>
  <si>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</si>
  <si>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</si>
  <si>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</si>
  <si>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</si>
  <si>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</si>
  <si>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</si>
  <si>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</si>
  <si>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</si>
  <si>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</si>
  <si>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</si>
  <si>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</si>
  <si>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</si>
  <si>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</si>
  <si>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</si>
  <si>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</si>
  <si>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</si>
  <si>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</si>
  <si>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</si>
  <si>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</si>
  <si>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</si>
  <si>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</si>
  <si>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</si>
  <si>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</si>
  <si>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</si>
  <si>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</si>
  <si>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产权证</t>
    <phoneticPr fontId="134" type="noConversion"/>
  </si>
  <si>
    <t>坐落</t>
    <phoneticPr fontId="134" type="noConversion"/>
  </si>
  <si>
    <t>建筑面积</t>
    <phoneticPr fontId="134" type="noConversion"/>
  </si>
  <si>
    <t>楼层</t>
    <phoneticPr fontId="134" type="noConversion"/>
  </si>
  <si>
    <t>现状用途</t>
    <phoneticPr fontId="134" type="noConversion"/>
  </si>
  <si>
    <t>现状楼层</t>
    <phoneticPr fontId="134" type="noConversion"/>
  </si>
  <si>
    <t>建安</t>
    <phoneticPr fontId="134" type="noConversion"/>
  </si>
  <si>
    <t>租金</t>
    <phoneticPr fontId="134" type="noConversion"/>
  </si>
  <si>
    <t>京（2022）石不动产权第0008361号</t>
    <phoneticPr fontId="134" type="noConversion"/>
  </si>
  <si>
    <t>朝阳区东土城路九号4幢</t>
    <phoneticPr fontId="134" type="noConversion"/>
  </si>
  <si>
    <t>1至2</t>
    <phoneticPr fontId="134" type="noConversion"/>
  </si>
  <si>
    <t>报告厅</t>
    <phoneticPr fontId="134" type="noConversion"/>
  </si>
  <si>
    <t>京（2022）石不动产权第0008379号</t>
    <phoneticPr fontId="134" type="noConversion"/>
  </si>
  <si>
    <t>朝阳区东土城路九号5幢</t>
  </si>
  <si>
    <t>员工餐厅</t>
    <phoneticPr fontId="134" type="noConversion"/>
  </si>
  <si>
    <t>京（2022）石不动产权第0008354号</t>
    <phoneticPr fontId="134" type="noConversion"/>
  </si>
  <si>
    <t>朝阳区东土城路九号6幢</t>
  </si>
  <si>
    <t>办公楼</t>
    <phoneticPr fontId="134" type="noConversion"/>
  </si>
  <si>
    <t>朝阳区东土城路九号7幢</t>
  </si>
  <si>
    <t>热力站</t>
    <phoneticPr fontId="134" type="noConversion"/>
  </si>
  <si>
    <t>朝阳区东土城路九号15幢</t>
    <phoneticPr fontId="134" type="noConversion"/>
  </si>
  <si>
    <t>1至5</t>
    <phoneticPr fontId="134" type="noConversion"/>
  </si>
  <si>
    <t>团部办公楼</t>
    <phoneticPr fontId="134" type="noConversion"/>
  </si>
  <si>
    <t>京（2022）石不动产权第0008378号</t>
    <phoneticPr fontId="134" type="noConversion"/>
  </si>
  <si>
    <t>地下室</t>
    <phoneticPr fontId="134" type="noConversion"/>
  </si>
  <si>
    <t>库房</t>
    <phoneticPr fontId="134" type="noConversion"/>
  </si>
  <si>
    <t>地下1层</t>
    <phoneticPr fontId="134" type="noConversion"/>
  </si>
  <si>
    <t>合计</t>
    <phoneticPr fontId="134" type="noConversion"/>
  </si>
  <si>
    <t>平均</t>
    <phoneticPr fontId="134" type="noConversion"/>
  </si>
  <si>
    <t>土地面积-出让合同</t>
    <phoneticPr fontId="134" type="noConversion"/>
  </si>
  <si>
    <t>平方米</t>
    <phoneticPr fontId="134" type="noConversion"/>
  </si>
  <si>
    <t>地上商务金融单价</t>
    <phoneticPr fontId="134" type="noConversion"/>
  </si>
  <si>
    <t>地下商务金融单价</t>
    <phoneticPr fontId="134" type="noConversion"/>
  </si>
  <si>
    <t>地价款</t>
    <phoneticPr fontId="134" type="noConversion"/>
  </si>
  <si>
    <t>万元</t>
    <phoneticPr fontId="134" type="noConversion"/>
  </si>
  <si>
    <t>建成年代无，房本测绘日期1989年</t>
    <phoneticPr fontId="134" type="noConversion"/>
  </si>
  <si>
    <t>产证无使用期限</t>
    <phoneticPr fontId="134" type="noConversion"/>
  </si>
  <si>
    <t>补办出让手续，合同签订日期</t>
    <phoneticPr fontId="134" type="noConversion"/>
  </si>
  <si>
    <t>2016年4月20</t>
    <phoneticPr fontId="134" type="noConversion"/>
  </si>
  <si>
    <t>设定终止日期</t>
    <phoneticPr fontId="134" type="noConversion"/>
  </si>
  <si>
    <t>房地产抵押价值</t>
  </si>
  <si>
    <t>北京市</t>
  </si>
  <si>
    <t>企业</t>
  </si>
  <si>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</si>
  <si>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</si>
  <si>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</si>
  <si>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</si>
  <si>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</si>
  <si>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是</t>
  </si>
  <si>
    <t>地上</t>
  </si>
  <si>
    <t>办公楼</t>
  </si>
  <si>
    <t>地下</t>
  </si>
  <si>
    <t>办公</t>
    <phoneticPr fontId="7" type="noConversion"/>
  </si>
  <si>
    <t>直线折旧</t>
  </si>
  <si>
    <t>观察成新</t>
  </si>
  <si>
    <t>综合成新</t>
  </si>
  <si>
    <t>成新度</t>
  </si>
  <si>
    <t>收益法</t>
  </si>
  <si>
    <t>租金</t>
    <phoneticPr fontId="134" type="noConversion"/>
  </si>
  <si>
    <t>林达大厦</t>
    <phoneticPr fontId="134" type="noConversion"/>
  </si>
  <si>
    <t>怡和阳光大厦</t>
    <phoneticPr fontId="134" type="noConversion"/>
  </si>
  <si>
    <t>建达大厦</t>
    <phoneticPr fontId="134" type="noConversion"/>
  </si>
  <si>
    <t>远东科技文化园</t>
    <phoneticPr fontId="134" type="noConversion"/>
  </si>
  <si>
    <t>强佑大厦</t>
    <phoneticPr fontId="134" type="noConversion"/>
  </si>
  <si>
    <t>5.5-6</t>
    <phoneticPr fontId="134" type="noConversion"/>
  </si>
  <si>
    <t>6-8块</t>
    <phoneticPr fontId="134" type="noConversion"/>
  </si>
  <si>
    <t>金泰腾达</t>
    <phoneticPr fontId="134" type="noConversion"/>
  </si>
  <si>
    <t>新天第</t>
    <phoneticPr fontId="134" type="noConversion"/>
  </si>
  <si>
    <t>金泰大厦</t>
    <phoneticPr fontId="134" type="noConversion"/>
  </si>
  <si>
    <t>4.2-5块</t>
    <phoneticPr fontId="134" type="noConversion"/>
  </si>
  <si>
    <t>商务金融用地</t>
  </si>
  <si>
    <t>估价对象容积率</t>
  </si>
  <si>
    <t>通路</t>
  </si>
  <si>
    <t>通电</t>
  </si>
  <si>
    <t>通讯</t>
  </si>
  <si>
    <t>通上水</t>
  </si>
  <si>
    <t>通下水</t>
  </si>
  <si>
    <t>通热</t>
  </si>
  <si>
    <t>燃气</t>
  </si>
  <si>
    <t>平整</t>
  </si>
  <si>
    <t>一般</t>
  </si>
  <si>
    <t>较好</t>
  </si>
  <si>
    <t>好</t>
  </si>
  <si>
    <t>与级别开发程度一致</t>
  </si>
  <si>
    <t>未包含在土地购买价格中</t>
  </si>
  <si>
    <t>全部缴纳</t>
  </si>
  <si>
    <t>已包含在土地取得成本中</t>
  </si>
  <si>
    <t>押一</t>
  </si>
  <si>
    <t>钢混</t>
  </si>
  <si>
    <t>非生产用房</t>
  </si>
  <si>
    <t>否</t>
  </si>
  <si>
    <t>基准地价</t>
  </si>
  <si>
    <t>总价</t>
  </si>
  <si>
    <t>成本比率</t>
  </si>
  <si>
    <t>成本法</t>
  </si>
  <si>
    <r>
      <t>2022</t>
    </r>
    <r>
      <rPr>
        <sz val="10"/>
        <color indexed="8"/>
        <rFont val="宋体"/>
        <family val="3"/>
        <charset val="134"/>
      </rPr>
      <t>年</t>
    </r>
    <phoneticPr fontId="8" type="noConversion"/>
  </si>
  <si>
    <r>
      <t>2022</t>
    </r>
    <r>
      <rPr>
        <sz val="10"/>
        <color indexed="8"/>
        <rFont val="宋体"/>
        <family val="3"/>
        <charset val="134"/>
      </rPr>
      <t>年</t>
    </r>
    <phoneticPr fontId="8" type="noConversion"/>
  </si>
  <si>
    <t>建安总价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</si>
</sst>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pplyAlignment="1">
      <alignment horizontal="left" vertical="center" wrapText="1"/>
    </xf>
    <xf numFmtId="58" fontId="107" fillId="0" borderId="0" xfId="0" applyNumberFormat="1" applyFont="1" applyAlignment="1">
      <alignment horizontal="left" vertical="center" wrapText="1"/>
    </xf>
    <xf numFmtId="31" fontId="107" fillId="0" borderId="0" xfId="0" applyNumberFormat="1" applyFont="1" applyAlignment="1">
      <alignment horizontal="left" vertical="center" wrapText="1"/>
    </xf>
    <xf numFmtId="0" fontId="47" fillId="0" borderId="1" xfId="0" applyFont="1" applyBorder="1" applyAlignment="1" applyProtection="1">
      <alignment horizontal="left" vertical="center" wrapText="1"/>
      <protection locked="0"/>
    </xf>
    <xf numFmtId="0" fontId="47" fillId="2" borderId="2" xfId="0" applyFont="1" applyFill="1" applyBorder="1" applyAlignment="1" applyProtection="1">
      <alignment horizontal="left" vertical="center" wrapText="1"/>
      <protection locked="0"/>
    </xf>
    <xf numFmtId="0" fontId="107" fillId="0" borderId="0" xfId="0" applyFont="1" applyAlignment="1">
      <alignment horizontal="left" vertical="center"/>
    </xf>
    <xf numFmtId="58" fontId="107" fillId="0" borderId="0" xfId="0" applyNumberFormat="1" applyFont="1" applyAlignment="1">
      <alignment horizontal="left" vertical="center"/>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53" fillId="5" borderId="10" xfId="0" applyNumberFormat="1" applyFont="1" applyFill="1" applyBorder="1" applyAlignment="1" applyProtection="1">
      <alignment horizontal="left" vertical="center" wrapText="1"/>
      <protection locked="0"/>
    </xf>
    <xf numFmtId="177" fontId="47" fillId="16" borderId="1" xfId="1" applyNumberFormat="1"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0" xfId="0" applyFont="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400050</xdr:colOff>
      <xdr:row>14</xdr:row>
      <xdr:rowOff>11889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14850" cy="2412189"/>
        </a:xfrm>
        <a:prstGeom prst="rect">
          <a:avLst/>
        </a:prstGeom>
      </xdr:spPr>
    </xdr:pic>
    <xdr:clientData/>
  </xdr:twoCellAnchor>
  <xdr:twoCellAnchor editAs="oneCell">
    <xdr:from>
      <xdr:col>7</xdr:col>
      <xdr:colOff>0</xdr:colOff>
      <xdr:row>0</xdr:row>
      <xdr:rowOff>0</xdr:rowOff>
    </xdr:from>
    <xdr:to>
      <xdr:col>12</xdr:col>
      <xdr:colOff>341872</xdr:colOff>
      <xdr:row>13</xdr:row>
      <xdr:rowOff>72454</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142347" cy="2301304"/>
        </a:xfrm>
        <a:prstGeom prst="rect">
          <a:avLst/>
        </a:prstGeom>
      </xdr:spPr>
    </xdr:pic>
    <xdr:clientData/>
  </xdr:twoCellAnchor>
  <xdr:twoCellAnchor editAs="oneCell">
    <xdr:from>
      <xdr:col>0</xdr:col>
      <xdr:colOff>0</xdr:colOff>
      <xdr:row>15</xdr:row>
      <xdr:rowOff>38100</xdr:rowOff>
    </xdr:from>
    <xdr:to>
      <xdr:col>7</xdr:col>
      <xdr:colOff>622339</xdr:colOff>
      <xdr:row>35</xdr:row>
      <xdr:rowOff>113635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09850"/>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估价对象为北京市房地产，为所有。根据《国有土地使用证》[]，估价对象（分摊）出让国有建设用地使用权面积为6720平方米，建筑面积为7798.2平方米。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估价对象为北京市房地产,属开发建设的，该项目尚在开发建设中。根据《国有土地使用证》[]，估价对象（分摊）出让国有建设用地使用权面积为6720平方米，规划建筑面积为7798.2平方米。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2023年12月4日（评估专业人员实地查勘之日）</v>
      </c>
    </row>
    <row r="13" spans="1:2" s="1203" customFormat="1">
      <c r="A13" s="1201" t="s">
        <v>529</v>
      </c>
      <c r="B13" s="1202"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27671</v>
      </c>
    </row>
    <row r="21" spans="1:2" s="1203" customFormat="1">
      <c r="A21" s="1201" t="s">
        <v>537</v>
      </c>
      <c r="B21" s="1202">
        <f ca="1">'预评函-2'!D7</f>
        <v>35484</v>
      </c>
    </row>
    <row r="22" spans="1:2" s="1203" customFormat="1">
      <c r="A22" s="1201" t="s">
        <v>538</v>
      </c>
      <c r="B22" s="1202" t="str">
        <f ca="1">'预评函-2'!D6</f>
        <v>贰亿柒仟陆佰柒拾壹万元整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27671</v>
      </c>
    </row>
    <row r="31" spans="1:2" s="1203" customFormat="1">
      <c r="A31" s="1201" t="s">
        <v>576</v>
      </c>
      <c r="B31" s="1202">
        <f ca="1">'预评函-2'!D15</f>
        <v>35484</v>
      </c>
    </row>
    <row r="32" spans="1:2" s="1203" customFormat="1">
      <c r="A32" s="1201" t="s">
        <v>543</v>
      </c>
      <c r="B32" s="1202" t="str">
        <f ca="1">'预评函-2'!D14</f>
        <v>贰亿柒仟陆佰柒拾壹万元整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7798.2</v>
      </c>
    </row>
    <row r="44" spans="1:2" s="1203" customFormat="1">
      <c r="A44" s="1201" t="s">
        <v>575</v>
      </c>
      <c r="B44" s="1202" t="str">
        <f>'预评函-3'!C2</f>
        <v>(分摊)土地面积</v>
      </c>
    </row>
    <row r="45" spans="1:2" s="1203" customFormat="1">
      <c r="A45" s="1201" t="s">
        <v>547</v>
      </c>
      <c r="B45" s="1202">
        <f>'预评函-3'!C4</f>
        <v>6720</v>
      </c>
    </row>
    <row r="46" spans="1:2" s="1203" customFormat="1">
      <c r="A46" s="1201" t="s">
        <v>573</v>
      </c>
      <c r="B46" s="1202" t="str">
        <f>'预评函-3'!D2</f>
        <v>出让国有建设用地使用权价值</v>
      </c>
    </row>
    <row r="47" spans="1:2" s="1203" customFormat="1">
      <c r="A47" s="1201" t="s">
        <v>548</v>
      </c>
      <c r="B47" s="1202">
        <f ca="1">'预评函-3'!D4</f>
        <v>25374</v>
      </c>
    </row>
    <row r="48" spans="1:2" s="1203" customFormat="1">
      <c r="A48" s="1201" t="s">
        <v>549</v>
      </c>
      <c r="B48" s="1202">
        <f ca="1">'预评函-3'!E4</f>
        <v>32538</v>
      </c>
    </row>
    <row r="49" spans="1:2" s="1203" customFormat="1">
      <c r="A49" s="1201" t="s">
        <v>550</v>
      </c>
      <c r="B49" s="1202" t="str">
        <f ca="1">'预评函-3'!D5</f>
        <v>贰亿伍仟叁佰柒拾肆万元整</v>
      </c>
    </row>
    <row r="50" spans="1:2" s="1203" customFormat="1">
      <c r="A50" s="1201" t="s">
        <v>574</v>
      </c>
      <c r="B50" s="1202" t="str">
        <f>'预评函-3'!F2</f>
        <v>在建建筑物价值</v>
      </c>
    </row>
    <row r="51" spans="1:2" s="1203" customFormat="1">
      <c r="A51" s="1201" t="s">
        <v>551</v>
      </c>
      <c r="B51" s="1202">
        <f ca="1">'预评函-3'!F4</f>
        <v>2297</v>
      </c>
    </row>
    <row r="52" spans="1:2" s="1203" customFormat="1">
      <c r="A52" s="1201" t="s">
        <v>552</v>
      </c>
      <c r="B52" s="1202">
        <f ca="1">'预评函-3'!G4</f>
        <v>2946</v>
      </c>
    </row>
    <row r="53" spans="1:2" s="1203" customFormat="1">
      <c r="A53" s="1201" t="s">
        <v>580</v>
      </c>
      <c r="B53" s="1202" t="str">
        <f ca="1">'预评函-3'!F5</f>
        <v>贰仟贰佰玖拾柒万元整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2" t="s">
        <v>2596</v>
      </c>
      <c r="J1" s="3223"/>
      <c r="K1" s="3223"/>
      <c r="L1" s="3223"/>
      <c r="M1" s="3223"/>
      <c r="N1" s="3433"/>
      <c r="O1" s="3433"/>
      <c r="P1" s="3433"/>
      <c r="Q1" s="3433"/>
      <c r="R1" s="3433"/>
    </row>
    <row r="2" spans="1:18">
      <c r="A2" s="3014"/>
      <c r="B2" s="3015"/>
      <c r="C2" s="3015"/>
      <c r="D2" s="3015"/>
      <c r="E2" s="3015"/>
      <c r="F2" s="3016"/>
      <c r="I2" s="3497" t="s">
        <v>2583</v>
      </c>
      <c r="J2" s="3497"/>
      <c r="K2" s="3497"/>
      <c r="L2" s="3497"/>
      <c r="M2" s="3497"/>
      <c r="N2" s="3497"/>
      <c r="O2" s="3497"/>
      <c r="P2" s="3497"/>
      <c r="Q2" s="3497"/>
      <c r="R2" s="3497"/>
    </row>
    <row r="3" spans="1:18">
      <c r="A3" s="3017" t="s">
        <v>2504</v>
      </c>
      <c r="B3" s="3018">
        <f>项目基本情况!D3</f>
        <v>45264</v>
      </c>
      <c r="C3" s="3020"/>
      <c r="D3" s="3020"/>
      <c r="E3" s="3020"/>
      <c r="F3" s="3016"/>
      <c r="I3" s="3434"/>
      <c r="J3" s="3434" t="s">
        <v>2587</v>
      </c>
      <c r="K3" s="3434" t="s">
        <v>2588</v>
      </c>
      <c r="L3" s="3434" t="s">
        <v>2589</v>
      </c>
      <c r="M3" s="3434" t="s">
        <v>2590</v>
      </c>
      <c r="N3" s="3435" t="s">
        <v>2591</v>
      </c>
      <c r="O3" s="3435" t="s">
        <v>2592</v>
      </c>
      <c r="P3" s="3435" t="s">
        <v>2593</v>
      </c>
      <c r="Q3" s="3435" t="s">
        <v>2594</v>
      </c>
      <c r="R3" s="3435" t="s">
        <v>2595</v>
      </c>
    </row>
    <row r="4" spans="1:18">
      <c r="A4" s="3017" t="s">
        <v>2505</v>
      </c>
      <c r="B4" s="3020" t="s">
        <v>2506</v>
      </c>
      <c r="C4" s="3020" t="s">
        <v>2507</v>
      </c>
      <c r="D4" s="3020" t="s">
        <v>2508</v>
      </c>
      <c r="E4" s="3020" t="s">
        <v>2509</v>
      </c>
      <c r="F4" s="3016"/>
      <c r="I4" s="3434" t="s">
        <v>2584</v>
      </c>
      <c r="J4" s="3434">
        <v>80</v>
      </c>
      <c r="K4" s="3434">
        <v>70</v>
      </c>
      <c r="L4" s="3434">
        <v>20</v>
      </c>
      <c r="M4" s="3434">
        <v>30</v>
      </c>
      <c r="N4" s="3020">
        <v>45</v>
      </c>
      <c r="O4" s="3020">
        <v>60</v>
      </c>
      <c r="P4" s="3020">
        <v>50</v>
      </c>
      <c r="Q4" s="3020">
        <v>20</v>
      </c>
      <c r="R4" s="3020">
        <v>375</v>
      </c>
    </row>
    <row r="5" spans="1:18">
      <c r="A5" s="3021">
        <v>40</v>
      </c>
      <c r="B5" s="3018">
        <v>46375</v>
      </c>
      <c r="C5" s="3020">
        <f>ROUNDDOWN(MIN((B5-B3)/365,A5),2)</f>
        <v>3.04</v>
      </c>
      <c r="D5" s="3022">
        <f>IF(ISERROR(ROUND(POWER(1+E5,A5-C5)*(POWER(1+E5,C5)-1)/(POWER(1+E5,A5)-1),3)),0,ROUND(POWER(1+E5,A5-C5)*(POWER(1+E5,C5)-1)/(POWER(1+E5,A5)-1),4))</f>
        <v>0.14199999999999999</v>
      </c>
      <c r="E5" s="3023">
        <v>0.04</v>
      </c>
      <c r="F5" s="3016"/>
      <c r="I5" s="3434" t="s">
        <v>2585</v>
      </c>
      <c r="J5" s="3434">
        <v>70</v>
      </c>
      <c r="K5" s="3434">
        <v>60</v>
      </c>
      <c r="L5" s="3434">
        <v>15</v>
      </c>
      <c r="M5" s="3434">
        <v>25</v>
      </c>
      <c r="N5" s="3020">
        <v>40</v>
      </c>
      <c r="O5" s="3020">
        <v>50</v>
      </c>
      <c r="P5" s="3020">
        <v>40</v>
      </c>
      <c r="Q5" s="3020">
        <v>15</v>
      </c>
      <c r="R5" s="3020">
        <v>315</v>
      </c>
    </row>
    <row r="6" spans="1:18">
      <c r="A6" s="3021">
        <v>50</v>
      </c>
      <c r="B6" s="3018">
        <v>50028</v>
      </c>
      <c r="C6" s="3020">
        <f>ROUNDDOWN(MIN((B6-B3)/365,A6),2)</f>
        <v>13.05</v>
      </c>
      <c r="D6" s="3022">
        <f>IF(ISERROR(ROUND(POWER(1+E6,A6-C6)*(POWER(1+E6,C6)-1)/(POWER(1+E6,A6)-1),3)),0,ROUND(POWER(1+E6,A6-C6)*(POWER(1+E6,C6)-1)/(POWER(1+E6,A6)-1),4))</f>
        <v>0.4662</v>
      </c>
      <c r="E6" s="3023">
        <v>0.04</v>
      </c>
      <c r="F6" s="3016"/>
      <c r="I6" s="3434" t="s">
        <v>2586</v>
      </c>
      <c r="J6" s="3434">
        <v>60</v>
      </c>
      <c r="K6" s="3434">
        <v>50</v>
      </c>
      <c r="L6" s="3434">
        <v>10</v>
      </c>
      <c r="M6" s="3434">
        <v>20</v>
      </c>
      <c r="N6" s="3020">
        <v>35</v>
      </c>
      <c r="O6" s="3020">
        <v>40</v>
      </c>
      <c r="P6" s="3020">
        <v>30</v>
      </c>
      <c r="Q6" s="3020">
        <v>10</v>
      </c>
      <c r="R6" s="3020">
        <v>255</v>
      </c>
    </row>
    <row r="7" spans="1:18">
      <c r="A7" s="3021">
        <v>70</v>
      </c>
      <c r="B7" s="3018">
        <v>57333</v>
      </c>
      <c r="C7" s="3020">
        <f>ROUNDDOWN(MIN((B7-B3)/365,A7),2)</f>
        <v>33.06</v>
      </c>
      <c r="D7" s="3022">
        <f>IF(ISERROR(ROUND(POWER(1+E7,A7-C7)*(POWER(1+E7,C7)-1)/(POWER(1+E7,A7)-1),3)),0,ROUND(POWER(1+E7,A7-C7)*(POWER(1+E7,C7)-1)/(POWER(1+E7,A7)-1),4))</f>
        <v>0.77639999999999998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5" sqref="D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68"/>
      <c r="K1" s="2365"/>
      <c r="L1" s="2366"/>
      <c r="M1" s="2366"/>
      <c r="N1" s="2367"/>
      <c r="O1" s="1576"/>
      <c r="P1" s="2367"/>
      <c r="Q1" s="2367"/>
      <c r="R1" s="2367"/>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4" t="s">
        <v>2168</v>
      </c>
      <c r="B2" s="2368"/>
      <c r="C2" s="2369"/>
      <c r="D2" s="2667"/>
      <c r="E2" s="2659"/>
      <c r="F2" s="2659"/>
      <c r="G2" s="2660"/>
      <c r="H2" s="2660"/>
      <c r="I2" s="2660"/>
      <c r="J2" s="2468"/>
      <c r="K2" s="2365"/>
      <c r="L2" s="2366"/>
      <c r="M2" s="2366"/>
      <c r="N2" s="2367"/>
      <c r="O2" s="1576"/>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0">
        <v>45264</v>
      </c>
      <c r="C3" s="2371" t="s">
        <v>2170</v>
      </c>
      <c r="D3" s="2370">
        <v>45264</v>
      </c>
      <c r="E3" s="2660"/>
      <c r="F3" s="2660"/>
      <c r="G3" s="2660"/>
      <c r="H3" s="2660"/>
      <c r="I3" s="2660"/>
      <c r="J3" s="2468"/>
      <c r="K3" s="2365"/>
      <c r="L3" s="2366"/>
      <c r="M3" s="2366"/>
      <c r="N3" s="2367"/>
      <c r="O3" s="1576"/>
      <c r="P3" s="2367"/>
      <c r="Q3" s="2367"/>
      <c r="R3" s="2367"/>
      <c r="S3" s="1681"/>
      <c r="T3" s="1744"/>
      <c r="U3" s="1744"/>
      <c r="V3" s="1744"/>
      <c r="W3" s="1744"/>
      <c r="X3" s="1744"/>
      <c r="Y3" s="1744"/>
      <c r="Z3" s="1744"/>
      <c r="AA3" s="1744"/>
      <c r="AB3" s="1744"/>
    </row>
    <row r="4" spans="1:30" ht="13.5" thickBot="1">
      <c r="A4" s="1090"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1"/>
      <c r="T4" s="1744"/>
      <c r="U4" s="1744"/>
      <c r="V4" s="1744"/>
      <c r="W4" s="1744"/>
      <c r="X4" s="1744"/>
      <c r="Y4" s="1744"/>
      <c r="Z4" s="1744"/>
      <c r="AA4" s="1744"/>
      <c r="AB4" s="1744"/>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4"/>
      <c r="T5" s="1744"/>
      <c r="U5" s="1744"/>
      <c r="V5" s="1744"/>
      <c r="W5" s="1744"/>
      <c r="X5" s="1744"/>
      <c r="Y5" s="1744"/>
      <c r="Z5" s="1744"/>
      <c r="AA5" s="1744"/>
      <c r="AB5" s="1744"/>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3382</v>
      </c>
      <c r="C8" s="2387"/>
      <c r="D8" s="3501" t="s">
        <v>2176</v>
      </c>
      <c r="E8" s="2388" t="s">
        <v>3423</v>
      </c>
      <c r="F8" s="2389"/>
      <c r="G8" s="2660"/>
      <c r="H8" s="2660"/>
      <c r="I8" s="2660"/>
      <c r="J8" s="2436"/>
      <c r="K8" s="2611"/>
      <c r="L8" s="2610"/>
      <c r="M8" s="2610"/>
      <c r="N8" s="2436"/>
      <c r="O8" s="2447"/>
      <c r="P8" s="2436"/>
      <c r="Q8" s="2436"/>
      <c r="R8" s="2436"/>
    </row>
    <row r="9" spans="1:30" ht="13.5" thickBot="1">
      <c r="A9" s="2390" t="s">
        <v>2177</v>
      </c>
      <c r="B9" s="2391" t="s">
        <v>3423</v>
      </c>
      <c r="C9" s="2392"/>
      <c r="D9" s="3502"/>
      <c r="E9" s="2391"/>
      <c r="F9" s="2393"/>
      <c r="G9" s="2662"/>
      <c r="H9" s="2662"/>
      <c r="I9" s="2662"/>
      <c r="J9" s="2436"/>
      <c r="K9" s="2613"/>
      <c r="L9" s="2610"/>
      <c r="M9" s="2610"/>
      <c r="N9" s="2436"/>
      <c r="O9" s="2447"/>
      <c r="P9" s="2436"/>
      <c r="Q9" s="2436"/>
      <c r="R9" s="2436"/>
    </row>
    <row r="10" spans="1:30" ht="13.5" thickTop="1">
      <c r="A10" s="2394" t="s">
        <v>2178</v>
      </c>
      <c r="B10" s="2395" t="s">
        <v>3424</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3425</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4"/>
    </row>
    <row r="13" spans="1:30">
      <c r="A13" s="3418" t="s">
        <v>3335</v>
      </c>
      <c r="B13" s="2404" t="s">
        <v>2189</v>
      </c>
      <c r="C13" s="856"/>
      <c r="D13" s="856"/>
      <c r="E13" s="856">
        <f>面积!C16</f>
        <v>60741</v>
      </c>
      <c r="F13" s="856"/>
      <c r="G13" s="856"/>
      <c r="H13" s="856"/>
      <c r="I13" s="856"/>
      <c r="J13" s="3059"/>
      <c r="K13" s="2610"/>
      <c r="L13" s="2610"/>
      <c r="M13" s="2436"/>
      <c r="N13" s="2447"/>
      <c r="O13" s="2436"/>
      <c r="P13" s="2436"/>
      <c r="Q13" s="2436"/>
      <c r="AD13" s="1744"/>
    </row>
    <row r="14" spans="1:30">
      <c r="A14" s="1081"/>
      <c r="B14" s="2404" t="s">
        <v>2190</v>
      </c>
      <c r="C14" s="2405"/>
      <c r="D14" s="2405"/>
      <c r="E14" s="2405">
        <v>50</v>
      </c>
      <c r="F14" s="2405"/>
      <c r="G14" s="2405"/>
      <c r="H14" s="2405"/>
      <c r="I14" s="2405"/>
      <c r="J14" s="3060"/>
      <c r="K14" s="2610"/>
      <c r="L14" s="2610"/>
      <c r="M14" s="2436"/>
      <c r="N14" s="2447"/>
      <c r="O14" s="2436"/>
      <c r="P14" s="2436"/>
      <c r="Q14" s="2436"/>
      <c r="AD14" s="1744"/>
    </row>
    <row r="15" spans="1:30">
      <c r="A15" s="320"/>
      <c r="B15" s="2406" t="s">
        <v>2191</v>
      </c>
      <c r="C15" s="2407" t="str">
        <f>IF(A13="出让",IF(C13="","",ROUNDDOWN(MIN((C13-$D$3)/365,C14),2)),C14)</f>
        <v/>
      </c>
      <c r="D15" s="2407" t="str">
        <f>IF(A13="出让",IF(D13="","",ROUNDDOWN(MIN((D13-$D$3)/365,D14),2)),D14)</f>
        <v/>
      </c>
      <c r="E15" s="2407">
        <f>IF(A13="出让",IF(E13="","",ROUNDDOWN(MIN((E13-$D$3)/365,E14),2)),E14)</f>
        <v>42.4</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2192</v>
      </c>
      <c r="B16" s="3508"/>
      <c r="C16" s="3509"/>
      <c r="D16" s="3510"/>
      <c r="E16" s="2410" t="s">
        <v>2193</v>
      </c>
      <c r="F16" s="3511"/>
      <c r="G16" s="3512"/>
      <c r="H16" s="3512"/>
      <c r="I16" s="3513"/>
      <c r="J16" s="2436"/>
      <c r="K16" s="2614"/>
      <c r="L16" s="2448"/>
      <c r="M16" s="2448"/>
      <c r="N16" s="2506"/>
      <c r="O16" s="2448"/>
      <c r="P16" s="2506"/>
      <c r="Q16" s="2436"/>
      <c r="R16" s="2436"/>
    </row>
    <row r="17" spans="1:28">
      <c r="A17" s="313" t="s">
        <v>2194</v>
      </c>
      <c r="B17" s="302" t="s">
        <v>2195</v>
      </c>
      <c r="C17" s="8">
        <f>'数据-汇总表'!E3</f>
        <v>7798.2</v>
      </c>
      <c r="D17" s="2319" t="s">
        <v>2196</v>
      </c>
      <c r="E17" s="3514" t="s">
        <v>2197</v>
      </c>
      <c r="F17" s="3515"/>
      <c r="G17" s="3515"/>
      <c r="H17" s="3515"/>
      <c r="I17" s="3516"/>
      <c r="J17" s="2436"/>
      <c r="K17" s="2615"/>
      <c r="L17" s="2448"/>
      <c r="M17" s="2448"/>
      <c r="N17" s="2506"/>
      <c r="O17" s="2448"/>
      <c r="P17" s="2506"/>
      <c r="Q17" s="2436"/>
      <c r="R17" s="2436"/>
      <c r="S17" s="2436"/>
      <c r="T17" s="2436"/>
      <c r="U17" s="2436"/>
      <c r="V17" s="2436"/>
    </row>
    <row r="18" spans="1:28" ht="24.75" thickBot="1">
      <c r="A18" s="2411" t="s">
        <v>2198</v>
      </c>
      <c r="B18" s="1090" t="s">
        <v>2199</v>
      </c>
      <c r="C18" s="2412">
        <f>'数据-汇总表'!D3</f>
        <v>6720</v>
      </c>
      <c r="D18" s="1092" t="s">
        <v>2200</v>
      </c>
      <c r="E18" s="3517" t="s">
        <v>2201</v>
      </c>
      <c r="F18" s="3518"/>
      <c r="G18" s="3518"/>
      <c r="H18" s="3518"/>
      <c r="I18" s="3519"/>
      <c r="J18" s="2436"/>
      <c r="K18" s="2615"/>
      <c r="L18" s="2448"/>
      <c r="M18" s="2448"/>
      <c r="N18" s="2506"/>
      <c r="O18" s="2448"/>
      <c r="P18" s="2506"/>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2204</v>
      </c>
      <c r="B20" s="3504" t="s">
        <v>2205</v>
      </c>
      <c r="C20" s="3505"/>
      <c r="D20" s="3506" t="s">
        <v>2206</v>
      </c>
      <c r="E20" s="3507"/>
      <c r="F20" s="2644" t="s">
        <v>1056</v>
      </c>
      <c r="G20" s="2661"/>
      <c r="H20" s="2661"/>
      <c r="I20" s="2661"/>
      <c r="J20" s="2436"/>
      <c r="K20" s="350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2208</v>
      </c>
      <c r="C21" s="2631" t="s">
        <v>1057</v>
      </c>
      <c r="D21" s="1568" t="s">
        <v>2209</v>
      </c>
      <c r="E21" s="2632" t="s">
        <v>1057</v>
      </c>
      <c r="F21" s="2645"/>
      <c r="G21" s="2661"/>
      <c r="H21" s="2661"/>
      <c r="I21" s="2661"/>
      <c r="J21" s="2436"/>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2210</v>
      </c>
      <c r="C22" s="2631" t="s">
        <v>1058</v>
      </c>
      <c r="D22" s="2660"/>
      <c r="E22" s="2660"/>
      <c r="F22" s="2660"/>
      <c r="G22" s="2661"/>
      <c r="H22" s="2661"/>
      <c r="I22" s="2661"/>
      <c r="J22" s="2436"/>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1"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1"/>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1"/>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2"/>
      <c r="B30" s="302" t="s">
        <v>2217</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c r="A31" s="3525" t="s">
        <v>2218</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26"/>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5"/>
      <c r="C34" s="2025"/>
      <c r="D34" s="2025"/>
      <c r="E34" s="2025"/>
      <c r="F34" s="2025"/>
      <c r="G34" s="2025"/>
      <c r="H34" s="2025"/>
      <c r="I34" s="2661"/>
      <c r="J34" s="2436"/>
      <c r="K34" s="2424">
        <f>COUNTIF(B34:H34,"——")</f>
        <v>0</v>
      </c>
      <c r="L34" s="323" t="s">
        <v>2220</v>
      </c>
      <c r="M34" s="323" t="s">
        <v>2221</v>
      </c>
      <c r="N34" s="323" t="s">
        <v>2222</v>
      </c>
      <c r="O34" s="323" t="s">
        <v>2223</v>
      </c>
      <c r="P34" s="323" t="s">
        <v>2224</v>
      </c>
      <c r="Q34" s="323" t="s">
        <v>2225</v>
      </c>
      <c r="R34" s="323" t="s">
        <v>2226</v>
      </c>
      <c r="S34" s="3520" t="s">
        <v>2227</v>
      </c>
      <c r="T34" s="2425" t="str">
        <f>NUMBERSTRING(7-K34,1)&amp;"通"</f>
        <v>七通</v>
      </c>
      <c r="U34" s="2436"/>
      <c r="V34" s="2436"/>
    </row>
    <row r="35" spans="1:30">
      <c r="A35" s="2426"/>
      <c r="B35" s="3527" t="s">
        <v>2228</v>
      </c>
      <c r="C35" s="3527"/>
      <c r="D35" s="3527"/>
      <c r="E35" s="35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t="s">
        <v>2926</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2232</v>
      </c>
      <c r="B41" s="1756"/>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2"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70"/>
      <c r="B51" s="1570"/>
      <c r="C51" s="1051"/>
      <c r="D51" s="1051"/>
      <c r="E51" s="1051"/>
      <c r="F51" s="1051"/>
      <c r="G51" s="1051"/>
      <c r="H51" s="1051"/>
      <c r="I51" s="1051"/>
      <c r="J51" s="2434"/>
      <c r="K51" s="2435"/>
      <c r="L51" s="2435"/>
      <c r="M51" s="1051"/>
      <c r="N51" s="1051"/>
      <c r="O51" s="1051"/>
      <c r="P51" s="1051"/>
      <c r="Q51" s="1051"/>
      <c r="R51" s="1051"/>
    </row>
    <row r="52" spans="1:22" s="1742" customFormat="1">
      <c r="A52" s="1570"/>
      <c r="B52" s="1570"/>
      <c r="C52" s="1570"/>
      <c r="D52" s="1570"/>
      <c r="E52" s="1570"/>
      <c r="F52" s="1051"/>
      <c r="G52" s="1570"/>
      <c r="H52" s="1570"/>
      <c r="I52" s="1570"/>
      <c r="J52" s="2437"/>
      <c r="K52" s="2435"/>
      <c r="L52" s="2435"/>
      <c r="M52" s="2435"/>
      <c r="N52" s="1570"/>
      <c r="O52" s="1570"/>
      <c r="P52" s="1570"/>
      <c r="Q52" s="1570"/>
      <c r="R52" s="1570"/>
    </row>
    <row r="53" spans="1:22" s="1742" customFormat="1">
      <c r="A53" s="1570"/>
      <c r="B53" s="1570"/>
      <c r="C53" s="1570"/>
      <c r="D53" s="1570"/>
      <c r="E53" s="1570"/>
      <c r="F53" s="1051"/>
      <c r="G53" s="1570"/>
      <c r="H53" s="1570"/>
      <c r="I53" s="1570"/>
      <c r="J53" s="2437"/>
      <c r="K53" s="2435"/>
      <c r="L53" s="2435"/>
      <c r="M53" s="2435"/>
      <c r="N53" s="1570"/>
      <c r="O53" s="1570"/>
      <c r="P53" s="1570"/>
      <c r="Q53" s="1570"/>
      <c r="R53" s="1570"/>
    </row>
    <row r="54" spans="1:22" s="1742" customFormat="1">
      <c r="A54" s="1570"/>
      <c r="B54" s="1570"/>
      <c r="C54" s="1570"/>
      <c r="D54" s="1570"/>
      <c r="E54" s="1570"/>
      <c r="F54" s="1051"/>
      <c r="G54" s="1570"/>
      <c r="H54" s="1570"/>
      <c r="I54" s="1570"/>
      <c r="J54" s="2437"/>
      <c r="K54" s="2435"/>
      <c r="L54" s="2435"/>
      <c r="M54" s="2435"/>
      <c r="N54" s="1570"/>
      <c r="O54" s="1570"/>
      <c r="P54" s="1570"/>
      <c r="Q54" s="1570"/>
      <c r="R54" s="1570"/>
    </row>
    <row r="55" spans="1:22" s="1742" customFormat="1">
      <c r="A55" s="1570"/>
      <c r="B55" s="1570"/>
      <c r="C55" s="1570"/>
      <c r="D55" s="1570"/>
      <c r="E55" s="1570"/>
      <c r="F55" s="1051"/>
      <c r="G55" s="1570"/>
      <c r="H55" s="1570"/>
      <c r="I55" s="1570"/>
      <c r="J55" s="2437"/>
      <c r="K55" s="2435"/>
      <c r="L55" s="2435"/>
      <c r="M55" s="2435"/>
      <c r="N55" s="1570"/>
      <c r="O55" s="1570"/>
      <c r="P55" s="1570"/>
      <c r="Q55" s="1570"/>
      <c r="R55" s="1570"/>
    </row>
    <row r="56" spans="1:22" s="1742"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
  <sheetViews>
    <sheetView workbookViewId="0">
      <selection activeCell="E37" sqref="E37"/>
    </sheetView>
  </sheetViews>
  <sheetFormatPr defaultRowHeight="12"/>
  <cols>
    <col min="1" max="1" width="16.25" style="3444" customWidth="1"/>
    <col min="2" max="2" width="19.875" style="3444" customWidth="1"/>
    <col min="3" max="3" width="12.75" style="3444" bestFit="1" customWidth="1"/>
    <col min="4" max="6" width="9" style="3444"/>
    <col min="7" max="7" width="10.25" style="3444" bestFit="1" customWidth="1"/>
    <col min="8" max="9" width="9" style="3444"/>
    <col min="10" max="10" width="11.25" style="3444" bestFit="1" customWidth="1"/>
    <col min="11" max="16384" width="9" style="3444"/>
  </cols>
  <sheetData>
    <row r="1" spans="1:9">
      <c r="A1" s="3444" t="s">
        <v>3383</v>
      </c>
      <c r="B1" s="3444" t="s">
        <v>3384</v>
      </c>
      <c r="C1" s="3444" t="s">
        <v>3385</v>
      </c>
      <c r="D1" s="3444" t="s">
        <v>3386</v>
      </c>
      <c r="E1" s="3444" t="s">
        <v>3387</v>
      </c>
      <c r="F1" s="3444" t="s">
        <v>3388</v>
      </c>
      <c r="G1" s="3444" t="s">
        <v>3389</v>
      </c>
      <c r="H1" s="3444" t="s">
        <v>3390</v>
      </c>
      <c r="I1" s="3444" t="s">
        <v>3480</v>
      </c>
    </row>
    <row r="2" spans="1:9" ht="24">
      <c r="A2" s="3444" t="s">
        <v>3391</v>
      </c>
      <c r="B2" s="3444" t="s">
        <v>3392</v>
      </c>
      <c r="C2" s="3444">
        <v>842.5</v>
      </c>
      <c r="D2" s="3444" t="s">
        <v>3393</v>
      </c>
      <c r="E2" s="3444" t="s">
        <v>3394</v>
      </c>
      <c r="F2" s="3444">
        <v>1</v>
      </c>
      <c r="G2" s="3444">
        <v>4500</v>
      </c>
      <c r="H2" s="3444">
        <v>5</v>
      </c>
      <c r="I2" s="3444">
        <f>ROUND(G2*C2/10000,0)</f>
        <v>379</v>
      </c>
    </row>
    <row r="3" spans="1:9" ht="24">
      <c r="A3" s="3444" t="s">
        <v>3395</v>
      </c>
      <c r="B3" s="3444" t="s">
        <v>3396</v>
      </c>
      <c r="C3" s="3444">
        <v>571.79999999999995</v>
      </c>
      <c r="D3" s="3444">
        <v>1</v>
      </c>
      <c r="E3" s="3444" t="s">
        <v>3397</v>
      </c>
      <c r="F3" s="3444">
        <v>1</v>
      </c>
      <c r="G3" s="3444">
        <v>3500</v>
      </c>
      <c r="H3" s="3444">
        <v>3</v>
      </c>
      <c r="I3" s="3444">
        <f t="shared" ref="I3:I7" si="0">ROUND(G3*C3/10000,0)</f>
        <v>200</v>
      </c>
    </row>
    <row r="4" spans="1:9" ht="24">
      <c r="A4" s="3444" t="s">
        <v>3398</v>
      </c>
      <c r="B4" s="3444" t="s">
        <v>3399</v>
      </c>
      <c r="C4" s="3444">
        <v>261.3</v>
      </c>
      <c r="D4" s="3444">
        <v>1</v>
      </c>
      <c r="E4" s="3444" t="s">
        <v>3400</v>
      </c>
      <c r="F4" s="3445" t="s">
        <v>3393</v>
      </c>
      <c r="G4" s="3444">
        <v>3500</v>
      </c>
      <c r="H4" s="3444">
        <v>5</v>
      </c>
      <c r="I4" s="3444">
        <f t="shared" si="0"/>
        <v>91</v>
      </c>
    </row>
    <row r="5" spans="1:9">
      <c r="B5" s="3444" t="s">
        <v>3401</v>
      </c>
      <c r="C5" s="3444">
        <v>256.89999999999998</v>
      </c>
      <c r="D5" s="3444">
        <v>1</v>
      </c>
      <c r="E5" s="3444" t="s">
        <v>3402</v>
      </c>
      <c r="F5" s="3444">
        <v>1</v>
      </c>
      <c r="G5" s="3444">
        <v>2800</v>
      </c>
      <c r="H5" s="3444">
        <v>0</v>
      </c>
      <c r="I5" s="3444">
        <f t="shared" si="0"/>
        <v>72</v>
      </c>
    </row>
    <row r="6" spans="1:9">
      <c r="B6" s="3444" t="s">
        <v>3403</v>
      </c>
      <c r="C6" s="3444">
        <v>4894.5</v>
      </c>
      <c r="D6" s="3444" t="s">
        <v>3404</v>
      </c>
      <c r="E6" s="3444" t="s">
        <v>3405</v>
      </c>
      <c r="F6" s="3444" t="s">
        <v>3404</v>
      </c>
      <c r="G6" s="3444">
        <v>4500</v>
      </c>
      <c r="H6" s="3444">
        <v>5</v>
      </c>
      <c r="I6" s="3444">
        <f t="shared" si="0"/>
        <v>2203</v>
      </c>
    </row>
    <row r="7" spans="1:9" ht="24">
      <c r="A7" s="3444" t="s">
        <v>3406</v>
      </c>
      <c r="B7" s="3444" t="s">
        <v>3407</v>
      </c>
      <c r="C7" s="3444">
        <v>971.2</v>
      </c>
      <c r="E7" s="3444" t="s">
        <v>3408</v>
      </c>
      <c r="F7" s="3444" t="s">
        <v>3409</v>
      </c>
      <c r="G7" s="3444">
        <v>4500</v>
      </c>
      <c r="H7" s="3444">
        <v>2</v>
      </c>
      <c r="I7" s="3444">
        <f t="shared" si="0"/>
        <v>437</v>
      </c>
    </row>
    <row r="8" spans="1:9">
      <c r="B8" s="3444" t="s">
        <v>3410</v>
      </c>
      <c r="C8" s="3444">
        <f>SUM(C2:C7)</f>
        <v>7798.2</v>
      </c>
      <c r="F8" s="3444" t="s">
        <v>3411</v>
      </c>
      <c r="G8" s="3444">
        <f>ROUND((C2*G2+C3*G3+C4*G4+C5*G5+C6*G6+C7*G7)/C8,0)</f>
        <v>4337</v>
      </c>
      <c r="H8" s="3444">
        <f>ROUND((C2*H2+C3*H3+C4*H4+C6*H6+C7*H7)/(C8-C5),1)</f>
        <v>4.5</v>
      </c>
      <c r="I8" s="3444">
        <f>SUM(I2:I7)</f>
        <v>3382</v>
      </c>
    </row>
    <row r="10" spans="1:9" ht="24">
      <c r="B10" s="3444" t="s">
        <v>3412</v>
      </c>
      <c r="C10" s="3444">
        <v>6720</v>
      </c>
      <c r="D10" s="3444" t="s">
        <v>3413</v>
      </c>
      <c r="E10" s="3444" t="s">
        <v>3414</v>
      </c>
      <c r="F10" s="3444" t="s">
        <v>3415</v>
      </c>
    </row>
    <row r="11" spans="1:9">
      <c r="B11" s="3444" t="s">
        <v>3416</v>
      </c>
      <c r="C11" s="3444">
        <v>5987.3666000000003</v>
      </c>
      <c r="D11" s="3444" t="s">
        <v>3417</v>
      </c>
      <c r="E11" s="3444">
        <v>8495</v>
      </c>
      <c r="F11" s="3444">
        <v>1934</v>
      </c>
    </row>
    <row r="12" spans="1:9" ht="24">
      <c r="B12" s="3444" t="s">
        <v>3418</v>
      </c>
      <c r="E12" s="3444">
        <f>C2+C3+C4+C5+C6</f>
        <v>6827</v>
      </c>
      <c r="F12" s="3444">
        <f>C7</f>
        <v>971.2</v>
      </c>
    </row>
    <row r="14" spans="1:9">
      <c r="B14" s="3444" t="s">
        <v>3419</v>
      </c>
    </row>
    <row r="15" spans="1:9" ht="24">
      <c r="B15" s="3444" t="s">
        <v>3420</v>
      </c>
      <c r="C15" s="3444" t="s">
        <v>3421</v>
      </c>
    </row>
    <row r="16" spans="1:9">
      <c r="B16" s="3444" t="s">
        <v>3422</v>
      </c>
      <c r="C16" s="3446">
        <v>60741</v>
      </c>
    </row>
    <row r="19" spans="2:2">
      <c r="B19" s="3528"/>
    </row>
    <row r="20" spans="2:2">
      <c r="B20" s="3528"/>
    </row>
  </sheetData>
  <mergeCells count="1">
    <mergeCell ref="B19:B2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7" sqref="B37:F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面积!C10</f>
        <v>6720</v>
      </c>
      <c r="B3" s="11">
        <f>IF(C3="否",G5-AT5,G5)</f>
        <v>7798.2</v>
      </c>
      <c r="C3" s="1580" t="s">
        <v>3431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7798.2</v>
      </c>
      <c r="H5" s="13">
        <f t="shared" ref="H5:AT5" si="0">SUM(H13:H656)</f>
        <v>7541.2999999999993</v>
      </c>
      <c r="I5" s="13">
        <f t="shared" si="0"/>
        <v>6570.1</v>
      </c>
      <c r="J5" s="13">
        <f t="shared" si="0"/>
        <v>0</v>
      </c>
      <c r="K5" s="13">
        <f t="shared" si="0"/>
        <v>971.2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256.89999999999998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256.89999999999998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7798.2</v>
      </c>
      <c r="BA5" s="15">
        <f t="shared" si="1"/>
        <v>7541.2999999999993</v>
      </c>
      <c r="BB5" s="15">
        <f t="shared" si="1"/>
        <v>6570.1</v>
      </c>
      <c r="BC5" s="15">
        <f t="shared" si="1"/>
        <v>971.2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256.89999999999998</v>
      </c>
      <c r="BM5" s="15">
        <f t="shared" si="1"/>
        <v>0</v>
      </c>
      <c r="BN5" s="15">
        <f t="shared" si="1"/>
        <v>0</v>
      </c>
      <c r="BO5" s="15">
        <f t="shared" si="1"/>
        <v>0</v>
      </c>
      <c r="BP5" s="15">
        <f t="shared" si="1"/>
        <v>0</v>
      </c>
      <c r="BQ5" s="15">
        <f t="shared" si="1"/>
        <v>256.89999999999998</v>
      </c>
      <c r="BR5" s="15">
        <f t="shared" si="1"/>
        <v>0</v>
      </c>
      <c r="BS5" s="15">
        <f t="shared" si="1"/>
        <v>0</v>
      </c>
      <c r="BT5" s="16">
        <f t="shared" si="1"/>
        <v>0</v>
      </c>
    </row>
    <row r="6" spans="1:72" s="1589" customFormat="1" ht="12.75">
      <c r="A6" s="12" t="s">
        <v>1071</v>
      </c>
      <c r="B6" s="1586"/>
      <c r="C6" s="1586"/>
      <c r="D6" s="1587"/>
      <c r="E6" s="13">
        <f>H6+AC6+AT6</f>
        <v>6720</v>
      </c>
      <c r="F6" s="13" t="s">
        <v>0</v>
      </c>
      <c r="G6" s="13" t="s">
        <v>1</v>
      </c>
      <c r="H6" s="17">
        <f>SUMIF(I$12:AB$12,"总值",I6:AB6)</f>
        <v>6498.62</v>
      </c>
      <c r="I6" s="13">
        <f t="shared" ref="I6:AB6" si="2">ROUND($A$3*I5/$B$3,2)</f>
        <v>5661.7</v>
      </c>
      <c r="J6" s="13">
        <f t="shared" si="2"/>
        <v>0</v>
      </c>
      <c r="K6" s="13">
        <f t="shared" si="2"/>
        <v>836.92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221.38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221.38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6720</v>
      </c>
      <c r="AZ6" s="13" t="s">
        <v>2</v>
      </c>
      <c r="BA6" s="13">
        <f>ROUND($AY$6*BA5/$AZ$5,2)</f>
        <v>6498.62</v>
      </c>
      <c r="BB6" s="13">
        <f>ROUND($AY$6*BB5/$AZ$5,2)</f>
        <v>5661.7</v>
      </c>
      <c r="BC6" s="13">
        <f t="shared" ref="BC6:BH6" si="4">ROUND($AY$6*BC5/$AZ$5,2)</f>
        <v>836.92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221.38</v>
      </c>
      <c r="BM6" s="13">
        <f t="shared" si="5"/>
        <v>0</v>
      </c>
      <c r="BN6" s="13">
        <f t="shared" si="5"/>
        <v>0</v>
      </c>
      <c r="BO6" s="13">
        <f t="shared" si="5"/>
        <v>0</v>
      </c>
      <c r="BP6" s="13">
        <f t="shared" si="5"/>
        <v>0</v>
      </c>
      <c r="BQ6" s="13">
        <f t="shared" si="5"/>
        <v>221.38</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3432</v>
      </c>
      <c r="J9" s="809"/>
      <c r="K9" s="1603" t="s">
        <v>3434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3433</v>
      </c>
      <c r="J11" s="1615"/>
      <c r="K11" s="1614" t="s">
        <v>43</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tr">
        <f>面积!E2</f>
        <v>报告厅</v>
      </c>
      <c r="C13" s="3447" t="s">
        <v>3426</v>
      </c>
      <c r="D13" s="3448" t="s">
        <v>3431</v>
      </c>
      <c r="E13" s="13">
        <f>IF($C$3="是",ROUND($A$3*G13/$B$3,2),ROUND($A$3*(G13-AT13)/$B$3,2))</f>
        <v>726.01</v>
      </c>
      <c r="F13" s="29"/>
      <c r="G13" s="30">
        <f>H13+AC13+AT13</f>
        <v>842.5</v>
      </c>
      <c r="H13" s="17">
        <f>SUMIF(I$12:AB$12,"总值",I13:AB13)</f>
        <v>842.5</v>
      </c>
      <c r="I13" s="1625">
        <f>面积!C2</f>
        <v>842.5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报告厅</v>
      </c>
      <c r="AX13" s="8" t="str">
        <f t="shared" si="6"/>
        <v>4幢</v>
      </c>
      <c r="AY13" s="1349">
        <f>ROUND($AY$6*AZ13/$AZ$5,2)</f>
        <v>726.01</v>
      </c>
      <c r="AZ13" s="13">
        <f>BA13+BL13</f>
        <v>842.5</v>
      </c>
      <c r="BA13" s="13">
        <f>SUM(BB13:BK13)</f>
        <v>842.5</v>
      </c>
      <c r="BB13" s="13">
        <f>IF($D13="是",I13-J13,0)</f>
        <v>842.5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tr">
        <f>面积!E3</f>
        <v>员工餐厅</v>
      </c>
      <c r="C14" s="3447" t="s">
        <v>3427</v>
      </c>
      <c r="D14" s="3448" t="s">
        <v>3431</v>
      </c>
      <c r="E14" s="13">
        <f>IF($C$3="是",ROUND($A$3*G14/$B$3,2),ROUND($A$3*(G14-AT14)/$B$3,2))</f>
        <v>492.74</v>
      </c>
      <c r="F14" s="29"/>
      <c r="G14" s="30">
        <f>H14+AC14+AT14</f>
        <v>571.79999999999995</v>
      </c>
      <c r="H14" s="17">
        <f>SUMIF(I$12:AB$12,"总值",I14:AB14)</f>
        <v>571.79999999999995</v>
      </c>
      <c r="I14" s="1625">
        <f>面积!C3</f>
        <v>571.79999999999995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员工餐厅</v>
      </c>
      <c r="AX14" s="8" t="str">
        <f t="shared" si="6"/>
        <v>5幢</v>
      </c>
      <c r="AY14" s="1349">
        <f>ROUND($AY$6*AZ14/$AZ$5,2)</f>
        <v>492.74</v>
      </c>
      <c r="AZ14" s="13">
        <f>BA14+BL14</f>
        <v>571.79999999999995</v>
      </c>
      <c r="BA14" s="13">
        <f>SUM(BB14:BK14)</f>
        <v>571.79999999999995</v>
      </c>
      <c r="BB14" s="13">
        <f>IF($D14="是",I14-J14,0)</f>
        <v>571.79999999999995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tr">
        <f>面积!E4</f>
        <v>办公楼</v>
      </c>
      <c r="C15" s="3447" t="s">
        <v>3428</v>
      </c>
      <c r="D15" s="3448" t="s">
        <v>3431</v>
      </c>
      <c r="E15" s="13">
        <f>IF($C$3="是",ROUND($A$3*G15/$B$3,2),ROUND($A$3*(G15-AT15)/$B$3,2))</f>
        <v>225.17</v>
      </c>
      <c r="F15" s="29"/>
      <c r="G15" s="30">
        <f>H15+AC15+AT15</f>
        <v>261.3</v>
      </c>
      <c r="H15" s="17">
        <f>SUMIF(I$12:AB$12,"总值",I15:AB15)</f>
        <v>261.3</v>
      </c>
      <c r="I15" s="1625">
        <f>面积!C4</f>
        <v>261.3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办公楼</v>
      </c>
      <c r="AX15" s="8" t="str">
        <f t="shared" si="6"/>
        <v>6幢</v>
      </c>
      <c r="AY15" s="1349">
        <f>ROUND($AY$6*AZ15/$AZ$5,2)</f>
        <v>225.17</v>
      </c>
      <c r="AZ15" s="13">
        <f>BA15+BL15</f>
        <v>261.3</v>
      </c>
      <c r="BA15" s="13">
        <f>SUM(BB15:BK15)</f>
        <v>261.3</v>
      </c>
      <c r="BB15" s="13">
        <f>IF($D15="是",I15-J15,0)</f>
        <v>261.3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t="str">
        <f>面积!E5</f>
        <v>热力站</v>
      </c>
      <c r="C16" s="3447" t="s">
        <v>3429</v>
      </c>
      <c r="D16" s="3448" t="s">
        <v>3431</v>
      </c>
      <c r="E16" s="13">
        <f>IF($C$3="是",ROUND($A$3*G16/$B$3,2),ROUND($A$3*(G16-AT16)/$B$3,2))</f>
        <v>221.38</v>
      </c>
      <c r="F16" s="29"/>
      <c r="G16" s="30">
        <f>H16+AC16+AT16</f>
        <v>256.89999999999998</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256.89999999999998</v>
      </c>
      <c r="AD16" s="1626"/>
      <c r="AE16" s="1626"/>
      <c r="AF16" s="1626"/>
      <c r="AG16" s="1626"/>
      <c r="AH16" s="1626"/>
      <c r="AI16" s="1626"/>
      <c r="AJ16" s="1626"/>
      <c r="AK16" s="1626"/>
      <c r="AL16" s="1626">
        <f>面积!C5</f>
        <v>256.89999999999998</v>
      </c>
      <c r="AM16" s="1626"/>
      <c r="AN16" s="1626"/>
      <c r="AO16" s="1626"/>
      <c r="AP16" s="1626"/>
      <c r="AQ16" s="1626"/>
      <c r="AR16" s="1626"/>
      <c r="AS16" s="1626"/>
      <c r="AT16" s="1627"/>
      <c r="AU16" s="1628"/>
      <c r="AV16" s="8">
        <f t="shared" si="6"/>
        <v>0</v>
      </c>
      <c r="AW16" s="8" t="str">
        <f t="shared" si="6"/>
        <v>热力站</v>
      </c>
      <c r="AX16" s="8" t="str">
        <f t="shared" si="6"/>
        <v>7幢</v>
      </c>
      <c r="AY16" s="1349">
        <f>ROUND($AY$6*AZ16/$AZ$5,2)</f>
        <v>221.38</v>
      </c>
      <c r="AZ16" s="13">
        <f>BA16+BL16</f>
        <v>256.89999999999998</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256.89999999999998</v>
      </c>
      <c r="BM16" s="13">
        <f>IF($D16="是",AD16-AE16,0)</f>
        <v>0</v>
      </c>
      <c r="BN16" s="13">
        <f>IF($D16="是",AF16-AG16,0)</f>
        <v>0</v>
      </c>
      <c r="BO16" s="13">
        <f>IF($D16="是",AH16-AI16,0)</f>
        <v>0</v>
      </c>
      <c r="BP16" s="13">
        <f>IF($D16="是",AJ16-AK16,0)</f>
        <v>0</v>
      </c>
      <c r="BQ16" s="13">
        <f>IF($D16="是",AL16-AM16,0)</f>
        <v>256.89999999999998</v>
      </c>
      <c r="BR16" s="13">
        <f>IF($D16="是",AN16-AO16,0)</f>
        <v>0</v>
      </c>
      <c r="BS16" s="13">
        <f>IF($D16="是",AP16-AQ16,0)</f>
        <v>0</v>
      </c>
      <c r="BT16" s="19">
        <f>IF($D16="是",AR16-AS16,0)</f>
        <v>0</v>
      </c>
    </row>
    <row r="17" spans="1:72" s="1579" customFormat="1" ht="12.75">
      <c r="A17" s="1051"/>
      <c r="B17" s="1051" t="str">
        <f>面积!E6</f>
        <v>团部办公楼</v>
      </c>
      <c r="C17" s="3447" t="s">
        <v>3430</v>
      </c>
      <c r="D17" s="3448" t="s">
        <v>3431</v>
      </c>
      <c r="E17" s="13">
        <f>IF($C$3="是",ROUND($A$3*G17/$B$3,2),ROUND($A$3*(G17-AT17)/$B$3,2))</f>
        <v>5054.6899999999996</v>
      </c>
      <c r="F17" s="29"/>
      <c r="G17" s="30">
        <f>H17+AC17+AT17</f>
        <v>5865.7</v>
      </c>
      <c r="H17" s="17">
        <f>SUMIF(I$12:AB$12,"总值",I17:AB17)</f>
        <v>5865.7</v>
      </c>
      <c r="I17" s="1625">
        <f>面积!C6</f>
        <v>4894.5</v>
      </c>
      <c r="J17" s="1625"/>
      <c r="K17" s="1625">
        <f>面积!C7</f>
        <v>971.2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团部办公楼</v>
      </c>
      <c r="AX17" s="8" t="str">
        <f t="shared" si="6"/>
        <v>15幢</v>
      </c>
      <c r="AY17" s="1349">
        <f>ROUND($AY$6*AZ17/$AZ$5,2)</f>
        <v>5054.6899999999996</v>
      </c>
      <c r="AZ17" s="13">
        <f>BA17+BL17</f>
        <v>5865.7</v>
      </c>
      <c r="BA17" s="13">
        <f>SUM(BB17:BK17)</f>
        <v>5865.7</v>
      </c>
      <c r="BB17" s="13">
        <f>IF($D17="是",I17-J17,0)</f>
        <v>4894.5</v>
      </c>
      <c r="BC17" s="13">
        <f>IF($D17="是",K17-L17,0)</f>
        <v>971.2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8" t="s">
        <v>1130</v>
      </c>
      <c r="B2" s="3538"/>
      <c r="C2" s="3538"/>
      <c r="D2" s="796" t="s">
        <v>1106</v>
      </c>
      <c r="E2" s="1638" t="s">
        <v>1107</v>
      </c>
      <c r="F2" s="2656"/>
      <c r="G2" s="2647"/>
      <c r="H2" s="2648"/>
      <c r="I2" s="2322" t="s">
        <v>1131</v>
      </c>
      <c r="J2" s="2656"/>
      <c r="K2" s="2656"/>
      <c r="L2" s="2656"/>
      <c r="M2" s="2656"/>
      <c r="N2" s="2658"/>
      <c r="O2" s="2656"/>
      <c r="P2" s="2656"/>
    </row>
    <row r="3" spans="1:16" ht="15.75" thickBot="1">
      <c r="A3" s="3539" t="s">
        <v>1104</v>
      </c>
      <c r="B3" s="3539"/>
      <c r="C3" s="3539"/>
      <c r="D3" s="43">
        <f>'数据-基础表'!AY6</f>
        <v>6720</v>
      </c>
      <c r="E3" s="43">
        <f>'数据-基础表'!AZ5</f>
        <v>7798.2</v>
      </c>
      <c r="F3" s="2656"/>
      <c r="G3" s="1145"/>
      <c r="H3" s="1026" t="s">
        <v>1105</v>
      </c>
      <c r="I3" s="855">
        <f>ROUND('数据-基础表'!B3/'数据-基础表'!A3,2)</f>
        <v>1.1599999999999999</v>
      </c>
      <c r="J3" s="2656"/>
      <c r="K3" s="2656"/>
      <c r="L3" s="2656"/>
      <c r="M3" s="2656"/>
      <c r="N3" s="2658"/>
      <c r="O3" s="2656"/>
      <c r="P3" s="2656"/>
    </row>
    <row r="4" spans="1:16" ht="15">
      <c r="A4" s="3540"/>
      <c r="B4" s="3541"/>
      <c r="C4" s="3542"/>
      <c r="D4" s="1640" t="s">
        <v>1106</v>
      </c>
      <c r="E4" s="1641" t="s">
        <v>1107</v>
      </c>
      <c r="F4" s="2656"/>
      <c r="G4" s="2649" t="s">
        <v>1132</v>
      </c>
      <c r="H4" s="1026" t="s">
        <v>1112</v>
      </c>
      <c r="I4" s="855">
        <f>ROUND(SUMIF('数据-基础表'!I9:AS9,"地上",'数据-基础表'!I5:AS5)/'数据-基础表'!A3,2)</f>
        <v>1.02</v>
      </c>
      <c r="J4" s="2656"/>
      <c r="K4" s="2656"/>
      <c r="L4" s="2656"/>
      <c r="M4" s="2656"/>
      <c r="N4" s="2658"/>
      <c r="O4" s="2656"/>
      <c r="P4" s="2656"/>
    </row>
    <row r="5" spans="1:16">
      <c r="A5" s="44" t="s">
        <v>1108</v>
      </c>
      <c r="B5" s="3543" t="s">
        <v>1109</v>
      </c>
      <c r="C5" s="3543"/>
      <c r="D5" s="45">
        <f>ROUND($D$3*E5/$E$3,2)</f>
        <v>0</v>
      </c>
      <c r="E5" s="46">
        <f>SUMIF('数据-基础表'!$11:$11,"住宅",'数据-基础表'!$5:$5)</f>
        <v>0</v>
      </c>
      <c r="F5" s="2656"/>
      <c r="G5" s="1145"/>
      <c r="H5" s="1026" t="s">
        <v>1105</v>
      </c>
      <c r="I5" s="855">
        <f>ROUND(E31/D31,2)</f>
        <v>1.1599999999999999</v>
      </c>
      <c r="J5" s="2656"/>
      <c r="K5" s="2656"/>
      <c r="L5" s="2656"/>
      <c r="M5" s="2656"/>
      <c r="N5" s="2656"/>
      <c r="O5" s="2656"/>
      <c r="P5" s="2656"/>
    </row>
    <row r="6" spans="1:16" ht="15" thickBot="1">
      <c r="A6" s="1643"/>
      <c r="B6" s="3543" t="s">
        <v>1110</v>
      </c>
      <c r="C6" s="3543"/>
      <c r="D6" s="45">
        <f>ROUND($D$3*E6/$E$3,2)</f>
        <v>6720</v>
      </c>
      <c r="E6" s="46">
        <f>E3-E5</f>
        <v>7798.2</v>
      </c>
      <c r="F6" s="2656"/>
      <c r="G6" s="2650" t="s">
        <v>1111</v>
      </c>
      <c r="H6" s="1146" t="s">
        <v>1112</v>
      </c>
      <c r="I6" s="2651">
        <f>ROUND(F31/D31,2)</f>
        <v>1.02</v>
      </c>
      <c r="J6" s="2656"/>
      <c r="K6" s="2656"/>
      <c r="L6" s="2656"/>
      <c r="M6" s="2656"/>
      <c r="N6" s="2656"/>
      <c r="O6" s="2656"/>
      <c r="P6" s="2656"/>
    </row>
    <row r="7" spans="1:16" ht="15.75" thickBot="1">
      <c r="A7" s="3535"/>
      <c r="B7" s="3536"/>
      <c r="C7" s="3537"/>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5661.7</v>
      </c>
      <c r="E8" s="48">
        <f>SUMIF('数据-基础表'!BB10:BK10,"地上",'数据-基础表'!BB5:BK5)</f>
        <v>6570.1</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836.92</v>
      </c>
      <c r="E11" s="48">
        <f>SUMPRODUCT(('数据-基础表'!BB10:BK10="地下")*('数据-基础表'!BB11:BK11="办公")*('数据-基础表'!BB5:BK5))+'数据-基础表'!BP5</f>
        <v>971.2</v>
      </c>
      <c r="F11" s="2656"/>
      <c r="G11" s="2657"/>
      <c r="H11" s="2657"/>
      <c r="I11" s="2656"/>
      <c r="J11" s="2656"/>
      <c r="K11" s="2656"/>
      <c r="L11" s="2656"/>
      <c r="M11" s="2656"/>
      <c r="N11" s="2656"/>
      <c r="O11" s="2656"/>
      <c r="P11" s="2656"/>
    </row>
    <row r="12" spans="1:16">
      <c r="A12" s="1645"/>
      <c r="B12" s="1646"/>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6498.62</v>
      </c>
      <c r="E16" s="50">
        <f>SUM(E8:E15)</f>
        <v>7541.3</v>
      </c>
      <c r="F16" s="2656"/>
      <c r="G16" s="2657"/>
      <c r="H16" s="1647" t="s">
        <v>1134</v>
      </c>
      <c r="I16" s="1648"/>
      <c r="J16" s="1139"/>
      <c r="K16" s="3532" t="s">
        <v>1134</v>
      </c>
      <c r="L16" s="3533"/>
      <c r="M16" s="3533"/>
      <c r="N16" s="3533"/>
      <c r="O16" s="3533"/>
      <c r="P16" s="3534"/>
    </row>
    <row r="17" spans="1:19" ht="15">
      <c r="A17" s="1649" t="s">
        <v>1135</v>
      </c>
      <c r="B17" s="1650" t="s">
        <v>1136</v>
      </c>
      <c r="C17" s="1651" t="s">
        <v>1137</v>
      </c>
      <c r="D17" s="1652" t="s">
        <v>1125</v>
      </c>
      <c r="E17" s="1653" t="s">
        <v>1126</v>
      </c>
      <c r="F17" s="1654"/>
      <c r="G17" s="1655"/>
      <c r="H17" s="1656" t="s">
        <v>1138</v>
      </c>
      <c r="I17" s="1657" t="s">
        <v>1123</v>
      </c>
      <c r="J17" s="1139"/>
      <c r="K17" s="3529" t="s">
        <v>1139</v>
      </c>
      <c r="L17" s="3530"/>
      <c r="M17" s="3531"/>
      <c r="N17" s="3529" t="s">
        <v>1140</v>
      </c>
      <c r="O17" s="3530"/>
      <c r="P17" s="3531"/>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2" t="s">
        <v>3435</v>
      </c>
      <c r="D19" s="45">
        <f>ROUND($D$3*E19/$E$3,2)</f>
        <v>6498.62</v>
      </c>
      <c r="E19" s="53">
        <f t="shared" ref="E19:E26" si="1">SUM(F19:G19)</f>
        <v>7541.3</v>
      </c>
      <c r="F19" s="2792">
        <v>6570.1</v>
      </c>
      <c r="G19" s="2793">
        <v>971.2</v>
      </c>
      <c r="H19" s="670">
        <f>ROUND($D$3*I19/$E$3,2)</f>
        <v>221.38</v>
      </c>
      <c r="I19" s="48">
        <f t="shared" ref="I19:I26" si="2">IF($I$17="自定义",P19,M19)</f>
        <v>256.89999999999998</v>
      </c>
      <c r="J19" s="1139"/>
      <c r="K19" s="1138">
        <f t="shared" ref="K19:K26" si="3">ROUND(E$28*E19/E$27,2)</f>
        <v>256.89999999999998</v>
      </c>
      <c r="L19" s="1026">
        <f t="shared" ref="L19:L26" si="4">ROUND(IF(COUNTIF(C19,"*住宅*")&gt;0,E$29*E19/E$32,0),2)</f>
        <v>0</v>
      </c>
      <c r="M19" s="1150">
        <f>K19+L19</f>
        <v>256.89999999999998</v>
      </c>
      <c r="N19" s="1667"/>
      <c r="O19" s="1668"/>
      <c r="P19" s="1150">
        <f>N19+O19</f>
        <v>0</v>
      </c>
      <c r="R19" s="1026">
        <f t="shared" ref="R19:S26" si="5">D19+H19</f>
        <v>6720</v>
      </c>
      <c r="S19" s="1027">
        <f t="shared" si="5"/>
        <v>7798.2</v>
      </c>
    </row>
    <row r="20" spans="1:19">
      <c r="A20" s="1669"/>
      <c r="B20" s="47" t="s">
        <v>1152</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6498.62</v>
      </c>
      <c r="E27" s="1141">
        <f>IF(SUM(E19:E26)='数据-基础表'!BA5,SUM(E19:E26),IF(F27="地上面积有误","面积有误","地下面积有误"))</f>
        <v>7541.3</v>
      </c>
      <c r="F27" s="1140">
        <f>IF(SUM(F19:F26)=E8,SUM(F19:F26),"地上面积有误")</f>
        <v>6570.1</v>
      </c>
      <c r="G27" s="1142">
        <f>SUM(G19:G26)</f>
        <v>971.2</v>
      </c>
      <c r="H27" s="1143">
        <f>SUM(H19:H26)</f>
        <v>221.38</v>
      </c>
      <c r="I27" s="1144">
        <f>SUM(I19:I26)</f>
        <v>256.89999999999998</v>
      </c>
      <c r="J27" s="1139"/>
      <c r="K27" s="1147">
        <f>SUM(K19:K26)</f>
        <v>256.89999999999998</v>
      </c>
      <c r="L27" s="1148">
        <f>SUM(L19:L26)</f>
        <v>0</v>
      </c>
      <c r="M27" s="1151">
        <f>SUM(M19:M26)</f>
        <v>256.89999999999998</v>
      </c>
      <c r="N27" s="1147">
        <f t="shared" ref="N27:O27" si="10">SUM(N19:N26)</f>
        <v>0</v>
      </c>
      <c r="O27" s="1148">
        <f t="shared" si="10"/>
        <v>0</v>
      </c>
      <c r="P27" s="1149">
        <f>SUM(P19:P26)</f>
        <v>0</v>
      </c>
      <c r="R27" s="1028">
        <f>IF(SUM(R19:R26)=$D$3,SUM(R19:R26),SUM(R19:R26)&amp;"误差"&amp;ROUND(SUM(R19:R26)-$D$3,2))</f>
        <v>6720</v>
      </c>
      <c r="S27" s="1026">
        <f>IF(SUM(S19:S26)=$E$3,SUM(S19:S26),SUM(S19:S26)&amp;"误差"&amp;ROUND(SUM(S19:S26)-E3,2))</f>
        <v>7798.2</v>
      </c>
    </row>
    <row r="28" spans="1:19">
      <c r="A28" s="1669"/>
      <c r="B28" s="47" t="s">
        <v>1154</v>
      </c>
      <c r="C28" s="1038" t="s">
        <v>1155</v>
      </c>
      <c r="D28" s="45">
        <f>ROUND($D$3*E28/$E$3,2)</f>
        <v>221.38</v>
      </c>
      <c r="E28" s="53">
        <f>SUM(F28:G28)</f>
        <v>256.89999999999998</v>
      </c>
      <c r="F28" s="56">
        <f>'数据-基础表'!BQ5+'数据-基础表'!BS5</f>
        <v>256.89999999999998</v>
      </c>
      <c r="G28" s="57">
        <f>'数据-基础表'!BR5+'数据-基础表'!BT5</f>
        <v>0</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221.38</v>
      </c>
      <c r="E30" s="1140">
        <f>SUM(E28:E29)</f>
        <v>256.89999999999998</v>
      </c>
      <c r="F30" s="1140">
        <f>SUM(F28:F29)</f>
        <v>256.89999999999998</v>
      </c>
      <c r="G30" s="1142">
        <f>SUM(G28:G29)</f>
        <v>0</v>
      </c>
      <c r="H30" s="2656"/>
      <c r="I30" s="2656"/>
      <c r="J30" s="2656"/>
      <c r="K30" s="2656"/>
      <c r="L30" s="2656"/>
      <c r="M30" s="2656"/>
      <c r="N30" s="2656"/>
      <c r="O30" s="2656"/>
      <c r="P30" s="2656"/>
    </row>
    <row r="31" spans="1:19" ht="15.75" thickBot="1">
      <c r="A31" s="1675"/>
      <c r="B31" s="1676"/>
      <c r="C31" s="835" t="s">
        <v>1157</v>
      </c>
      <c r="D31" s="676">
        <f>D27+D30</f>
        <v>6720</v>
      </c>
      <c r="E31" s="676">
        <f>E27+E30</f>
        <v>7798.2</v>
      </c>
      <c r="F31" s="677">
        <f>F27+F30</f>
        <v>6827</v>
      </c>
      <c r="G31" s="678">
        <f>G27+G30</f>
        <v>971.2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G32" sqref="AG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1160</v>
      </c>
      <c r="B2" s="1045">
        <f>项目基本情况!D3</f>
        <v>45264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3439</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60741</v>
      </c>
      <c r="F6" s="64">
        <f>SUMIF(项目基本情况!C$12:I$12,C6,项目基本情况!C$15:I$15)</f>
        <v>42.4</v>
      </c>
      <c r="G6" s="65">
        <f>IF(ISERROR(ROUND(POWER(1+H6,D6-F6)*(POWER(1+H6,F6)-1)/(POWER(1+H6,D6)-1),3)),0,ROUND(POWER(1+H6,D6-F6)*(POWER(1+H6,F6)-1)/(POWER(1+H6,D6)-1),3))</f>
        <v>0.96299999999999997</v>
      </c>
      <c r="H6" s="732">
        <v>5.5E-2</v>
      </c>
      <c r="I6" s="732">
        <v>0.06</v>
      </c>
      <c r="J6" s="66">
        <v>7.0000000000000007E-2</v>
      </c>
      <c r="K6" s="1030">
        <f>SUMIF('数据-汇总表'!C$19:C$33,A6,'数据-汇总表'!E$19:E$33)</f>
        <v>7541.3</v>
      </c>
      <c r="L6" s="3454">
        <f>面积!G8</f>
        <v>4337</v>
      </c>
      <c r="M6" s="67">
        <f t="shared" ref="M6:M14" si="0">ROUND(K6*L6/10000,0)</f>
        <v>3271</v>
      </c>
      <c r="N6" s="731">
        <f>N19</f>
        <v>0.67</v>
      </c>
      <c r="O6" s="67" t="str">
        <f>IF($N$5="成新度","——",ROUND(M6*N6,0))</f>
        <v>——</v>
      </c>
      <c r="P6" s="68" t="str">
        <f>IF($N$5="成新度","——",M6-O6)</f>
        <v>——</v>
      </c>
      <c r="Q6" s="734">
        <v>0.15</v>
      </c>
      <c r="R6" s="69">
        <f ca="1">SUMIF('数据-汇总表'!C$19:C$33,A6,'数据-汇总表'!R$19:R$27)</f>
        <v>6720</v>
      </c>
      <c r="S6" s="51">
        <f>IF('数据-汇总表'!$I$17="按面积比例",SUMIF('数据-汇总表'!C$19:C$33,A6,'数据-汇总表'!K$19:K$33),SUMIF('数据-汇总表'!C$19:C$33,A6,'数据-汇总表'!N$19:N$33))</f>
        <v>256.89999999999998</v>
      </c>
      <c r="T6" s="1172">
        <f>ROUND($L$14*S6/10000,0)</f>
        <v>111</v>
      </c>
      <c r="U6" s="3423">
        <f>面积!H8</f>
        <v>4.5</v>
      </c>
      <c r="V6" s="70">
        <v>0</v>
      </c>
      <c r="W6" s="70">
        <v>0.1</v>
      </c>
      <c r="X6" s="1040"/>
      <c r="Y6" s="71">
        <f>N6</f>
        <v>0.67</v>
      </c>
      <c r="Z6" s="72"/>
      <c r="AA6" s="66"/>
      <c r="AB6" s="66"/>
      <c r="AC6" s="1040"/>
      <c r="AD6" s="73"/>
      <c r="AE6" s="1041">
        <f ca="1">IF(AN6="",0,SUMIF(INDIRECT("'"&amp;AN6&amp;"'"&amp;"!E:E"),$AE$5,INDIRECT("'"&amp;AN6&amp;"'"&amp;"!F:F")))</f>
        <v>26</v>
      </c>
      <c r="AF6" s="1348"/>
      <c r="AG6" s="138">
        <f>IF(AF6="",0,AE6-AF6)</f>
        <v>0</v>
      </c>
      <c r="AH6" s="74"/>
      <c r="AI6" s="76">
        <v>365</v>
      </c>
      <c r="AJ6" s="77"/>
      <c r="AK6" s="3455">
        <v>0.01</v>
      </c>
      <c r="AL6" s="79">
        <v>1.5E-3</v>
      </c>
      <c r="AM6" s="80">
        <v>0.01</v>
      </c>
      <c r="AN6" s="1714" t="s">
        <v>3440</v>
      </c>
      <c r="AO6" s="52">
        <f ca="1">SUMIF(INDIRECT("'"&amp;AN6&amp;"'"&amp;"!A:A"),"总价",INDIRECT("'"&amp;AN6&amp;"'"&amp;"!B:B"))</f>
        <v>16083</v>
      </c>
      <c r="AP6" s="1715">
        <f>IF(C6="住宅",K6*L6,0)</f>
        <v>0</v>
      </c>
      <c r="AQ6" s="52">
        <f>ROUND($L$14*$N$14*S6/10000,0)</f>
        <v>75</v>
      </c>
      <c r="AR6" s="52">
        <f>ROUND($L$14*(1-$N$14)*S6/10000,0)</f>
        <v>37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256.89999999999998</v>
      </c>
      <c r="L14" s="82">
        <f>L6</f>
        <v>4337</v>
      </c>
      <c r="M14" s="67">
        <f t="shared" si="0"/>
        <v>111</v>
      </c>
      <c r="N14" s="83">
        <f>N6</f>
        <v>0.67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0.96299999999999997</v>
      </c>
      <c r="H16" s="90">
        <f>ROUND(SUMPRODUCT(H6:H13,K6:K13)/SUMPRODUCT((H6:H13&gt;0)*(K6:K13)),3)</f>
        <v>5.5E-2</v>
      </c>
      <c r="I16" s="91"/>
      <c r="J16" s="91"/>
      <c r="K16" s="92">
        <f>SUM(K6:K15)</f>
        <v>7798.2</v>
      </c>
      <c r="L16" s="93">
        <f>ROUND(M16*10000/SUM(K6:K14),0)</f>
        <v>4337</v>
      </c>
      <c r="M16" s="93">
        <f>SUM(M6:M14)</f>
        <v>3382</v>
      </c>
      <c r="N16" s="94">
        <f>ROUND(SUMPRODUCT(M6:M14,N6:N14)/M16,3)</f>
        <v>0.67</v>
      </c>
      <c r="O16" s="93">
        <f>SUM(O6:O14)</f>
        <v>0</v>
      </c>
      <c r="P16" s="93">
        <f>SUM(P6:P14)</f>
        <v>0</v>
      </c>
      <c r="Q16" s="95">
        <f>ROUND(SUMPRODUCT(Q6:Q13,K6:K13)/SUMPRODUCT((Q6:Q13&gt;0)*(K6:K13)),2)</f>
        <v>0.15</v>
      </c>
      <c r="R16" s="1034">
        <f ca="1">SUM(R6:R13)</f>
        <v>6720</v>
      </c>
      <c r="S16" s="96">
        <f>SUM(S6:S13)</f>
        <v>256.89999999999998</v>
      </c>
      <c r="T16" s="97">
        <f>IF(SUMIF(T6:T13,"&lt;9E307")=M14,SUMIF(T6:T13,"&lt;9E307"),"有误，请检查")</f>
        <v>111</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t="s">
        <v>3436</v>
      </c>
      <c r="N17" s="2668">
        <f>ROUND(1-(2023-1989)/60,2)</f>
        <v>0.43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t="s">
        <v>3437</v>
      </c>
      <c r="N18" s="2668">
        <v>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1210</v>
      </c>
      <c r="B19" s="103">
        <v>0</v>
      </c>
      <c r="C19" s="2796" t="s">
        <v>2304</v>
      </c>
      <c r="D19" s="2673"/>
      <c r="E19" s="2670"/>
      <c r="F19" s="2670"/>
      <c r="G19" s="2670"/>
      <c r="H19" s="2670"/>
      <c r="I19" s="2670"/>
      <c r="J19" s="2670"/>
      <c r="K19" s="2669"/>
      <c r="L19" s="2669"/>
      <c r="M19" s="2668" t="s">
        <v>3438</v>
      </c>
      <c r="N19" s="2668">
        <f>ROUND((N17+N18)/2,2)</f>
        <v>0.67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1211</v>
      </c>
      <c r="B20" s="104">
        <v>1.5</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1212</v>
      </c>
      <c r="B21" s="104">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1213</v>
      </c>
      <c r="B22" s="105">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1214</v>
      </c>
      <c r="B23" s="105">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1216</v>
      </c>
      <c r="B26" s="1725"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1219</v>
      </c>
      <c r="B27" s="107">
        <v>160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156</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1229</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1230</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1235</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1236</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1237</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1238</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1239</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1240</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1243</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1244</v>
      </c>
      <c r="B53" s="1737" t="s">
        <v>184</v>
      </c>
      <c r="C53" s="2658" t="s">
        <v>1245</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44" t="s">
        <v>2285</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48">
      <c r="A3" s="2438" t="s">
        <v>2282</v>
      </c>
      <c r="B3" s="2460" t="s">
        <v>2251</v>
      </c>
      <c r="C3" s="2461" t="s">
        <v>2283</v>
      </c>
      <c r="D3" s="2462"/>
      <c r="E3" s="2439" t="s">
        <v>2282</v>
      </c>
      <c r="F3" s="2463" t="s">
        <v>2252</v>
      </c>
      <c r="G3" s="2464" t="s">
        <v>2284</v>
      </c>
      <c r="H3" s="799"/>
      <c r="I3" s="799"/>
      <c r="J3" s="799"/>
      <c r="K3" s="799"/>
      <c r="L3" s="799"/>
      <c r="M3" s="799"/>
      <c r="N3" s="799"/>
      <c r="O3" s="799"/>
      <c r="P3" s="799"/>
      <c r="Q3" s="799"/>
      <c r="R3" s="799"/>
    </row>
    <row r="4" spans="1:29" ht="36.75">
      <c r="A4" s="2439"/>
      <c r="B4" s="323" t="s">
        <v>2253</v>
      </c>
      <c r="C4" s="2465" t="s">
        <v>2254</v>
      </c>
      <c r="D4" s="2462"/>
      <c r="E4" s="2466"/>
      <c r="F4" s="1373" t="s">
        <v>2255</v>
      </c>
      <c r="G4" s="2467" t="s">
        <v>2256</v>
      </c>
      <c r="H4" s="799"/>
      <c r="I4" s="799"/>
      <c r="J4" s="799"/>
      <c r="K4" s="799"/>
      <c r="L4" s="799"/>
      <c r="M4" s="799"/>
      <c r="N4" s="799"/>
      <c r="O4" s="799"/>
      <c r="P4" s="799"/>
      <c r="Q4" s="799"/>
      <c r="R4" s="799"/>
    </row>
    <row r="5" spans="1:29" ht="36.75">
      <c r="A5" s="2439"/>
      <c r="B5" s="323" t="s">
        <v>2257</v>
      </c>
      <c r="C5" s="2465" t="s">
        <v>2258</v>
      </c>
      <c r="D5" s="2462"/>
      <c r="E5" s="2466"/>
      <c r="F5" s="323" t="s">
        <v>2259</v>
      </c>
      <c r="G5" s="2467" t="s">
        <v>2260</v>
      </c>
      <c r="H5" s="799"/>
      <c r="I5" s="799"/>
      <c r="J5" s="799"/>
      <c r="K5" s="799"/>
      <c r="L5" s="799"/>
      <c r="M5" s="799"/>
      <c r="N5" s="799"/>
      <c r="O5" s="799"/>
      <c r="P5" s="799"/>
      <c r="Q5" s="799"/>
      <c r="R5" s="799"/>
    </row>
    <row r="6" spans="1:29" ht="36">
      <c r="A6" s="2439"/>
      <c r="B6" s="323" t="s">
        <v>2261</v>
      </c>
      <c r="C6" s="2467" t="s">
        <v>2256</v>
      </c>
      <c r="D6" s="2462"/>
      <c r="E6" s="2466"/>
      <c r="F6" s="323" t="s">
        <v>2262</v>
      </c>
      <c r="G6" s="2467" t="s">
        <v>2263</v>
      </c>
      <c r="H6" s="799"/>
      <c r="I6" s="799"/>
      <c r="J6" s="799"/>
      <c r="K6" s="799"/>
      <c r="L6" s="799"/>
      <c r="M6" s="799"/>
      <c r="N6" s="799"/>
      <c r="O6" s="799"/>
      <c r="P6" s="799"/>
      <c r="Q6" s="799"/>
      <c r="R6" s="799"/>
    </row>
    <row r="7" spans="1:29" ht="24.75" thickBot="1">
      <c r="A7" s="2439"/>
      <c r="B7" s="323" t="s">
        <v>2259</v>
      </c>
      <c r="C7" s="2467" t="s">
        <v>2260</v>
      </c>
      <c r="D7" s="2468"/>
      <c r="E7" s="2469"/>
      <c r="F7" s="2470" t="s">
        <v>2264</v>
      </c>
      <c r="G7" s="2471" t="s">
        <v>2265</v>
      </c>
      <c r="H7" s="799"/>
      <c r="I7" s="799"/>
      <c r="J7" s="799"/>
      <c r="K7" s="799"/>
      <c r="L7" s="799"/>
      <c r="M7" s="799"/>
      <c r="N7" s="799"/>
      <c r="O7" s="799"/>
      <c r="P7" s="799"/>
      <c r="Q7" s="799"/>
      <c r="R7" s="799"/>
    </row>
    <row r="8" spans="1:29">
      <c r="A8" s="2439"/>
      <c r="B8" s="323" t="s">
        <v>2262</v>
      </c>
      <c r="C8" s="2467" t="s">
        <v>2263</v>
      </c>
      <c r="D8" s="2468"/>
      <c r="E8" s="2468"/>
      <c r="F8" s="2472"/>
      <c r="G8" s="2472"/>
      <c r="H8" s="799"/>
      <c r="I8" s="799"/>
      <c r="J8" s="799"/>
      <c r="K8" s="799"/>
      <c r="L8" s="799"/>
      <c r="M8" s="799"/>
      <c r="N8" s="799"/>
      <c r="O8" s="799"/>
      <c r="P8" s="799"/>
      <c r="Q8" s="799"/>
      <c r="R8" s="799"/>
    </row>
    <row r="9" spans="1:29" ht="24">
      <c r="A9" s="2439"/>
      <c r="B9" s="323" t="s">
        <v>2266</v>
      </c>
      <c r="C9" s="2465" t="s">
        <v>2267</v>
      </c>
      <c r="D9" s="2462"/>
      <c r="E9" s="2468"/>
      <c r="F9" s="2472"/>
      <c r="G9" s="2472"/>
      <c r="H9" s="799"/>
      <c r="I9" s="799"/>
      <c r="J9" s="799"/>
      <c r="K9" s="799"/>
      <c r="L9" s="799"/>
      <c r="M9" s="799"/>
      <c r="N9" s="799"/>
      <c r="O9" s="799"/>
      <c r="P9" s="799"/>
      <c r="Q9" s="799"/>
      <c r="R9" s="799"/>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9" customFormat="1" ht="15" thickBot="1">
      <c r="A23" s="2443"/>
      <c r="B23" s="2499" t="s">
        <v>2277</v>
      </c>
      <c r="C23" s="2502"/>
      <c r="D23" s="1740"/>
      <c r="E23" s="2445"/>
      <c r="F23" s="2503" t="s">
        <v>2278</v>
      </c>
      <c r="G23" s="2504"/>
      <c r="H23" s="2488"/>
      <c r="I23" s="2489"/>
      <c r="J23" s="2488"/>
      <c r="K23" s="2488"/>
      <c r="L23" s="2489"/>
      <c r="M23" s="2488"/>
      <c r="N23" s="2488"/>
      <c r="O23" s="2489"/>
      <c r="P23" s="2488"/>
      <c r="Q23" s="2488"/>
      <c r="R23" s="2490"/>
    </row>
    <row r="24" spans="1:18" s="799" customFormat="1" ht="15" thickBot="1">
      <c r="A24" s="2446"/>
      <c r="B24" s="2503" t="s">
        <v>2279</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1" sqref="H2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7798.2</v>
      </c>
      <c r="C1" s="2683"/>
      <c r="D1" s="2683"/>
      <c r="E1" s="2683"/>
      <c r="F1" s="2683"/>
      <c r="G1" s="2684"/>
      <c r="H1" s="2685"/>
      <c r="I1" s="2685"/>
      <c r="J1" s="2685"/>
      <c r="K1" s="2685"/>
    </row>
    <row r="2" spans="1:11" ht="16.5">
      <c r="A2" s="2509" t="s">
        <v>653</v>
      </c>
      <c r="B2" s="2509">
        <f>SUM(C14:C23)</f>
        <v>6720</v>
      </c>
      <c r="C2" s="2683"/>
      <c r="D2" s="2683"/>
      <c r="E2" s="2683"/>
      <c r="F2" s="2683"/>
      <c r="G2" s="2684"/>
      <c r="H2" s="2685"/>
      <c r="I2" s="2685"/>
      <c r="J2" s="2685"/>
      <c r="K2" s="2685"/>
    </row>
    <row r="3" spans="1:11" ht="16.5">
      <c r="A3" s="2509" t="s">
        <v>662</v>
      </c>
      <c r="B3" s="2511">
        <f>项目基本情况!D3</f>
        <v>45264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27671</v>
      </c>
      <c r="C5" s="2509">
        <f ca="1">IF(B5=D14,结果表!H102,ROUND(B5*10000/$B$1,0))</f>
        <v>35484</v>
      </c>
      <c r="D5" s="2509">
        <f ca="1">ROUND(B5*10000/$B$2,0)</f>
        <v>41177</v>
      </c>
      <c r="E5" s="2683"/>
      <c r="F5" s="2684"/>
      <c r="G5" s="2684"/>
      <c r="H5" s="2685"/>
      <c r="I5" s="2685"/>
      <c r="J5" s="2685"/>
      <c r="K5" s="2685"/>
    </row>
    <row r="6" spans="1:11" ht="16.5">
      <c r="A6" s="2509" t="s">
        <v>656</v>
      </c>
      <c r="B6" s="2509">
        <f ca="1">SUM(G14:G23)</f>
        <v>27671</v>
      </c>
      <c r="C6" s="2509">
        <f ca="1">IF(B6=G14,结果表!H108,ROUND(B6*10000/$B$1,0))</f>
        <v>35484</v>
      </c>
      <c r="D6" s="2509">
        <f ca="1">ROUND(B6*10000/$B$2,0)</f>
        <v>41177</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6"/>
      <c r="F10" s="3440" t="s">
        <v>3361</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7798.2</v>
      </c>
      <c r="C14" s="2515">
        <f>结果表!C118</f>
        <v>6720</v>
      </c>
      <c r="D14" s="2515">
        <f ca="1">结果表!H118</f>
        <v>27671</v>
      </c>
      <c r="E14" s="2515">
        <f ca="1">ROUND(D14*10000/B14,0)</f>
        <v>35484</v>
      </c>
      <c r="F14" s="2515">
        <f ca="1">ROUND(D14*10000/C14,0)</f>
        <v>41177</v>
      </c>
      <c r="G14" s="2515">
        <f ca="1">结果表!D122</f>
        <v>27671</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85" zoomScaleNormal="100" zoomScaleSheetLayoutView="85" zoomScalePageLayoutView="80" workbookViewId="0">
      <selection activeCell="Q131" sqref="Q13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1"/>
      <c r="H1" s="1749" t="str">
        <f>IF(G1="现房","——","估价对象范围")</f>
        <v>估价对象范围</v>
      </c>
      <c r="I1" s="1750"/>
    </row>
    <row r="2" spans="1:12" ht="21.75" customHeight="1" thickBot="1">
      <c r="A2" s="3613" t="str">
        <f>项目基本情况!S2</f>
        <v>北京市房地产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3" t="s">
        <v>1264</v>
      </c>
      <c r="B4" s="1754" t="s">
        <v>1265</v>
      </c>
      <c r="C4" s="1755" t="s">
        <v>3477</v>
      </c>
      <c r="D4" s="1755" t="s">
        <v>3440</v>
      </c>
      <c r="E4" s="3622" t="s">
        <v>1266</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61" t="s">
        <v>1267</v>
      </c>
      <c r="B5" s="3616">
        <v>25</v>
      </c>
      <c r="C5" s="3619">
        <v>22</v>
      </c>
      <c r="D5" s="3607">
        <v>22</v>
      </c>
      <c r="E5" s="131" t="s">
        <v>1268</v>
      </c>
      <c r="F5" s="1756"/>
      <c r="G5" s="1756"/>
      <c r="H5" s="1756"/>
      <c r="I5" s="1373"/>
    </row>
    <row r="6" spans="1:12" ht="12.75" customHeight="1">
      <c r="A6" s="3561"/>
      <c r="B6" s="3616"/>
      <c r="C6" s="3621"/>
      <c r="D6" s="3607"/>
      <c r="E6" s="131" t="s">
        <v>1269</v>
      </c>
      <c r="F6" s="1756"/>
      <c r="G6" s="1756"/>
      <c r="H6" s="1756"/>
      <c r="I6" s="1373"/>
    </row>
    <row r="7" spans="1:12" ht="12.75" customHeight="1">
      <c r="A7" s="3561"/>
      <c r="B7" s="3616"/>
      <c r="C7" s="3620"/>
      <c r="D7" s="3607"/>
      <c r="E7" s="131" t="s">
        <v>1270</v>
      </c>
      <c r="F7" s="1756"/>
      <c r="G7" s="1756"/>
      <c r="H7" s="1756"/>
      <c r="I7" s="1373"/>
    </row>
    <row r="8" spans="1:12" ht="12.75" customHeight="1">
      <c r="A8" s="3561" t="s">
        <v>1271</v>
      </c>
      <c r="B8" s="3616">
        <v>15</v>
      </c>
      <c r="C8" s="3619">
        <v>13</v>
      </c>
      <c r="D8" s="3607">
        <v>13</v>
      </c>
      <c r="E8" s="131" t="s">
        <v>1272</v>
      </c>
      <c r="F8" s="1756"/>
      <c r="G8" s="1756"/>
      <c r="H8" s="1756"/>
      <c r="I8" s="1373"/>
    </row>
    <row r="9" spans="1:12" ht="12.75" customHeight="1">
      <c r="A9" s="3561"/>
      <c r="B9" s="3616"/>
      <c r="C9" s="3620"/>
      <c r="D9" s="3607"/>
      <c r="E9" s="131" t="s">
        <v>1273</v>
      </c>
      <c r="F9" s="1756"/>
      <c r="G9" s="1756"/>
      <c r="H9" s="1756"/>
      <c r="I9" s="1373"/>
    </row>
    <row r="10" spans="1:12" ht="12.75" customHeight="1">
      <c r="A10" s="3561" t="s">
        <v>1274</v>
      </c>
      <c r="B10" s="3616">
        <v>15</v>
      </c>
      <c r="C10" s="3619">
        <v>14</v>
      </c>
      <c r="D10" s="3607">
        <v>14</v>
      </c>
      <c r="E10" s="131" t="s">
        <v>1275</v>
      </c>
      <c r="F10" s="1756"/>
      <c r="G10" s="1756"/>
      <c r="H10" s="1756"/>
      <c r="I10" s="1373"/>
    </row>
    <row r="11" spans="1:12" ht="12.75" customHeight="1">
      <c r="A11" s="3561"/>
      <c r="B11" s="3616"/>
      <c r="C11" s="3620"/>
      <c r="D11" s="3607"/>
      <c r="E11" s="131" t="s">
        <v>1276</v>
      </c>
      <c r="F11" s="1756"/>
      <c r="G11" s="1756"/>
      <c r="H11" s="1756"/>
      <c r="I11" s="1373"/>
    </row>
    <row r="12" spans="1:12" ht="12.75" customHeight="1">
      <c r="A12" s="3561" t="s">
        <v>1277</v>
      </c>
      <c r="B12" s="3616">
        <v>15</v>
      </c>
      <c r="C12" s="3619">
        <v>13</v>
      </c>
      <c r="D12" s="3607">
        <v>13</v>
      </c>
      <c r="E12" s="131" t="s">
        <v>1278</v>
      </c>
      <c r="F12" s="1756"/>
      <c r="G12" s="1756"/>
      <c r="H12" s="1756"/>
      <c r="I12" s="1373"/>
    </row>
    <row r="13" spans="1:12" ht="12.75" customHeight="1">
      <c r="A13" s="3561"/>
      <c r="B13" s="3616"/>
      <c r="C13" s="3620"/>
      <c r="D13" s="3607"/>
      <c r="E13" s="131" t="s">
        <v>1279</v>
      </c>
      <c r="F13" s="1756"/>
      <c r="G13" s="1756"/>
      <c r="H13" s="1756"/>
      <c r="I13" s="1373"/>
    </row>
    <row r="14" spans="1:12" ht="12.75" customHeight="1">
      <c r="A14" s="3561" t="s">
        <v>1280</v>
      </c>
      <c r="B14" s="3616">
        <v>30</v>
      </c>
      <c r="C14" s="3619">
        <v>28</v>
      </c>
      <c r="D14" s="3607">
        <v>28</v>
      </c>
      <c r="E14" s="131" t="s">
        <v>1281</v>
      </c>
      <c r="F14" s="1756"/>
      <c r="G14" s="1756"/>
      <c r="H14" s="1756"/>
      <c r="I14" s="1373"/>
    </row>
    <row r="15" spans="1:12" ht="12.75" customHeight="1">
      <c r="A15" s="3561"/>
      <c r="B15" s="3616"/>
      <c r="C15" s="3621"/>
      <c r="D15" s="3607"/>
      <c r="E15" s="131" t="s">
        <v>1282</v>
      </c>
      <c r="F15" s="1756"/>
      <c r="G15" s="1756"/>
      <c r="H15" s="1756"/>
      <c r="I15" s="1373"/>
    </row>
    <row r="16" spans="1:12" ht="12.75" customHeight="1">
      <c r="A16" s="3561"/>
      <c r="B16" s="3616"/>
      <c r="C16" s="3620"/>
      <c r="D16" s="3607"/>
      <c r="E16" s="131" t="s">
        <v>1283</v>
      </c>
      <c r="F16" s="1756"/>
      <c r="G16" s="1756"/>
      <c r="H16" s="1756"/>
      <c r="I16" s="1373"/>
    </row>
    <row r="17" spans="1:36" ht="15">
      <c r="A17" s="1757" t="s">
        <v>1284</v>
      </c>
      <c r="B17" s="56"/>
      <c r="C17" s="132">
        <f>SUM(C5:C16)</f>
        <v>90</v>
      </c>
      <c r="D17" s="132">
        <f>SUM(D5:D16)</f>
        <v>90</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38" t="s">
        <v>2130</v>
      </c>
      <c r="F18" s="3639"/>
      <c r="G18" s="3639"/>
      <c r="H18" s="3639"/>
      <c r="I18" s="3639"/>
      <c r="J18" s="725" t="s">
        <v>3478</v>
      </c>
      <c r="K18" s="302" t="s">
        <v>1288</v>
      </c>
      <c r="L18" s="302">
        <f>IF(C1="",'数据-汇总表'!E3,SUMIF(项目类型,C1,'数据-汇总表'!E17:E26)+SUMIF(项目类型,C1,'数据-汇总表'!I17:I26))</f>
        <v>7798.2</v>
      </c>
      <c r="M18" s="302">
        <f>IF(C1="",'数据-汇总表'!E3,SUMIF(项目类型,C1,'数据-汇总表'!E17:E26))</f>
        <v>7798.2</v>
      </c>
    </row>
    <row r="19" spans="1:36" ht="15">
      <c r="A19" s="1760" t="s">
        <v>1289</v>
      </c>
      <c r="B19" s="1761" t="s">
        <v>1290</v>
      </c>
      <c r="C19" s="134">
        <f ca="1">SUMIF(INDIRECT("'"&amp;C4&amp;"'"&amp;"!A:A"),结果表!B19,INDIRECT("'"&amp;C4&amp;"'"&amp;"!B:B"))</f>
        <v>39259</v>
      </c>
      <c r="D19" s="135">
        <f ca="1">SUMIF(INDIRECT("'"&amp;D4&amp;"'"&amp;"!A:A"),结果表!B19,INDIRECT("'"&amp;D4&amp;"'"&amp;"!B:B"))</f>
        <v>16083</v>
      </c>
      <c r="E19" s="1760" t="s">
        <v>1291</v>
      </c>
      <c r="F19" s="1761" t="s">
        <v>1290</v>
      </c>
      <c r="G19" s="136">
        <f ca="1">ROUND(C19*$C$18+D19*$D$18,0)</f>
        <v>27671</v>
      </c>
      <c r="H19" s="1762" t="s">
        <v>1292</v>
      </c>
      <c r="I19" s="129"/>
      <c r="J19" s="725">
        <v>27283</v>
      </c>
      <c r="K19" s="302" t="s">
        <v>1293</v>
      </c>
      <c r="L19" s="302">
        <f>IF(C1="",'数据-汇总表'!D3,SUMIF(项目类型,C1,'数据-汇总表'!D17:D26)+SUMIF(项目类型,C1,'数据-汇总表'!H17:H27))</f>
        <v>6720</v>
      </c>
      <c r="M19" s="302">
        <f>IF(C1="",'数据-汇总表'!D3,SUMIF(项目类型,C1,'数据-汇总表'!D17:D26))</f>
        <v>6720</v>
      </c>
    </row>
    <row r="20" spans="1:36" ht="15">
      <c r="A20" s="1763"/>
      <c r="B20" s="1026" t="s">
        <v>1294</v>
      </c>
      <c r="C20" s="137">
        <f ca="1">SUMIF(INDIRECT("'"&amp;C4&amp;"'"&amp;"!A:A"),结果表!B20,INDIRECT("'"&amp;C4&amp;"'"&amp;"!B:B"))</f>
        <v>50344</v>
      </c>
      <c r="D20" s="138">
        <f ca="1">SUMIF(INDIRECT("'"&amp;D4&amp;"'"&amp;"!A:A"),结果表!B20,INDIRECT("'"&amp;D4&amp;"'"&amp;"!B:B"))</f>
        <v>21327</v>
      </c>
      <c r="E20" s="1763"/>
      <c r="F20" s="1026" t="s">
        <v>1294</v>
      </c>
      <c r="G20" s="139">
        <f ca="1">ROUND(C20*$C$18+D20*$D$18,0)</f>
        <v>35836</v>
      </c>
      <c r="H20" s="808" t="s">
        <v>1295</v>
      </c>
      <c r="I20" s="129"/>
    </row>
    <row r="21" spans="1:36" ht="15" customHeight="1" thickBot="1">
      <c r="A21" s="828"/>
      <c r="B21" s="1764" t="s">
        <v>1296</v>
      </c>
      <c r="C21" s="719">
        <f ca="1">ROUND(C19*10000/L19,0)</f>
        <v>58421</v>
      </c>
      <c r="D21" s="720">
        <f ca="1">ROUND(D19*10000/L19,0)</f>
        <v>23933</v>
      </c>
      <c r="E21" s="828"/>
      <c r="F21" s="1764" t="s">
        <v>1296</v>
      </c>
      <c r="G21" s="140">
        <f ca="1">ROUND(G19*10000/L19,0)</f>
        <v>41177</v>
      </c>
      <c r="H21" s="1765" t="s">
        <v>1295</v>
      </c>
      <c r="I21" s="129"/>
    </row>
    <row r="22" spans="1:36" ht="15" thickBot="1">
      <c r="A22" s="1687" t="s">
        <v>1297</v>
      </c>
      <c r="B22" s="1766"/>
      <c r="C22" s="1767"/>
      <c r="D22" s="721">
        <f ca="1">IF(C19&lt;D19,D19/C19-1,C19/D19-1)</f>
        <v>1.4410246844494186</v>
      </c>
      <c r="E22" s="129"/>
      <c r="F22" s="129"/>
      <c r="G22" s="129"/>
      <c r="H22" s="129"/>
      <c r="I22" s="129"/>
    </row>
    <row r="23" spans="1:36" ht="13.5" thickBot="1">
      <c r="A23" s="1746"/>
      <c r="B23" s="1746"/>
      <c r="C23" s="1746"/>
      <c r="D23" s="1746"/>
      <c r="E23" s="129"/>
      <c r="F23" s="129"/>
      <c r="G23" s="129"/>
      <c r="H23" s="129"/>
      <c r="I23" s="129"/>
    </row>
    <row r="24" spans="1:36" ht="14.25">
      <c r="A24" s="3631" t="s">
        <v>1298</v>
      </c>
      <c r="B24" s="1761" t="s">
        <v>1290</v>
      </c>
      <c r="C24" s="136">
        <f>IF(B30=0,0,D30)</f>
        <v>0</v>
      </c>
      <c r="D24" s="1768"/>
      <c r="E24" s="129"/>
      <c r="F24" s="129"/>
      <c r="G24" s="129"/>
      <c r="H24" s="129"/>
      <c r="I24" s="129"/>
    </row>
    <row r="25" spans="1:36" ht="14.25">
      <c r="A25" s="3632"/>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27671</v>
      </c>
      <c r="D32" s="1774" t="s">
        <v>3475</v>
      </c>
      <c r="E32" s="129"/>
      <c r="F32" s="129"/>
      <c r="G32" s="129"/>
      <c r="H32" s="129"/>
      <c r="I32" s="129"/>
    </row>
    <row r="33" spans="1:15" ht="15">
      <c r="A33" s="786" t="s">
        <v>1305</v>
      </c>
      <c r="B33" s="1775"/>
      <c r="C33" s="1776" t="s">
        <v>3476</v>
      </c>
      <c r="D33" s="1777" t="s">
        <v>3477</v>
      </c>
      <c r="E33" s="1778" t="s">
        <v>1306</v>
      </c>
      <c r="F33" s="1779" t="str">
        <f>IF(D32="楼面单价","取值（单价）","取值（总价）")</f>
        <v>取值（总价）</v>
      </c>
      <c r="G33" s="129"/>
      <c r="H33" s="129"/>
      <c r="I33" s="129"/>
    </row>
    <row r="34" spans="1:15" ht="15">
      <c r="A34" s="1780"/>
      <c r="B34" s="1781" t="s">
        <v>1307</v>
      </c>
      <c r="C34" s="148">
        <f ca="1">IF(C33="自定义",F34,C32-C35)</f>
        <v>25374</v>
      </c>
      <c r="D34" s="861">
        <f ca="1">IF(C33="自定义",ROUND(C34/C32,3),IF(C33="收益比率",SUMIF(INDIRECT("'"&amp;D33&amp;"'"&amp;"!b:b"),"土地收益比率",INDIRECT("'"&amp;D33&amp;"'"&amp;"!c:c")),SUMIF(INDIRECT("'"&amp;D33&amp;"'"&amp;"!b:b"),"土地成本比率",INDIRECT("'"&amp;D33&amp;"'"&amp;"!c:c"))))</f>
        <v>0.91700000000000004</v>
      </c>
      <c r="E34" s="1782" t="s">
        <v>1308</v>
      </c>
      <c r="F34" s="1330"/>
      <c r="G34" s="129"/>
      <c r="H34" s="129"/>
      <c r="I34" s="129"/>
    </row>
    <row r="35" spans="1:15" ht="15.75" thickBot="1">
      <c r="A35" s="1783"/>
      <c r="B35" s="1784" t="s">
        <v>1309</v>
      </c>
      <c r="C35" s="1170">
        <f ca="1">IF(C33="自定义",F35,ROUND(C32*D35,0))</f>
        <v>2297</v>
      </c>
      <c r="D35" s="1171">
        <f ca="1">IF(C33="自定义",ROUND(C35/C32,3),IF(C33="收益比率",SUMIF(INDIRECT("'"&amp;D33&amp;"'"&amp;"!b:b"),"建筑物收益比率",INDIRECT("'"&amp;D33&amp;"'"&amp;"!c:c")),SUMIF(INDIRECT("'"&amp;D33&amp;"'"&amp;"!b:b"),"建筑物成本比率",INDIRECT("'"&amp;D33&amp;"'"&amp;"!c:c"))))</f>
        <v>8.3000000000000004E-2</v>
      </c>
      <c r="E35" s="1785" t="s">
        <v>1310</v>
      </c>
      <c r="F35" s="154"/>
      <c r="G35" s="129"/>
      <c r="H35" s="129"/>
      <c r="I35" s="129"/>
    </row>
    <row r="36" spans="1:15" ht="15.75" thickBot="1">
      <c r="A36" s="3608" t="s">
        <v>1311</v>
      </c>
      <c r="B36" s="1786" t="s">
        <v>1312</v>
      </c>
      <c r="C36" s="145"/>
      <c r="D36" s="1787"/>
      <c r="E36" s="1788"/>
      <c r="F36" s="1789"/>
      <c r="G36" s="129"/>
      <c r="H36" s="129"/>
      <c r="I36" s="129"/>
    </row>
    <row r="37" spans="1:15" ht="15.75" thickBot="1">
      <c r="A37" s="3609"/>
      <c r="B37" s="1673" t="s">
        <v>1313</v>
      </c>
      <c r="C37" s="147"/>
      <c r="D37" s="1139"/>
      <c r="E37" s="1139"/>
      <c r="F37" s="1789"/>
      <c r="G37" s="129"/>
      <c r="H37" s="129"/>
      <c r="I37" s="129"/>
    </row>
    <row r="38" spans="1:15" ht="15.75" thickBot="1">
      <c r="A38" s="3610"/>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28" t="s">
        <v>1325</v>
      </c>
      <c r="B45" s="3629"/>
      <c r="C45" s="3630"/>
      <c r="D45" s="155">
        <f ca="1">ROUND(H101*F45,0)</f>
        <v>27671</v>
      </c>
      <c r="E45" s="156" t="s">
        <v>1326</v>
      </c>
      <c r="F45" s="157">
        <v>1</v>
      </c>
      <c r="G45" s="158" t="s">
        <v>1327</v>
      </c>
      <c r="H45" s="129"/>
      <c r="I45" s="129"/>
      <c r="J45" s="3548" t="s">
        <v>1328</v>
      </c>
      <c r="K45" s="3548"/>
      <c r="L45" s="3548"/>
      <c r="M45" s="3548"/>
      <c r="N45" s="3548"/>
      <c r="O45" s="3548"/>
    </row>
    <row r="46" spans="1:15" ht="14.25" customHeight="1">
      <c r="A46" s="3625" t="s">
        <v>1329</v>
      </c>
      <c r="B46" s="3626"/>
      <c r="C46" s="3626"/>
      <c r="D46" s="3626"/>
      <c r="E46" s="3626"/>
      <c r="F46" s="3626"/>
      <c r="G46" s="3627"/>
      <c r="H46" s="1805"/>
      <c r="I46" s="159"/>
      <c r="J46" s="2520">
        <v>1</v>
      </c>
      <c r="K46" s="3549" t="s">
        <v>1330</v>
      </c>
      <c r="L46" s="3549"/>
      <c r="M46" s="3550"/>
      <c r="N46" s="3550"/>
      <c r="O46" s="3550"/>
    </row>
    <row r="47" spans="1:15" ht="12" customHeight="1">
      <c r="A47" s="160" t="s">
        <v>1331</v>
      </c>
      <c r="B47" s="161"/>
      <c r="C47" s="162"/>
      <c r="D47" s="1087" t="s">
        <v>1332</v>
      </c>
      <c r="E47" s="302" t="s">
        <v>1333</v>
      </c>
      <c r="F47" s="163" t="s">
        <v>1334</v>
      </c>
      <c r="G47" s="2543" t="s">
        <v>1335</v>
      </c>
      <c r="H47" s="2544"/>
      <c r="I47" s="159"/>
      <c r="J47" s="2520">
        <v>2</v>
      </c>
      <c r="K47" s="3549" t="s">
        <v>1336</v>
      </c>
      <c r="L47" s="3549"/>
      <c r="M47" s="3551">
        <f>'数据-取费表'!B2</f>
        <v>45264</v>
      </c>
      <c r="N47" s="3551"/>
      <c r="O47" s="3551"/>
    </row>
    <row r="48" spans="1:15" ht="25.5">
      <c r="A48" s="3611" t="s">
        <v>1337</v>
      </c>
      <c r="B48" s="3612"/>
      <c r="C48" s="3612"/>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1338</v>
      </c>
      <c r="H48" s="2547"/>
      <c r="I48" s="1805"/>
      <c r="J48" s="2520">
        <v>3</v>
      </c>
      <c r="K48" s="3549" t="s">
        <v>1339</v>
      </c>
      <c r="L48" s="3549"/>
      <c r="M48" s="3552">
        <f ca="1">H101</f>
        <v>27671</v>
      </c>
      <c r="N48" s="3552"/>
      <c r="O48" s="3552"/>
    </row>
    <row r="49" spans="1:35" ht="25.5" customHeight="1">
      <c r="A49" s="2330" t="s">
        <v>1340</v>
      </c>
      <c r="B49" s="3597" t="s">
        <v>1341</v>
      </c>
      <c r="C49" s="3597"/>
      <c r="D49" s="1590">
        <v>0</v>
      </c>
      <c r="E49" s="324" t="s">
        <v>1342</v>
      </c>
      <c r="F49" s="2421" t="s">
        <v>28</v>
      </c>
      <c r="G49" s="3580"/>
      <c r="H49" s="2307" t="s">
        <v>2133</v>
      </c>
      <c r="I49" s="2308"/>
      <c r="J49" s="2520">
        <v>4</v>
      </c>
      <c r="K49" s="3549" t="str">
        <f>IF(项目基本情况!E8="房地产抵押价值","房地产抵押价值","抵押担保权已注销时的房地产抵押价值")</f>
        <v>房地产抵押价值</v>
      </c>
      <c r="L49" s="3549"/>
      <c r="M49" s="3552">
        <f ca="1">IF(项目基本情况!E8="房地产抵押价值",H107,H109)</f>
        <v>27671</v>
      </c>
      <c r="N49" s="3552"/>
      <c r="O49" s="3552"/>
    </row>
    <row r="50" spans="1:35" ht="25.5" customHeight="1">
      <c r="A50" s="2548"/>
      <c r="B50" s="3597" t="s">
        <v>1343</v>
      </c>
      <c r="C50" s="3597"/>
      <c r="D50" s="2549"/>
      <c r="E50" s="332"/>
      <c r="F50" s="2421"/>
      <c r="G50" s="3581"/>
      <c r="H50" s="2309" t="s">
        <v>2134</v>
      </c>
      <c r="I50" s="2308"/>
      <c r="J50" s="3548" t="s">
        <v>1344</v>
      </c>
      <c r="K50" s="3548"/>
      <c r="L50" s="3548"/>
      <c r="M50" s="3548"/>
      <c r="N50" s="3548"/>
      <c r="O50" s="3548"/>
    </row>
    <row r="51" spans="1:35" ht="20.45" customHeight="1">
      <c r="A51" s="2550"/>
      <c r="B51" s="3597" t="s">
        <v>1345</v>
      </c>
      <c r="C51" s="3597"/>
      <c r="D51" s="1087"/>
      <c r="E51" s="327"/>
      <c r="F51" s="2421"/>
      <c r="G51" s="3582"/>
      <c r="H51" s="2309" t="s">
        <v>2135</v>
      </c>
      <c r="I51" s="2308"/>
      <c r="J51" s="2521" t="s">
        <v>1346</v>
      </c>
      <c r="K51" s="3549" t="s">
        <v>1347</v>
      </c>
      <c r="L51" s="3549"/>
      <c r="M51" s="2521" t="s">
        <v>1348</v>
      </c>
      <c r="N51" s="2521" t="s">
        <v>1349</v>
      </c>
      <c r="O51" s="2521" t="s">
        <v>1350</v>
      </c>
    </row>
    <row r="52" spans="1:35" ht="24" customHeight="1">
      <c r="A52" s="2332" t="s">
        <v>1351</v>
      </c>
      <c r="B52" s="3597" t="s">
        <v>1352</v>
      </c>
      <c r="C52" s="3597"/>
      <c r="D52" s="1087">
        <f ca="1">ROUND(D45*'数据-取费表'!B41/(1+'数据-取费表'!C42),0)</f>
        <v>1476</v>
      </c>
      <c r="E52" s="2331" t="s">
        <v>1353</v>
      </c>
      <c r="F52" s="2551">
        <f>'数据-取费表'!B41</f>
        <v>5.6000000000000001E-2</v>
      </c>
      <c r="G52" s="2552"/>
      <c r="H52" s="2541"/>
      <c r="I52" s="1806"/>
      <c r="J52" s="2520">
        <v>1</v>
      </c>
      <c r="K52" s="3574" t="s">
        <v>1354</v>
      </c>
      <c r="L52" s="3574"/>
      <c r="M52" s="2522" t="b">
        <f>D48</f>
        <v>0</v>
      </c>
      <c r="N52" s="2520" t="str">
        <f>E48</f>
        <v>销售额×税（费）率</v>
      </c>
      <c r="O52" s="2523">
        <f>F48</f>
        <v>5.6000000000000001E-2</v>
      </c>
    </row>
    <row r="53" spans="1:35" ht="12" customHeight="1">
      <c r="A53" s="2332" t="s">
        <v>1355</v>
      </c>
      <c r="B53" s="3598" t="s">
        <v>2290</v>
      </c>
      <c r="C53" s="3599"/>
      <c r="D53" s="1087">
        <f ca="1">ROUND(D45*'数据-取费表'!B41/(1+'数据-取费表'!C42),0)</f>
        <v>1476</v>
      </c>
      <c r="E53" s="2331" t="s">
        <v>1353</v>
      </c>
      <c r="F53" s="2551">
        <f>'数据-取费表'!B41</f>
        <v>5.6000000000000001E-2</v>
      </c>
      <c r="G53" s="2552"/>
      <c r="H53" s="2541"/>
      <c r="I53" s="1806"/>
      <c r="J53" s="2520">
        <v>2</v>
      </c>
      <c r="K53" s="3574" t="s">
        <v>1356</v>
      </c>
      <c r="L53" s="3574"/>
      <c r="M53" s="2522">
        <f t="shared" ref="M53:O54" ca="1" si="0">D55</f>
        <v>14</v>
      </c>
      <c r="N53" s="2520" t="str">
        <f t="shared" si="0"/>
        <v>销售额×税（费）率</v>
      </c>
      <c r="O53" s="2523" t="str">
        <f t="shared" si="0"/>
        <v>免征</v>
      </c>
    </row>
    <row r="54" spans="1:35" ht="12" customHeight="1">
      <c r="A54" s="2332" t="s">
        <v>1357</v>
      </c>
      <c r="B54" s="3598" t="s">
        <v>2291</v>
      </c>
      <c r="C54" s="3599"/>
      <c r="D54" s="1087">
        <f ca="1">C68</f>
        <v>1476</v>
      </c>
      <c r="E54" s="327" t="s">
        <v>1358</v>
      </c>
      <c r="F54" s="2551">
        <f>'数据-取费表'!B41</f>
        <v>5.6000000000000001E-2</v>
      </c>
      <c r="G54" s="2552"/>
      <c r="H54" s="2553"/>
      <c r="I54" s="1806"/>
      <c r="J54" s="2520">
        <v>3</v>
      </c>
      <c r="K54" s="3574" t="s">
        <v>1359</v>
      </c>
      <c r="L54" s="3574"/>
      <c r="M54" s="2522">
        <f t="shared" ca="1" si="0"/>
        <v>15662</v>
      </c>
      <c r="N54" s="2520" t="str">
        <f t="shared" si="0"/>
        <v>增值额×税（费）率</v>
      </c>
      <c r="O54" s="2524" t="str">
        <f t="shared" si="0"/>
        <v>免征</v>
      </c>
    </row>
    <row r="55" spans="1:35" ht="24" customHeight="1">
      <c r="A55" s="3634" t="s">
        <v>1360</v>
      </c>
      <c r="B55" s="3612"/>
      <c r="C55" s="3612"/>
      <c r="D55" s="2321">
        <f ca="1">IF(H55="个人住宅",0,ROUND(D45*I55,0))</f>
        <v>14</v>
      </c>
      <c r="E55" s="2331" t="s">
        <v>1361</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264</v>
      </c>
      <c r="N55" s="2039" t="str">
        <f>E59</f>
        <v>差额计税</v>
      </c>
      <c r="O55" s="2526">
        <f>F59</f>
        <v>0.01</v>
      </c>
    </row>
    <row r="56" spans="1:35" ht="24.75">
      <c r="A56" s="3634" t="s">
        <v>1362</v>
      </c>
      <c r="B56" s="3612"/>
      <c r="C56" s="3612"/>
      <c r="D56" s="2321">
        <f ca="1">IF(H56="个人住宅",D57,D58)</f>
        <v>15662</v>
      </c>
      <c r="E56" s="2331" t="s">
        <v>1363</v>
      </c>
      <c r="F56" s="2551" t="str">
        <f>IF(H56="正常",F58,"免征")</f>
        <v>免征</v>
      </c>
      <c r="G56" s="2554" t="s">
        <v>1364</v>
      </c>
      <c r="H56" s="2555"/>
      <c r="I56" s="1807"/>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c r="A57" s="2332" t="s">
        <v>1340</v>
      </c>
      <c r="B57" s="3598" t="s">
        <v>1365</v>
      </c>
      <c r="C57" s="3599"/>
      <c r="D57" s="1590">
        <v>0</v>
      </c>
      <c r="E57" s="324" t="s">
        <v>1342</v>
      </c>
      <c r="F57" s="302"/>
      <c r="G57" s="2552"/>
      <c r="H57" s="2556"/>
      <c r="I57" s="1807"/>
      <c r="J57" s="3574">
        <f>IF(AND(J55="",J56=""),4,IF(项目基本情况!K6="上海银行",结果表!J56+1,结果表!J55+1))</f>
        <v>5</v>
      </c>
      <c r="K57" s="3574" t="s">
        <v>1366</v>
      </c>
      <c r="L57" s="2527" t="s">
        <v>1367</v>
      </c>
      <c r="M57" s="2528"/>
      <c r="N57" s="2529">
        <f ca="1">SUMIF(M52:M56,"&lt;9e307")</f>
        <v>15940</v>
      </c>
      <c r="O57" s="2530"/>
      <c r="P57" s="2687">
        <f ca="1">N57/M49</f>
        <v>0.57605435293267315</v>
      </c>
    </row>
    <row r="58" spans="1:35" ht="24.75">
      <c r="A58" s="2332" t="s">
        <v>1351</v>
      </c>
      <c r="B58" s="3598" t="s">
        <v>1368</v>
      </c>
      <c r="C58" s="3597"/>
      <c r="D58" s="2321">
        <f ca="1">IF(H58="转让取得",C81,C97)</f>
        <v>15662</v>
      </c>
      <c r="E58" s="2331" t="s">
        <v>1363</v>
      </c>
      <c r="F58" s="302" t="s">
        <v>28</v>
      </c>
      <c r="G58" s="2552"/>
      <c r="H58" s="2555"/>
      <c r="I58" s="1807"/>
      <c r="J58" s="3574"/>
      <c r="K58" s="3574"/>
      <c r="L58" s="2527" t="s">
        <v>1369</v>
      </c>
      <c r="M58" s="2531"/>
      <c r="N58" s="2532" t="str">
        <f ca="1">NUMBERSTRING(INT(N57*10000),2)&amp;"元整"</f>
        <v>壹亿伍仟玖佰肆拾万元整</v>
      </c>
      <c r="O58" s="2533"/>
    </row>
    <row r="59" spans="1:35" ht="24.75" thickBot="1">
      <c r="A59" s="3578" t="s">
        <v>1370</v>
      </c>
      <c r="B59" s="3579"/>
      <c r="C59" s="3579"/>
      <c r="D59" s="2557">
        <f ca="1">IF(H59="非个人房产","——",IF(H59="个人住宅（满五唯一有凭证）",0,IF(H59="个人其他（无凭证）",ROUND(D45*F59,0),ROUND(C67*F59,0))))</f>
        <v>264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576">
        <f>J57+1</f>
        <v>6</v>
      </c>
      <c r="K59" s="3574" t="s">
        <v>1371</v>
      </c>
      <c r="L59" s="2520" t="s">
        <v>1367</v>
      </c>
      <c r="M59" s="2534"/>
      <c r="N59" s="2535">
        <f ca="1">M49-N57</f>
        <v>11731</v>
      </c>
      <c r="O59" s="2536"/>
    </row>
    <row r="60" spans="1:35" ht="12" customHeight="1">
      <c r="A60" s="1808"/>
      <c r="B60" s="1746"/>
      <c r="C60" s="1746"/>
      <c r="D60" s="1746"/>
      <c r="E60" s="1578"/>
      <c r="F60" s="1807"/>
      <c r="G60" s="1807"/>
      <c r="H60" s="1809"/>
      <c r="I60" s="129"/>
      <c r="J60" s="3577"/>
      <c r="K60" s="3574"/>
      <c r="L60" s="2527" t="s">
        <v>1369</v>
      </c>
      <c r="M60" s="2531"/>
      <c r="N60" s="2532" t="str">
        <f ca="1">NUMBERSTRING(INT(N59*10000),2)&amp;"元整"</f>
        <v>壹亿壹仟柒佰叁拾壹万元整</v>
      </c>
      <c r="O60" s="2533"/>
    </row>
    <row r="61" spans="1:35" ht="13.5" thickBot="1">
      <c r="A61" s="3633" t="s">
        <v>1372</v>
      </c>
      <c r="B61" s="3633"/>
      <c r="C61" s="3633"/>
      <c r="D61" s="3633"/>
      <c r="E61" s="3633"/>
      <c r="F61" s="1807"/>
      <c r="G61" s="1807"/>
      <c r="H61" s="1809"/>
      <c r="I61" s="129"/>
      <c r="J61" s="2520">
        <f>J59+1</f>
        <v>7</v>
      </c>
      <c r="K61" s="3574" t="s">
        <v>1373</v>
      </c>
      <c r="L61" s="3574"/>
      <c r="M61" s="2537"/>
      <c r="N61" s="2538">
        <f ca="1">ROUND(N59*10000/'数据-汇总表'!E3,0)</f>
        <v>15043</v>
      </c>
      <c r="O61" s="2539"/>
    </row>
    <row r="62" spans="1:35" ht="12.75">
      <c r="A62" s="3593" t="s">
        <v>1374</v>
      </c>
      <c r="B62" s="3594"/>
      <c r="C62" s="2020"/>
      <c r="D62" s="2020" t="s">
        <v>1375</v>
      </c>
      <c r="E62" s="166" t="s">
        <v>1376</v>
      </c>
      <c r="F62" s="1807"/>
      <c r="G62" s="1807"/>
      <c r="H62" s="1809"/>
      <c r="I62" s="129"/>
    </row>
    <row r="63" spans="1:35" ht="12.75">
      <c r="A63" s="173" t="s">
        <v>330</v>
      </c>
      <c r="B63" s="167" t="s">
        <v>1377</v>
      </c>
      <c r="C63" s="2561">
        <f ca="1">ROUND((C64+C65)/(1+'数据-取费表'!C42),0)</f>
        <v>26353</v>
      </c>
      <c r="D63" s="167"/>
      <c r="E63" s="168"/>
      <c r="F63" s="1807"/>
      <c r="G63" s="1807"/>
      <c r="H63" s="1809"/>
      <c r="I63" s="129"/>
      <c r="J63" s="3557" t="s">
        <v>1378</v>
      </c>
      <c r="K63" s="1332" t="s">
        <v>1379</v>
      </c>
      <c r="L63" s="1332">
        <f ca="1">IF(M49&gt;10000,M49*0.5%,IF(AND(M49&gt;1000,M49&lt;=10000),M49*1%,IF(AND(M49&gt;100,M49&lt;=1000),M49*3%,IF(AND(M49&gt;10,M49&lt;=100),M49*5%,M49*8%))))</f>
        <v>138.35499999999999</v>
      </c>
      <c r="M63" s="302">
        <f ca="1">ROUND(L63,1)</f>
        <v>138.4</v>
      </c>
      <c r="N63" s="2540"/>
      <c r="Z63" s="1751"/>
      <c r="AI63" s="1752"/>
    </row>
    <row r="64" spans="1:35" ht="14.25" customHeight="1">
      <c r="A64" s="169" t="s">
        <v>325</v>
      </c>
      <c r="B64" s="170" t="s">
        <v>1380</v>
      </c>
      <c r="C64" s="2562">
        <f ca="1">D45</f>
        <v>27671</v>
      </c>
      <c r="D64" s="170" t="s">
        <v>26</v>
      </c>
      <c r="E64" s="172"/>
      <c r="F64" s="1807"/>
      <c r="G64" s="1807"/>
      <c r="H64" s="1809"/>
      <c r="I64" s="129"/>
      <c r="J64" s="3557"/>
      <c r="K64" s="1332" t="s">
        <v>1381</v>
      </c>
      <c r="L64" s="1332">
        <f ca="1">IF(M49&gt;2000,M49*0.5%,IF(AND(M49&gt;1000,M49&lt;=2000),M49*0.6%,IF(AND(M49&gt;500,M49&lt;=1000),M49*0.7%,IF(AND(M49&gt;200,M49&lt;=500),M49*0.8%,IF(AND(M49&gt;100,M49&lt;=200),M49*0.9%,IF(AND(M49&gt;50,M49&lt;=100),M49*1%,IF(AND(M49&gt;20,M49&lt;=50),M49*1.5%,IF(AND(M49&gt;10,M49&lt;=20),M49*2%,IF(AND(M49&gt;1,M49&lt;=10),M49*2.5%)))))))))</f>
        <v>138.35499999999999</v>
      </c>
      <c r="M64" s="302">
        <f t="shared" ref="M64:M65" ca="1" si="1">ROUND(L64,1)</f>
        <v>138.4</v>
      </c>
      <c r="N64" s="2541" t="s">
        <v>1382</v>
      </c>
      <c r="Z64" s="1751"/>
      <c r="AI64" s="1752"/>
    </row>
    <row r="65" spans="1:35" ht="14.25" customHeight="1">
      <c r="A65" s="169" t="s">
        <v>326</v>
      </c>
      <c r="B65" s="170" t="s">
        <v>1383</v>
      </c>
      <c r="C65" s="2563"/>
      <c r="D65" s="170"/>
      <c r="E65" s="172"/>
      <c r="F65" s="1807"/>
      <c r="G65" s="1807"/>
      <c r="H65" s="1809"/>
      <c r="I65" s="129"/>
      <c r="J65" s="3557"/>
      <c r="K65" s="1332" t="s">
        <v>1384</v>
      </c>
      <c r="L65" s="1332">
        <f ca="1">IF(M49&gt;1000,M49*0.1%,IF(AND(M49&gt;500,M49&lt;=1000),M49*0.5%,IF(AND(M49&gt;50,M49&lt;=500),M49*1%,IF(AND(M49&gt;1,M49&lt;=50),M49*1.5%))))</f>
        <v>27.670999999999999</v>
      </c>
      <c r="M65" s="302">
        <f t="shared" ca="1" si="1"/>
        <v>27.7</v>
      </c>
      <c r="N65" s="2541" t="s">
        <v>1382</v>
      </c>
      <c r="Z65" s="1751"/>
      <c r="AI65" s="1752"/>
    </row>
    <row r="66" spans="1:35" ht="14.25" customHeight="1">
      <c r="A66" s="173" t="s">
        <v>327</v>
      </c>
      <c r="B66" s="174" t="s">
        <v>1385</v>
      </c>
      <c r="C66" s="2564"/>
      <c r="D66" s="174" t="s">
        <v>26</v>
      </c>
      <c r="E66" s="1338" t="s">
        <v>671</v>
      </c>
      <c r="F66" s="1807"/>
      <c r="G66" s="1807"/>
      <c r="H66" s="1809"/>
      <c r="I66" s="129"/>
      <c r="J66" s="3557"/>
      <c r="K66" s="1332" t="s">
        <v>1386</v>
      </c>
      <c r="L66" s="1332">
        <f ca="1">M49*0.5%</f>
        <v>138.35499999999999</v>
      </c>
      <c r="M66" s="302">
        <f ca="1">IF(L66&gt;0.5,0.5,ROUND(L66,0))</f>
        <v>0.5</v>
      </c>
      <c r="N66" s="2541" t="s">
        <v>1387</v>
      </c>
      <c r="Z66" s="1751"/>
      <c r="AI66" s="1752"/>
    </row>
    <row r="67" spans="1:35" ht="14.25" customHeight="1">
      <c r="A67" s="173" t="s">
        <v>328</v>
      </c>
      <c r="B67" s="174" t="s">
        <v>1388</v>
      </c>
      <c r="C67" s="2565">
        <f ca="1">C63-C66</f>
        <v>26353</v>
      </c>
      <c r="D67" s="170" t="s">
        <v>26</v>
      </c>
      <c r="E67" s="172"/>
      <c r="F67" s="1807"/>
      <c r="G67" s="1807"/>
      <c r="H67" s="1809"/>
      <c r="I67" s="129"/>
      <c r="J67" s="3557"/>
      <c r="K67" s="1332" t="s">
        <v>1389</v>
      </c>
      <c r="L67" s="1332">
        <f ca="1">IF(M49&gt;=10000,(8.25+(M49-10000)*0.01%),IF(AND(M49&gt;=8000,M49&lt;10000),(7.85+(M49-8000)*0.02%),IF(AND(M49&gt;=5000,M49&lt;8000),(6.65+(M49-5000)*0.04%),IF(AND(M49&gt;=2000,M49&lt;5000),(4.25+(PM49-2000)*0.08%),IF(AND(M49&gt;=1000,M49&lt;2000),(2.75+(M49-1000)*0.15%),IF(AND(M49&gt;=100,M49&lt;1000),(0.5+(M49-100)*0.25%),IF(AND(M49&gt;0,M49&lt;100),M49*0.5%)))))))</f>
        <v>10.017099999999999</v>
      </c>
      <c r="M67" s="302">
        <f ca="1">ROUND(L67*0.9,1)</f>
        <v>9</v>
      </c>
      <c r="N67" s="2540"/>
      <c r="Z67" s="1751"/>
      <c r="AI67" s="1752"/>
    </row>
    <row r="68" spans="1:35" ht="14.25" customHeight="1" thickBot="1">
      <c r="A68" s="176" t="s">
        <v>329</v>
      </c>
      <c r="B68" s="177" t="s">
        <v>1390</v>
      </c>
      <c r="C68" s="2566">
        <f ca="1">IF(C67&lt;=0,0,ROUND(C67*D68,0))</f>
        <v>1476</v>
      </c>
      <c r="D68" s="2567">
        <f>'数据-取费表'!B41</f>
        <v>5.6000000000000001E-2</v>
      </c>
      <c r="E68" s="178"/>
      <c r="F68" s="1807"/>
      <c r="G68" s="1807"/>
      <c r="H68" s="1809"/>
      <c r="I68" s="129"/>
      <c r="J68" s="3557"/>
      <c r="K68" s="1332" t="s">
        <v>1391</v>
      </c>
      <c r="L68" s="1332">
        <f ca="1">IF(M49&gt;10000,M49*0.5%,IF(AND(M49&gt;5000,M49&lt;=10000),M49*1%,IF(AND(M49&gt;1000,M49&lt;=5000),M49*2%,IF(AND(M49&gt;200,M49&lt;=1000),M49*3%,M49*5%))))</f>
        <v>138.35499999999999</v>
      </c>
      <c r="M68" s="302">
        <f ca="1">ROUND(L68,1)</f>
        <v>138.4</v>
      </c>
      <c r="N68" s="2540"/>
      <c r="Z68" s="1751"/>
      <c r="AI68" s="1752"/>
    </row>
    <row r="69" spans="1:35" s="1771" customFormat="1" ht="16.5" customHeight="1">
      <c r="A69" s="1810"/>
      <c r="B69" s="1811"/>
      <c r="C69" s="1812"/>
      <c r="D69" s="1813"/>
      <c r="E69" s="1814"/>
      <c r="F69" s="1578"/>
      <c r="G69" s="1578"/>
      <c r="H69" s="1577"/>
      <c r="I69" s="1746"/>
      <c r="J69" s="3557"/>
      <c r="K69" s="1332" t="s">
        <v>1392</v>
      </c>
      <c r="L69" s="1332"/>
      <c r="M69" s="302">
        <f ca="1">ROUND(SUM(M63:M68),0)</f>
        <v>452</v>
      </c>
      <c r="N69" s="2542">
        <f ca="1">M69/M49</f>
        <v>1.6334790936359367E-2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1" t="s">
        <v>1393</v>
      </c>
      <c r="B70" s="3602"/>
      <c r="C70" s="3602"/>
      <c r="D70" s="3602"/>
      <c r="E70" s="3602"/>
      <c r="F70" s="3602"/>
      <c r="G70" s="3602"/>
      <c r="H70" s="3602"/>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1374</v>
      </c>
      <c r="B71" s="3594"/>
      <c r="C71" s="2020"/>
      <c r="D71" s="2020" t="s">
        <v>1375</v>
      </c>
      <c r="E71" s="179" t="s">
        <v>1376</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26353</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158</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598" t="s">
        <v>1401</v>
      </c>
      <c r="F76" s="3597"/>
      <c r="G76" s="3597"/>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158</v>
      </c>
      <c r="D78" s="2574">
        <f>'数据-取费表'!B43</f>
        <v>6.000000000000001E-3</v>
      </c>
      <c r="E78" s="3590" t="s">
        <v>1405</v>
      </c>
      <c r="F78" s="3591"/>
      <c r="G78" s="3591"/>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26195</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165.79113924050634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15662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1409</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1374</v>
      </c>
      <c r="B84" s="3594"/>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26353</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158</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4"/>
      <c r="G88" s="194" t="s">
        <v>1413</v>
      </c>
      <c r="H88" s="1823"/>
      <c r="I88" s="1820"/>
      <c r="J88" s="2518"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4"/>
      <c r="G90" s="3559" t="s">
        <v>2128</v>
      </c>
      <c r="H90" s="3560"/>
      <c r="I90" s="1820"/>
      <c r="J90" s="2518"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590" t="s">
        <v>1418</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590" t="s">
        <v>1421</v>
      </c>
      <c r="F92" s="3591"/>
      <c r="G92" s="3591"/>
      <c r="H92" s="3592"/>
      <c r="I92" s="1820"/>
      <c r="J92" s="2519"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158</v>
      </c>
      <c r="D93" s="2574">
        <f>'数据-取费表'!B43</f>
        <v>6.000000000000001E-3</v>
      </c>
      <c r="E93" s="3590" t="s">
        <v>1405</v>
      </c>
      <c r="F93" s="3591"/>
      <c r="G93" s="3591"/>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635" t="s">
        <v>1425</v>
      </c>
      <c r="F94" s="3636"/>
      <c r="G94" s="3636"/>
      <c r="H94" s="363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26195</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165.79113924050634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15662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1426</v>
      </c>
      <c r="B99" s="1746"/>
      <c r="C99" s="1746"/>
      <c r="D99" s="1746"/>
      <c r="E99" s="1578"/>
      <c r="F99" s="1578"/>
      <c r="G99" s="1578"/>
      <c r="H99" s="1577"/>
      <c r="I99" s="129"/>
    </row>
    <row r="100" spans="1:35" ht="18.75" customHeight="1">
      <c r="A100" s="3540" t="s">
        <v>1427</v>
      </c>
      <c r="B100" s="3541"/>
      <c r="C100" s="3541"/>
      <c r="D100" s="3575"/>
      <c r="E100" s="3541" t="s">
        <v>1428</v>
      </c>
      <c r="F100" s="3541"/>
      <c r="G100" s="3541"/>
      <c r="H100" s="3575"/>
      <c r="I100" s="129"/>
    </row>
    <row r="101" spans="1:35" ht="18.75" customHeight="1">
      <c r="A101" s="3583" t="s">
        <v>1429</v>
      </c>
      <c r="B101" s="3584"/>
      <c r="C101" s="2582" t="str">
        <f>C4</f>
        <v>成本法</v>
      </c>
      <c r="D101" s="2583" t="str">
        <f>D4</f>
        <v>收益法</v>
      </c>
      <c r="E101" s="3553" t="s">
        <v>1430</v>
      </c>
      <c r="F101" s="3554"/>
      <c r="G101" s="1826" t="s">
        <v>1431</v>
      </c>
      <c r="H101" s="2592">
        <f ca="1">H118</f>
        <v>27671</v>
      </c>
      <c r="I101" s="129"/>
    </row>
    <row r="102" spans="1:35" ht="18.75" customHeight="1">
      <c r="A102" s="3585" t="s">
        <v>1432</v>
      </c>
      <c r="B102" s="2581" t="s">
        <v>1431</v>
      </c>
      <c r="C102" s="2582">
        <f ca="1">IF(D32="楼面单价",ROUND(C19,0),C19)</f>
        <v>39259</v>
      </c>
      <c r="D102" s="2583">
        <f ca="1">IF(D32="楼面单价",ROUND(D19,0),D19)</f>
        <v>16083</v>
      </c>
      <c r="E102" s="3553"/>
      <c r="F102" s="3554"/>
      <c r="G102" s="1826" t="s">
        <v>1433</v>
      </c>
      <c r="H102" s="2552">
        <f ca="1">I118</f>
        <v>35484</v>
      </c>
      <c r="I102" s="129"/>
    </row>
    <row r="103" spans="1:35" ht="42.75" customHeight="1">
      <c r="A103" s="3585"/>
      <c r="B103" s="2581" t="s">
        <v>1433</v>
      </c>
      <c r="C103" s="2584">
        <f ca="1">C20</f>
        <v>50344</v>
      </c>
      <c r="D103" s="2585">
        <f ca="1">D20</f>
        <v>21327</v>
      </c>
      <c r="E103" s="3546" t="s">
        <v>1434</v>
      </c>
      <c r="F103" s="3547"/>
      <c r="G103" s="1827" t="s">
        <v>1435</v>
      </c>
      <c r="H103" s="2592">
        <f>IF(D36="正常操作",H104+H105+H106,H105+H106)</f>
        <v>0</v>
      </c>
      <c r="I103" s="129"/>
    </row>
    <row r="104" spans="1:35" ht="18.75" customHeight="1">
      <c r="A104" s="3585" t="s">
        <v>1436</v>
      </c>
      <c r="B104" s="2586" t="s">
        <v>1431</v>
      </c>
      <c r="C104" s="2587">
        <f ca="1">H118</f>
        <v>27671</v>
      </c>
      <c r="D104" s="2588"/>
      <c r="E104" s="1673" t="s">
        <v>1437</v>
      </c>
      <c r="F104" s="1665"/>
      <c r="G104" s="1827" t="s">
        <v>1435</v>
      </c>
      <c r="H104" s="2593">
        <f>IF(D36="同一抵押权人同一抵押物续贷",C36&amp;"（续贷，未扣减，详见特别提示）",C36)</f>
        <v>0</v>
      </c>
      <c r="I104" s="129"/>
    </row>
    <row r="105" spans="1:35" ht="18.75" customHeight="1" thickBot="1">
      <c r="A105" s="3595"/>
      <c r="B105" s="2589" t="s">
        <v>1433</v>
      </c>
      <c r="C105" s="2590">
        <f ca="1">I118</f>
        <v>35484</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586" t="str">
        <f>IF(项目基本情况!E8="已注销","——","3.房地产抵押价值")</f>
        <v>3.房地产抵押价值</v>
      </c>
      <c r="F107" s="3554"/>
      <c r="G107" s="1826" t="s">
        <v>1431</v>
      </c>
      <c r="H107" s="2592">
        <f ca="1">IF(E107="——","——",H101-H103)</f>
        <v>27671</v>
      </c>
      <c r="I107" s="129"/>
    </row>
    <row r="108" spans="1:35" ht="18.75" customHeight="1">
      <c r="A108" s="129"/>
      <c r="B108" s="129"/>
      <c r="C108" s="129"/>
      <c r="D108" s="129"/>
      <c r="E108" s="3586"/>
      <c r="F108" s="3554"/>
      <c r="G108" s="1826" t="s">
        <v>1433</v>
      </c>
      <c r="H108" s="2552">
        <f ca="1">IF(H107=H101,H102,ROUND(H107*10000/'数据-汇总表'!E3,0))</f>
        <v>35484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6" t="s">
        <v>1431</v>
      </c>
      <c r="H109" s="2595" t="str">
        <f>IF(E109="——","——",H101-H105-H106)</f>
        <v>——</v>
      </c>
      <c r="I109" s="129"/>
    </row>
    <row r="110" spans="1:35" ht="18.75" customHeight="1">
      <c r="A110" s="129"/>
      <c r="B110" s="129"/>
      <c r="C110" s="129"/>
      <c r="D110" s="129"/>
      <c r="E110" s="3586"/>
      <c r="F110" s="3554"/>
      <c r="G110" s="1826" t="s">
        <v>1433</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6" t="s">
        <v>1431</v>
      </c>
      <c r="H111" s="2592" t="str">
        <f>IF(E111="——","——",N59)</f>
        <v>——</v>
      </c>
      <c r="I111" s="129"/>
    </row>
    <row r="112" spans="1:35" ht="18.75" customHeight="1" thickBot="1">
      <c r="A112" s="129"/>
      <c r="B112" s="129"/>
      <c r="C112" s="129"/>
      <c r="D112" s="129"/>
      <c r="E112" s="3588"/>
      <c r="F112" s="3589"/>
      <c r="G112" s="1829" t="s">
        <v>1433</v>
      </c>
      <c r="H112" s="2596" t="str">
        <f>IF(E111="——","——",N61)</f>
        <v>——</v>
      </c>
      <c r="I112" s="129"/>
    </row>
    <row r="113" spans="1:27" ht="18.75" customHeight="1">
      <c r="A113" s="129"/>
      <c r="B113" s="129"/>
      <c r="C113" s="129"/>
      <c r="D113" s="129"/>
      <c r="E113" s="3596" t="s">
        <v>1439</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4" t="s">
        <v>1441</v>
      </c>
      <c r="B115" s="3605"/>
      <c r="C115" s="3605"/>
      <c r="D115" s="3605"/>
      <c r="E115" s="3605"/>
      <c r="F115" s="3605"/>
      <c r="G115" s="3605"/>
      <c r="H115" s="3605"/>
      <c r="I115" s="3606"/>
    </row>
    <row r="116" spans="1:27" ht="27" customHeight="1">
      <c r="A116" s="3561" t="s">
        <v>1442</v>
      </c>
      <c r="B116" s="3565" t="s">
        <v>1443</v>
      </c>
      <c r="C116" s="3565" t="s">
        <v>1444</v>
      </c>
      <c r="D116" s="3571" t="s">
        <v>1445</v>
      </c>
      <c r="E116" s="3572"/>
      <c r="F116" s="3603" t="s">
        <v>1446</v>
      </c>
      <c r="G116" s="3603"/>
      <c r="H116" s="3561" t="s">
        <v>1447</v>
      </c>
      <c r="I116" s="3561"/>
    </row>
    <row r="117" spans="1:27" ht="18.75" customHeight="1">
      <c r="A117" s="3561"/>
      <c r="B117" s="3566"/>
      <c r="C117" s="3566"/>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7798.2</v>
      </c>
      <c r="C118" s="2326">
        <f>M19</f>
        <v>6720</v>
      </c>
      <c r="D118" s="2326">
        <f ca="1">ROUND(IF(D32="总价",C34,E118*B118/10000),0)</f>
        <v>25374</v>
      </c>
      <c r="E118" s="2326">
        <f ca="1">ROUND(IF(C33="自定义",IF(D32="楼面单价",C34,D118*10000/B118),I118-G118),0)</f>
        <v>32538</v>
      </c>
      <c r="F118" s="2326">
        <f ca="1">ROUND(IF(D32="总价",C35,G118*B118/10000),0)</f>
        <v>2297</v>
      </c>
      <c r="G118" s="2326">
        <f ca="1">ROUND(IF(D32="楼面单价",C35,F118*10000/B118),0)</f>
        <v>2946</v>
      </c>
      <c r="H118" s="2326">
        <f ca="1">ROUND(IF(D32="总价",C32,I118*B118/10000),0)</f>
        <v>27671</v>
      </c>
      <c r="I118" s="2326">
        <f ca="1">ROUND(IF(D32="楼面单价",C32,H118*10000/B118),0)</f>
        <v>35484</v>
      </c>
    </row>
    <row r="119" spans="1:27" ht="18.75" customHeight="1">
      <c r="A119" s="3561" t="s">
        <v>1451</v>
      </c>
      <c r="B119" s="3561"/>
      <c r="C119" s="3561"/>
      <c r="D119" s="3567" t="str">
        <f ca="1">NUMBERSTRING(INT(D118*10000),2)&amp;"元整"</f>
        <v>贰亿伍仟叁佰柒拾肆万元整</v>
      </c>
      <c r="E119" s="3568"/>
      <c r="F119" s="3567" t="str">
        <f ca="1">NUMBERSTRING(INT(F118*10000),2)&amp;"元整"</f>
        <v>贰仟贰佰玖拾柒万元整</v>
      </c>
      <c r="G119" s="3568"/>
      <c r="H119" s="3567" t="str">
        <f ca="1">NUMBERSTRING(INT(H118*10000),2)&amp;"元整"</f>
        <v>贰亿柒仟陆佰柒拾壹万元整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7" t="s">
        <v>1451</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27671</v>
      </c>
      <c r="E122" s="3563"/>
      <c r="F122" s="3563"/>
      <c r="G122" s="3563"/>
      <c r="H122" s="3563"/>
      <c r="I122" s="3564"/>
      <c r="AA122" s="725"/>
    </row>
    <row r="123" spans="1:27" ht="18.75" customHeight="1">
      <c r="A123" s="3561" t="s">
        <v>1451</v>
      </c>
      <c r="B123" s="3561"/>
      <c r="C123" s="3561"/>
      <c r="D123" s="3567" t="str">
        <f ca="1">NUMBERSTRING(INT(D122*10000),2)&amp;"元整"</f>
        <v>贰亿柒仟陆佰柒拾壹万元整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1451</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1451</v>
      </c>
      <c r="B127" s="3561"/>
      <c r="C127" s="3561"/>
      <c r="D127" s="3567" t="e">
        <f>NUMBERSTRING(INT(D126*10000),2)&amp;"元整"</f>
        <v>#VALUE!</v>
      </c>
      <c r="E127" s="3569"/>
      <c r="F127" s="3569"/>
      <c r="G127" s="3569"/>
      <c r="H127" s="3569"/>
      <c r="I127" s="3568"/>
      <c r="AA127" s="725"/>
    </row>
    <row r="128" spans="1:27" ht="21.75" customHeight="1">
      <c r="A128" s="3570" t="s">
        <v>1452</v>
      </c>
      <c r="B128" s="3570"/>
      <c r="C128" s="3570"/>
      <c r="D128" s="3570"/>
      <c r="E128" s="3570"/>
      <c r="F128" s="3570"/>
      <c r="G128" s="3570"/>
      <c r="H128" s="3570"/>
      <c r="I128" s="3570"/>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t="s">
        <v>3479</v>
      </c>
      <c r="D130" s="1838">
        <v>25182</v>
      </c>
      <c r="E130" s="1838">
        <v>32292</v>
      </c>
      <c r="F130" s="1838">
        <v>2101</v>
      </c>
      <c r="G130" s="1838">
        <v>2694</v>
      </c>
      <c r="H130" s="1839">
        <v>27283</v>
      </c>
      <c r="I130" s="1840">
        <v>34986</v>
      </c>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45" sqref="F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39259</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50344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27106</v>
      </c>
      <c r="D5" s="211" t="s">
        <v>1468</v>
      </c>
      <c r="E5" s="212" t="s">
        <v>1469</v>
      </c>
      <c r="F5" s="212" t="s">
        <v>1470</v>
      </c>
      <c r="G5" s="213"/>
    </row>
    <row r="6" spans="1:9" s="214" customFormat="1" ht="13.5" customHeight="1">
      <c r="A6" s="778" t="s">
        <v>1471</v>
      </c>
      <c r="B6" s="215" t="s">
        <v>1472</v>
      </c>
      <c r="C6" s="216">
        <f>基准地价修正!B2</f>
        <v>26152</v>
      </c>
      <c r="D6" s="217"/>
      <c r="E6" s="218"/>
      <c r="F6" s="218"/>
      <c r="G6" s="219"/>
    </row>
    <row r="7" spans="1:9" s="214" customFormat="1" ht="13.5" customHeight="1">
      <c r="A7" s="778" t="s">
        <v>1473</v>
      </c>
      <c r="B7" s="215" t="s">
        <v>1474</v>
      </c>
      <c r="C7" s="220">
        <f>ROUND(C6*F7,0)</f>
        <v>798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156</v>
      </c>
      <c r="D8" s="222"/>
      <c r="E8" s="220"/>
      <c r="F8" s="221"/>
      <c r="G8" s="1855" t="s">
        <v>3467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3468</v>
      </c>
      <c r="H9" s="1137"/>
      <c r="I9" s="1857" t="s">
        <v>1478</v>
      </c>
    </row>
    <row r="10" spans="1:9" s="214" customFormat="1" ht="13.5" customHeight="1">
      <c r="A10" s="779" t="s">
        <v>356</v>
      </c>
      <c r="B10" s="224" t="s">
        <v>1479</v>
      </c>
      <c r="C10" s="225">
        <f ca="1">ROUND(D10*E10/10000,0)</f>
        <v>156</v>
      </c>
      <c r="D10" s="845">
        <f ca="1">IF(B1="",'数据-汇总表'!E6,IF(INDIRECT("'数据-取费表'!c"&amp;$G$1)="住宅",INDIRECT("'数据-取费表'!s"&amp;$G$1),INDIRECT("'数据-取费表'!k"&amp;$G$1)+INDIRECT("'数据-取费表'!s"&amp;$G$1)))</f>
        <v>7798.2</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7798.2</v>
      </c>
      <c r="E19" s="211">
        <f>'数据-取费表'!B31</f>
        <v>200</v>
      </c>
      <c r="F19" s="231"/>
      <c r="G19" s="1855" t="s">
        <v>3469</v>
      </c>
    </row>
    <row r="20" spans="1:7" s="214" customFormat="1" ht="13.5" customHeight="1">
      <c r="A20" s="255" t="s">
        <v>1492</v>
      </c>
      <c r="B20" s="210" t="s">
        <v>1493</v>
      </c>
      <c r="C20" s="232">
        <f ca="1">ROUND((C5+C19)*F20,0)</f>
        <v>542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1429</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1415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14</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4147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4147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35988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3758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3382</v>
      </c>
      <c r="D34" s="217"/>
      <c r="E34" s="220"/>
      <c r="F34" s="257">
        <f ca="1">IF('数据-取费表'!B24=0,1,IF(B1="",'数据-取费表'!N16,INDIRECT("'数据-取费表'!n"&amp;$G$1)))</f>
        <v>1</v>
      </c>
      <c r="G34" s="219" t="s">
        <v>1525</v>
      </c>
    </row>
    <row r="35" spans="1:7" ht="13.5" customHeight="1">
      <c r="A35" s="780" t="s">
        <v>351</v>
      </c>
      <c r="B35" s="215" t="s">
        <v>1526</v>
      </c>
      <c r="C35" s="220">
        <f ca="1">ROUND(C34*F35,0)</f>
        <v>169</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156</v>
      </c>
      <c r="D37" s="217">
        <f ca="1">D19</f>
        <v>7798.2</v>
      </c>
      <c r="E37" s="249">
        <f>'数据-取费表'!B35</f>
        <v>200</v>
      </c>
      <c r="F37" s="259"/>
      <c r="G37" s="261" t="s">
        <v>1531</v>
      </c>
    </row>
    <row r="38" spans="1:7" ht="13.5" customHeight="1">
      <c r="A38" s="780" t="s">
        <v>354</v>
      </c>
      <c r="B38" s="215" t="s">
        <v>1532</v>
      </c>
      <c r="C38" s="220">
        <f ca="1">ROUND(C34*F38,0)</f>
        <v>51</v>
      </c>
      <c r="D38" s="220"/>
      <c r="E38" s="220"/>
      <c r="F38" s="259">
        <f>'数据-取费表'!B36</f>
        <v>1.4999999999999999E-2</v>
      </c>
      <c r="G38" s="219" t="s">
        <v>1527</v>
      </c>
    </row>
    <row r="39" spans="1:7" s="214" customFormat="1" ht="13.5" customHeight="1">
      <c r="A39" s="255" t="s">
        <v>1533</v>
      </c>
      <c r="B39" s="210" t="s">
        <v>1534</v>
      </c>
      <c r="C39" s="232">
        <f ca="1">ROUND(C33*F20,0)</f>
        <v>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99</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97</v>
      </c>
      <c r="D42" s="238"/>
      <c r="E42" s="238"/>
      <c r="F42" s="239"/>
      <c r="G42" s="3640" t="s">
        <v>1543</v>
      </c>
    </row>
    <row r="43" spans="1:7" ht="13.5" customHeight="1">
      <c r="A43" s="780" t="s">
        <v>347</v>
      </c>
      <c r="B43" s="215" t="s">
        <v>1544</v>
      </c>
      <c r="C43" s="238">
        <f ca="1">ROUND(IF('数据-取费表'!B22&lt;=1,C39*F22*'数据-取费表'!B21/2,C39*(POWER((1+F22),'数据-取费表'!B21/2)-1)),0)</f>
        <v>2</v>
      </c>
      <c r="D43" s="238"/>
      <c r="E43" s="238"/>
      <c r="F43" s="239"/>
      <c r="G43" s="3641"/>
    </row>
    <row r="44" spans="1:7" ht="13.5" customHeight="1">
      <c r="A44" s="780" t="s">
        <v>348</v>
      </c>
      <c r="B44" s="215" t="s">
        <v>1545</v>
      </c>
      <c r="C44" s="238">
        <f ca="1">ROUND(IF('数据-取费表'!B22&lt;=1,C40*F22*'数据-取费表'!B21/2,C40*(POWER((1+F22),'数据-取费表'!B21/2)-1)),4)</f>
        <v>5.0000000000000001E-4</v>
      </c>
      <c r="D44" s="238"/>
      <c r="E44" s="238"/>
      <c r="F44" s="239"/>
      <c r="G44" s="3642"/>
    </row>
    <row r="45" spans="1:7" s="214" customFormat="1" ht="13.5" customHeight="1">
      <c r="A45" s="255" t="s">
        <v>1546</v>
      </c>
      <c r="B45" s="244" t="s">
        <v>1512</v>
      </c>
      <c r="C45" s="245">
        <f ca="1">C46</f>
        <v>575</v>
      </c>
      <c r="D45" s="235">
        <f ca="1">C47</f>
        <v>3.0000000000000001E-3</v>
      </c>
      <c r="E45" s="236" t="s">
        <v>1538</v>
      </c>
      <c r="F45" s="246">
        <f ca="1">F27</f>
        <v>0.15</v>
      </c>
      <c r="G45" s="247" t="s">
        <v>1547</v>
      </c>
    </row>
    <row r="46" spans="1:7" s="214" customFormat="1" ht="13.5" customHeight="1">
      <c r="A46" s="780" t="s">
        <v>346</v>
      </c>
      <c r="B46" s="248" t="s">
        <v>1548</v>
      </c>
      <c r="C46" s="249">
        <f ca="1">ROUND((C33+C39)*F27,0)</f>
        <v>575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4882</v>
      </c>
      <c r="D49" s="232"/>
      <c r="E49" s="232"/>
      <c r="F49" s="264"/>
      <c r="G49" s="234" t="s">
        <v>1553</v>
      </c>
    </row>
    <row r="50" spans="1:7" s="258" customFormat="1" ht="24">
      <c r="A50" s="255" t="s">
        <v>1554</v>
      </c>
      <c r="B50" s="210" t="s">
        <v>1555</v>
      </c>
      <c r="C50" s="232"/>
      <c r="D50" s="232"/>
      <c r="E50" s="232"/>
      <c r="F50" s="264">
        <f>IF('数据-取费表'!B24=0,'数据-取费表'!N16,1)</f>
        <v>0.67</v>
      </c>
      <c r="G50" s="247" t="s">
        <v>1556</v>
      </c>
    </row>
    <row r="51" spans="1:7" ht="16.5" customHeight="1">
      <c r="A51" s="255" t="s">
        <v>1557</v>
      </c>
      <c r="B51" s="210" t="s">
        <v>1558</v>
      </c>
      <c r="C51" s="232">
        <f ca="1">ROUND(C49*F50,0)</f>
        <v>3271</v>
      </c>
      <c r="D51" s="232"/>
      <c r="E51" s="232"/>
      <c r="F51" s="264"/>
      <c r="G51" s="234" t="s">
        <v>1559</v>
      </c>
    </row>
    <row r="52" spans="1:7" s="208" customFormat="1" ht="16.5" thickBot="1">
      <c r="A52" s="265" t="s">
        <v>1560</v>
      </c>
      <c r="B52" s="266"/>
      <c r="C52" s="267">
        <f ca="1">C31+C51</f>
        <v>39259</v>
      </c>
      <c r="D52" s="266"/>
      <c r="E52" s="266"/>
      <c r="F52" s="266"/>
      <c r="G52" s="268"/>
    </row>
    <row r="55" spans="1:7" ht="15">
      <c r="B55" s="270" t="s">
        <v>1561</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3684.8519999999999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4725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1559640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1559640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1559640</v>
      </c>
      <c r="D10" s="845">
        <f ca="1">IF(B1="",'数据-汇总表'!E6,IF(INDIRECT("'数据-取费表'!c"&amp;$G$1)="住宅",INDIRECT("'数据-取费表'!s"&amp;$G$1),INDIRECT("'数据-取费表'!k"&amp;$G$1)+INDIRECT("'数据-取费表'!s"&amp;$G$1)))</f>
        <v>7798.2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1559640</v>
      </c>
      <c r="D19" s="849">
        <f ca="1">D9+D10</f>
        <v>7798.2</v>
      </c>
      <c r="E19" s="211">
        <f>'数据-取费表'!B31</f>
        <v>200</v>
      </c>
      <c r="F19" s="231"/>
      <c r="G19" s="1855"/>
    </row>
    <row r="20" spans="1:7" s="214" customFormat="1" ht="13.5" customHeight="1">
      <c r="A20" s="255" t="s">
        <v>1573</v>
      </c>
      <c r="B20" s="210" t="s">
        <v>1574</v>
      </c>
      <c r="C20" s="232">
        <f ca="1">ROUND((C5+C19)*F20,0)</f>
        <v>62386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164415</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81404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81404</v>
      </c>
      <c r="D24" s="238"/>
      <c r="E24" s="238"/>
      <c r="F24" s="239"/>
      <c r="G24" s="240" t="s">
        <v>1585</v>
      </c>
    </row>
    <row r="25" spans="1:7" s="214" customFormat="1" ht="24">
      <c r="A25" s="780" t="s">
        <v>1475</v>
      </c>
      <c r="B25" s="215" t="s">
        <v>1586</v>
      </c>
      <c r="C25" s="1128">
        <f ca="1">ROUND(IF('数据-取费表'!B22&lt;=1,C20*F22*'数据-取费表'!B22/2,C20*(POWER((1+F22),'数据-取费表'!B22/2)-1)),0)</f>
        <v>1607</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477250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477250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4141390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37578785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33820793</v>
      </c>
      <c r="D34" s="217"/>
      <c r="E34" s="220"/>
      <c r="F34" s="257"/>
      <c r="G34" s="219"/>
    </row>
    <row r="35" spans="1:7" ht="13.5" customHeight="1">
      <c r="A35" s="780" t="s">
        <v>351</v>
      </c>
      <c r="B35" s="215" t="s">
        <v>1526</v>
      </c>
      <c r="C35" s="220">
        <f ca="1">ROUND(C34*F35,0)</f>
        <v>1691040</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1559640</v>
      </c>
      <c r="D37" s="217">
        <f ca="1">D19</f>
        <v>7798.2</v>
      </c>
      <c r="E37" s="249">
        <f>'数据-取费表'!B35</f>
        <v>200</v>
      </c>
      <c r="F37" s="259"/>
      <c r="G37" s="261"/>
    </row>
    <row r="38" spans="1:7" ht="13.5" customHeight="1">
      <c r="A38" s="780" t="s">
        <v>354</v>
      </c>
      <c r="B38" s="215" t="s">
        <v>1532</v>
      </c>
      <c r="C38" s="220">
        <f ca="1">ROUND(C34*F38,0)</f>
        <v>507312</v>
      </c>
      <c r="D38" s="220"/>
      <c r="E38" s="220"/>
      <c r="F38" s="259">
        <f>'数据-取费表'!B36</f>
        <v>1.4999999999999999E-2</v>
      </c>
      <c r="G38" s="219" t="s">
        <v>1527</v>
      </c>
    </row>
    <row r="39" spans="1:7" s="214" customFormat="1" ht="13.5" customHeight="1">
      <c r="A39" s="255" t="s">
        <v>1533</v>
      </c>
      <c r="B39" s="210" t="s">
        <v>1534</v>
      </c>
      <c r="C39" s="232">
        <f ca="1">ROUND(C33*F20,0)</f>
        <v>751576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987581</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968217</v>
      </c>
      <c r="D42" s="238"/>
      <c r="E42" s="238"/>
      <c r="F42" s="239"/>
      <c r="G42" s="3640" t="s">
        <v>1590</v>
      </c>
    </row>
    <row r="43" spans="1:7" ht="13.5" customHeight="1">
      <c r="A43" s="780" t="s">
        <v>347</v>
      </c>
      <c r="B43" s="215" t="s">
        <v>1544</v>
      </c>
      <c r="C43" s="238">
        <f ca="1">ROUND(IF('数据-取费表'!B22&lt;=1,C39*F22*'数据-取费表'!B20/2,C39*(POWER((1+F22),'数据-取费表'!B20/2)-1)),0)</f>
        <v>19364</v>
      </c>
      <c r="D43" s="238"/>
      <c r="E43" s="238"/>
      <c r="F43" s="239"/>
      <c r="G43" s="3641"/>
    </row>
    <row r="44" spans="1:7" ht="13.5" customHeight="1">
      <c r="A44" s="780" t="s">
        <v>348</v>
      </c>
      <c r="B44" s="215" t="s">
        <v>1545</v>
      </c>
      <c r="C44" s="238">
        <f ca="1">ROUND(IF('数据-取费表'!B22&lt;=1,C40*F22*'数据-取费表'!B20/2,C40*(POWER((1+F22),'数据-取费表'!B20/2)-1)),4)</f>
        <v>5.0000000000000001E-4</v>
      </c>
      <c r="D44" s="238"/>
      <c r="E44" s="238"/>
      <c r="F44" s="239"/>
      <c r="G44" s="3642"/>
    </row>
    <row r="45" spans="1:7" s="214" customFormat="1" ht="13.5" customHeight="1">
      <c r="A45" s="255" t="s">
        <v>1546</v>
      </c>
      <c r="B45" s="244" t="s">
        <v>1512</v>
      </c>
      <c r="C45" s="245">
        <f ca="1">C46</f>
        <v>5749554</v>
      </c>
      <c r="D45" s="235">
        <f ca="1">C47</f>
        <v>3.0000000000000001E-3</v>
      </c>
      <c r="E45" s="236" t="s">
        <v>1538</v>
      </c>
      <c r="F45" s="246">
        <f ca="1">F27</f>
        <v>0.15</v>
      </c>
      <c r="G45" s="247" t="s">
        <v>1547</v>
      </c>
    </row>
    <row r="46" spans="1:7" s="214" customFormat="1" ht="13.5" customHeight="1">
      <c r="A46" s="780" t="s">
        <v>346</v>
      </c>
      <c r="B46" s="248" t="s">
        <v>1548</v>
      </c>
      <c r="C46" s="249">
        <f ca="1">ROUND((C33+C39)*F27,0)</f>
        <v>5749554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48816612</v>
      </c>
      <c r="D49" s="232"/>
      <c r="E49" s="232"/>
      <c r="F49" s="264"/>
      <c r="G49" s="234" t="s">
        <v>1553</v>
      </c>
    </row>
    <row r="50" spans="1:7" s="258" customFormat="1">
      <c r="A50" s="255" t="s">
        <v>1554</v>
      </c>
      <c r="B50" s="210" t="s">
        <v>1555</v>
      </c>
      <c r="C50" s="232"/>
      <c r="D50" s="232"/>
      <c r="E50" s="232"/>
      <c r="F50" s="264">
        <f>IF('数据-取费表'!B24=0,'数据-取费表'!N16,1)</f>
        <v>0.67</v>
      </c>
      <c r="G50" s="247"/>
    </row>
    <row r="51" spans="1:7" ht="16.5" customHeight="1">
      <c r="A51" s="255" t="s">
        <v>1557</v>
      </c>
      <c r="B51" s="210" t="s">
        <v>1592</v>
      </c>
      <c r="C51" s="232">
        <f ca="1">ROUND(C49*F50,0)</f>
        <v>32707130</v>
      </c>
      <c r="D51" s="232"/>
      <c r="E51" s="232"/>
      <c r="F51" s="264"/>
      <c r="G51" s="234" t="s">
        <v>1559</v>
      </c>
    </row>
    <row r="52" spans="1:7" s="208" customFormat="1" ht="16.5" thickBot="1">
      <c r="A52" s="265" t="s">
        <v>1560</v>
      </c>
      <c r="B52" s="266"/>
      <c r="C52" s="267">
        <f ca="1">C31+C51</f>
        <v>36848520</v>
      </c>
      <c r="D52" s="266"/>
      <c r="E52" s="266"/>
      <c r="F52" s="266"/>
      <c r="G52" s="268"/>
    </row>
    <row r="55" spans="1:7" ht="15">
      <c r="B55" s="270" t="s">
        <v>1561</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7798.2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7798.2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156</v>
      </c>
      <c r="D20" s="846">
        <f ca="1">IF(C1="",'数据-汇总表'!E6,IF(INDIRECT("'数据-取费表'!c"&amp;$K$1)="住宅",INDIRECT("'数据-取费表'!s"&amp;$K$1),INDIRECT("'数据-取费表'!k"&amp;$K$1)+INDIRECT("'数据-取费表'!s"&amp;$K$1)))</f>
        <v>7798.2</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40" sqref="D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16083</v>
      </c>
      <c r="C2" s="1387" t="s">
        <v>805</v>
      </c>
      <c r="D2" s="1387"/>
      <c r="E2" s="1388"/>
      <c r="F2" s="1389"/>
      <c r="G2" s="2703"/>
      <c r="H2" s="2692"/>
      <c r="I2" s="2692"/>
      <c r="J2" s="2692"/>
      <c r="K2" s="2693"/>
      <c r="L2" s="2692"/>
      <c r="M2" s="2692"/>
    </row>
    <row r="3" spans="1:37" ht="18" customHeight="1" thickBot="1">
      <c r="A3" s="1390" t="s">
        <v>806</v>
      </c>
      <c r="B3" s="1391">
        <f ca="1">IF(ISERROR(B2*10000/F43),0,ROUND(B2*10000/F43,0))</f>
        <v>21327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1116</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1115</v>
      </c>
      <c r="D6" s="155" t="s">
        <v>2108</v>
      </c>
      <c r="E6" s="302" t="s">
        <v>696</v>
      </c>
      <c r="F6" s="303">
        <f ca="1">INDIRECT("'数据-取费表'!u"&amp;$G$1)</f>
        <v>4.5</v>
      </c>
      <c r="G6" s="1384"/>
      <c r="H6" s="1069" t="s">
        <v>398</v>
      </c>
      <c r="I6" s="3645" t="s">
        <v>694</v>
      </c>
      <c r="J6" s="301">
        <f ca="1">ROUND(M6*M8*M7*(1-M9)/10000,0)</f>
        <v>0</v>
      </c>
      <c r="K6" s="155"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7541.3</v>
      </c>
      <c r="G7" s="1384"/>
      <c r="H7" s="304"/>
      <c r="I7" s="3646"/>
      <c r="J7" s="306"/>
      <c r="K7" s="307"/>
      <c r="L7" s="302" t="s">
        <v>697</v>
      </c>
      <c r="M7" s="303">
        <f ca="1">F7</f>
        <v>7541.3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3470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3271</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3382</v>
      </c>
      <c r="D14" s="1345" t="s">
        <v>708</v>
      </c>
      <c r="E14" s="1342"/>
      <c r="F14" s="319"/>
      <c r="G14" s="1384"/>
      <c r="H14" s="982" t="s">
        <v>398</v>
      </c>
      <c r="I14" s="302" t="s">
        <v>709</v>
      </c>
      <c r="J14" s="21">
        <f ca="1">C29</f>
        <v>4882</v>
      </c>
      <c r="K14" s="12"/>
      <c r="L14" s="807"/>
      <c r="M14" s="808"/>
    </row>
    <row r="15" spans="1:37" s="1397" customFormat="1" ht="18" customHeight="1" thickBot="1">
      <c r="A15" s="982" t="s">
        <v>399</v>
      </c>
      <c r="B15" s="302" t="s">
        <v>710</v>
      </c>
      <c r="C15" s="21">
        <f ca="1">ROUND(C14*F15,0)</f>
        <v>169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65</v>
      </c>
      <c r="K16" s="1087" t="s">
        <v>715</v>
      </c>
      <c r="L16" s="1088"/>
      <c r="M16" s="1072"/>
    </row>
    <row r="17" spans="1:37" s="1397" customFormat="1" ht="18" customHeight="1">
      <c r="A17" s="982" t="s">
        <v>681</v>
      </c>
      <c r="B17" s="302" t="s">
        <v>716</v>
      </c>
      <c r="C17" s="21">
        <f ca="1">ROUND(F17*(F43+INDIRECT("'数据-取费表'!S"&amp;$G$1))/10000,0)</f>
        <v>156</v>
      </c>
      <c r="D17" s="302" t="s">
        <v>717</v>
      </c>
      <c r="E17" s="302" t="s">
        <v>718</v>
      </c>
      <c r="F17" s="23">
        <f>'数据-取费表'!B35</f>
        <v>200</v>
      </c>
      <c r="G17" s="1396"/>
      <c r="H17" s="982" t="s">
        <v>398</v>
      </c>
      <c r="I17" s="302" t="s">
        <v>719</v>
      </c>
      <c r="J17" s="2313">
        <f ca="1">ROUND(IF(AND(项目基本情况!B11="自然人",项目基本情况!B10="北京市"),J6*M17/(1+'数据-取费表'!C42),J18+J19+J20),2)</f>
        <v>16.13</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3758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75</v>
      </c>
      <c r="D20" s="323" t="s">
        <v>729</v>
      </c>
      <c r="E20" s="302" t="s">
        <v>712</v>
      </c>
      <c r="F20" s="322">
        <f>'数据-取费表'!B37</f>
        <v>0.02</v>
      </c>
      <c r="G20" s="1396"/>
      <c r="H20" s="982" t="s">
        <v>680</v>
      </c>
      <c r="I20" s="155" t="s">
        <v>730</v>
      </c>
      <c r="J20" s="22">
        <f ca="1">ROUND(M20*M21/10000,2)</f>
        <v>16.13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6720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48.82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-65</v>
      </c>
      <c r="K25" s="1095" t="s">
        <v>753</v>
      </c>
      <c r="L25" s="1096"/>
      <c r="M25" s="1097"/>
    </row>
    <row r="26" spans="1:37">
      <c r="A26" s="982" t="s">
        <v>397</v>
      </c>
      <c r="B26" s="302" t="s">
        <v>754</v>
      </c>
      <c r="C26" s="21">
        <f ca="1">ROUND((C19+C20)*F26,0)</f>
        <v>575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4882</v>
      </c>
      <c r="D29" s="1092"/>
      <c r="E29" s="1090"/>
      <c r="F29" s="1093"/>
      <c r="G29" s="1396"/>
      <c r="H29" s="334" t="s">
        <v>396</v>
      </c>
      <c r="I29" s="335" t="s">
        <v>768</v>
      </c>
      <c r="J29" s="336">
        <f ca="1">ROUND(J26/(1+F40)^F41,0)</f>
        <v>0</v>
      </c>
      <c r="K29" s="337" t="s">
        <v>769</v>
      </c>
      <c r="L29" s="338"/>
      <c r="M29" s="339">
        <f ca="1">INDIRECT("'数据-取费表'!k"&amp;$G$1)</f>
        <v>7541.3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203.03</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IF(项目基本情况!B11="自然人","——",ROUND(C6*F32/(1+'数据-取费表'!C42),2))</f>
        <v>59.47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127.43</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16.13</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6720</v>
      </c>
      <c r="G35" s="1384"/>
      <c r="H35" s="2694"/>
      <c r="I35" s="1398"/>
      <c r="J35" s="1399"/>
      <c r="K35" s="2698"/>
      <c r="L35" s="2697"/>
      <c r="M35" s="2697"/>
    </row>
    <row r="36" spans="1:18" ht="18" customHeight="1">
      <c r="A36" s="1102" t="s">
        <v>402</v>
      </c>
      <c r="B36" s="302" t="s">
        <v>738</v>
      </c>
      <c r="C36" s="21">
        <f ca="1">ROUND(C29*F36,2)</f>
        <v>48.82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4.91</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11.16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848</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11027</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14622</v>
      </c>
      <c r="D43" s="337" t="s">
        <v>777</v>
      </c>
      <c r="E43" s="338" t="s">
        <v>778</v>
      </c>
      <c r="F43" s="339">
        <f ca="1">INDIRECT("'数据-取费表'!k"&amp;$G$1)</f>
        <v>7541.3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-11937</v>
      </c>
      <c r="D46" s="1406" t="str">
        <f>C2</f>
        <v>万元</v>
      </c>
      <c r="E46" s="1400"/>
      <c r="F46" s="1400"/>
      <c r="I46" s="1407" t="s">
        <v>810</v>
      </c>
      <c r="J46" s="1408"/>
      <c r="K46" s="1409"/>
      <c r="L46" s="1410">
        <f ca="1">IF(M47="住宅",0,IF(L48&gt;J51,L60,J60))</f>
        <v>5056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3471</v>
      </c>
      <c r="K47" s="1416" t="s">
        <v>816</v>
      </c>
      <c r="L47" s="1417">
        <f ca="1">INDIRECT("'数据-取费表'!d"&amp;$G$1)</f>
        <v>50</v>
      </c>
      <c r="M47" s="1380" t="str">
        <f>IF(ISNUMBER(FIND("住宅",C1)),"住宅","非住宅")</f>
        <v>非住宅</v>
      </c>
      <c r="O47" s="1418" t="s">
        <v>403</v>
      </c>
      <c r="P47" s="1419" t="s">
        <v>817</v>
      </c>
      <c r="Q47" s="1420">
        <f ca="1">C40+J29</f>
        <v>11027</v>
      </c>
      <c r="R47" s="1420" t="s">
        <v>818</v>
      </c>
    </row>
    <row r="48" spans="1:18" s="1384" customFormat="1" ht="28.5" thickBot="1">
      <c r="A48" s="1110" t="s">
        <v>438</v>
      </c>
      <c r="B48" s="300" t="s">
        <v>692</v>
      </c>
      <c r="C48" s="1359">
        <f ca="1">C49+C53+C55</f>
        <v>0</v>
      </c>
      <c r="D48" s="1112"/>
      <c r="E48" s="1113"/>
      <c r="F48" s="962"/>
      <c r="G48" s="722"/>
      <c r="H48" s="723"/>
      <c r="I48" s="1421" t="s">
        <v>819</v>
      </c>
      <c r="J48" s="1422" t="s">
        <v>3472</v>
      </c>
      <c r="K48" s="1423" t="s">
        <v>820</v>
      </c>
      <c r="L48" s="1424">
        <f ca="1">INDIRECT("'数据-取费表'!f"&amp;$G$1)</f>
        <v>42.4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1989</v>
      </c>
      <c r="K49" s="1423" t="s">
        <v>824</v>
      </c>
      <c r="L49" s="1427"/>
      <c r="O49" s="1428" t="s">
        <v>405</v>
      </c>
      <c r="P49" s="1419" t="s">
        <v>825</v>
      </c>
      <c r="Q49" s="1420">
        <f ca="1">C29</f>
        <v>4882</v>
      </c>
      <c r="R49" s="1420" t="s">
        <v>818</v>
      </c>
    </row>
    <row r="50" spans="1:18" s="1384" customFormat="1" ht="13.5" thickBot="1">
      <c r="A50" s="976"/>
      <c r="B50" s="979"/>
      <c r="C50" s="1118"/>
      <c r="D50" s="953"/>
      <c r="E50" s="1056" t="s">
        <v>697</v>
      </c>
      <c r="F50" s="1057">
        <f ca="1">F7</f>
        <v>7541.3</v>
      </c>
      <c r="H50" s="723"/>
      <c r="I50" s="1421" t="s">
        <v>826</v>
      </c>
      <c r="J50" s="1429">
        <f>SUMPRODUCT((I63:I65=J47)*(J62:L62=J48)*(J63:L65))</f>
        <v>60</v>
      </c>
      <c r="K50" s="1423" t="s">
        <v>827</v>
      </c>
      <c r="L50" s="1427">
        <f>基准地价修正!B2</f>
        <v>26152</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8457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5">
        <f ca="1">IF(M47="住宅",IF(D1="——",MAX(J51,L48),MAX(J51,L48-'数据-取费表'!B24)),IF(D1="——",MIN(J51,L48),MIN(J51,L48-'数据-取费表'!B24)))</f>
        <v>26</v>
      </c>
      <c r="K53" s="3643" t="s">
        <v>837</v>
      </c>
      <c r="L53" s="3644"/>
      <c r="O53" s="1418" t="s">
        <v>409</v>
      </c>
      <c r="P53" s="1419" t="s">
        <v>838</v>
      </c>
      <c r="Q53" s="1420">
        <f ca="1">Q47+Q48</f>
        <v>11027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3474</v>
      </c>
      <c r="O55" s="1411" t="s">
        <v>811</v>
      </c>
      <c r="P55" s="1412" t="s">
        <v>812</v>
      </c>
      <c r="Q55" s="1413" t="s">
        <v>813</v>
      </c>
      <c r="R55" s="1413" t="s">
        <v>814</v>
      </c>
    </row>
    <row r="56" spans="1:18" s="1384" customFormat="1" ht="25.5" thickTop="1" thickBot="1">
      <c r="A56" s="957">
        <v>2</v>
      </c>
      <c r="B56" s="958" t="s">
        <v>704</v>
      </c>
      <c r="C56" s="232">
        <f ca="1">C13</f>
        <v>3271</v>
      </c>
      <c r="D56" s="1447"/>
      <c r="E56" s="1448"/>
      <c r="F56" s="1440"/>
      <c r="I56" s="1449" t="s">
        <v>842</v>
      </c>
      <c r="J56" s="1450" t="s">
        <v>3473</v>
      </c>
      <c r="K56" s="1421" t="s">
        <v>843</v>
      </c>
      <c r="L56" s="1424">
        <f ca="1">IF(L48&lt;J51,"——",L48-J53)</f>
        <v>16.399999999999999</v>
      </c>
      <c r="O56" s="1418" t="s">
        <v>403</v>
      </c>
      <c r="P56" s="1419" t="s">
        <v>817</v>
      </c>
      <c r="Q56" s="1420">
        <f ca="1">C40+J29</f>
        <v>11027</v>
      </c>
      <c r="R56" s="1420" t="s">
        <v>818</v>
      </c>
    </row>
    <row r="57" spans="1:18" s="1384" customFormat="1" ht="24.75" thickBot="1">
      <c r="A57" s="1451"/>
      <c r="B57" s="950" t="s">
        <v>767</v>
      </c>
      <c r="C57" s="238">
        <f ca="1">C29</f>
        <v>4882</v>
      </c>
      <c r="D57" s="1452"/>
      <c r="E57" s="1453"/>
      <c r="F57" s="1454"/>
      <c r="I57" s="1455" t="s">
        <v>844</v>
      </c>
      <c r="J57" s="1456" t="str">
        <f ca="1">IF(OR(M47="住宅",J51&lt;L48,J56="是"),"——",J51-L48)</f>
        <v>——</v>
      </c>
      <c r="K57" s="1421" t="s">
        <v>845</v>
      </c>
      <c r="L57" s="1424">
        <f ca="1">IF(L48&lt;J51,"——",IF(L55="比较法",L49,IF(L55="基准地价",L50,L51)))</f>
        <v>26152</v>
      </c>
      <c r="O57" s="1418" t="s">
        <v>404</v>
      </c>
      <c r="P57" s="1419" t="s">
        <v>846</v>
      </c>
      <c r="Q57" s="1420">
        <f ca="1">L60</f>
        <v>5056</v>
      </c>
      <c r="R57" s="1420" t="s">
        <v>847</v>
      </c>
    </row>
    <row r="58" spans="1:18" s="1384" customFormat="1" ht="24.75" thickBot="1">
      <c r="A58" s="315" t="s">
        <v>393</v>
      </c>
      <c r="B58" s="958" t="s">
        <v>714</v>
      </c>
      <c r="C58" s="316">
        <f ca="1">ROUND(C59+C64+C65+C66,0)</f>
        <v>70</v>
      </c>
      <c r="D58" s="960" t="s">
        <v>715</v>
      </c>
      <c r="E58" s="961"/>
      <c r="F58" s="962"/>
      <c r="I58" s="1455" t="s">
        <v>848</v>
      </c>
      <c r="J58" s="1457" t="e">
        <f ca="1">IF(J55&lt;0.4,0.4,J55)</f>
        <v>#VALUE!</v>
      </c>
      <c r="K58" s="1434" t="s">
        <v>849</v>
      </c>
      <c r="L58" s="1424">
        <f ca="1">ROUND(POWER(1+L52,L47-L48)*(POWER(1+L52,L48)-1)/(POWER(1+L52,L47)-1),4)</f>
        <v>0.96289999999999998</v>
      </c>
      <c r="O58" s="1428" t="s">
        <v>405</v>
      </c>
      <c r="P58" s="1419" t="s">
        <v>850</v>
      </c>
      <c r="Q58" s="1420">
        <f>IF(L55="比较法",L49,IF(L55="基准地价",L50,0))</f>
        <v>26152</v>
      </c>
      <c r="R58" s="1420" t="s">
        <v>818</v>
      </c>
    </row>
    <row r="59" spans="1:18" s="1384" customFormat="1" ht="24.75" thickBot="1">
      <c r="A59" s="982" t="s">
        <v>398</v>
      </c>
      <c r="B59" s="950" t="s">
        <v>719</v>
      </c>
      <c r="C59" s="2313">
        <f ca="1">ROUND(IF(AND(项目基本情况!B11="自然人",项目基本情况!B10="北京市"),C49*F59/(1+'数据-取费表'!C42),C60+C61+C62),0)</f>
        <v>16</v>
      </c>
      <c r="D59" s="963" t="s">
        <v>720</v>
      </c>
      <c r="E59" s="964" t="s">
        <v>721</v>
      </c>
      <c r="F59" s="2312"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0.80689999999999995</v>
      </c>
      <c r="M59" s="1380">
        <f ca="1">ROUND(POWER(1+L52,L47-(J51+'数据-取费表'!B24))*(POWER(1+L52,(J51+'数据-取费表'!B24))-1)/(POWER(1+L52,L47)-1),4)</f>
        <v>0.80689999999999995</v>
      </c>
      <c r="N59" s="1380">
        <f ca="1">ROUND(POWER(1+L52,L47-(J51+'数据-取费表'!B20))*(POWER(1+L52,(J51+'数据-取费表'!B20))-1)/(POWER(1+L52,L47)-1),4)</f>
        <v>0.82750000000000001</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5056</v>
      </c>
      <c r="O60" s="1428" t="s">
        <v>407</v>
      </c>
      <c r="P60" s="1419" t="s">
        <v>855</v>
      </c>
      <c r="Q60" s="1420">
        <f ca="1">L58</f>
        <v>0.96289999999999998</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f ca="1">L59</f>
        <v>0.80689999999999995</v>
      </c>
      <c r="R61" s="1420" t="s">
        <v>857</v>
      </c>
    </row>
    <row r="62" spans="1:18" s="1384" customFormat="1" ht="13.5" thickBot="1">
      <c r="A62" s="982" t="s">
        <v>784</v>
      </c>
      <c r="B62" s="949" t="s">
        <v>785</v>
      </c>
      <c r="C62" s="22">
        <f ca="1">IF(项目基本情况!B11="自然人","——",ROUND(F62*F63/10000,2))</f>
        <v>16.13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16083</v>
      </c>
      <c r="R62" s="1420" t="s">
        <v>410</v>
      </c>
    </row>
    <row r="63" spans="1:18" s="1384" customFormat="1" ht="13.5" thickBot="1">
      <c r="A63" s="326"/>
      <c r="B63" s="956"/>
      <c r="C63" s="26"/>
      <c r="D63" s="966"/>
      <c r="E63" s="950" t="s">
        <v>788</v>
      </c>
      <c r="F63" s="303">
        <f t="shared" ca="1" si="0"/>
        <v>6720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4.91</v>
      </c>
      <c r="D65" s="964" t="s">
        <v>743</v>
      </c>
      <c r="E65" s="950" t="s">
        <v>744</v>
      </c>
      <c r="F65" s="330">
        <f t="shared" ca="1" si="0"/>
        <v>1.5E-3</v>
      </c>
      <c r="I65" s="1462" t="s">
        <v>867</v>
      </c>
      <c r="J65" s="1463">
        <v>40</v>
      </c>
      <c r="K65" s="1463">
        <v>30</v>
      </c>
      <c r="L65" s="1463">
        <v>50</v>
      </c>
      <c r="M65" s="1465">
        <v>0.02</v>
      </c>
      <c r="O65" s="1418" t="s">
        <v>403</v>
      </c>
      <c r="P65" s="1419" t="s">
        <v>868</v>
      </c>
      <c r="Q65" s="1420">
        <f ca="1">C40+J29</f>
        <v>11027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5056</v>
      </c>
      <c r="R66" s="1420" t="s">
        <v>869</v>
      </c>
    </row>
    <row r="67" spans="1:18" s="1384" customFormat="1" ht="16.5" thickBot="1">
      <c r="A67" s="957" t="s">
        <v>394</v>
      </c>
      <c r="B67" s="967" t="s">
        <v>752</v>
      </c>
      <c r="C67" s="316">
        <f ca="1">C48-C58</f>
        <v>-70</v>
      </c>
      <c r="D67" s="963" t="s">
        <v>753</v>
      </c>
      <c r="E67" s="968"/>
      <c r="F67" s="969"/>
      <c r="O67" s="1428" t="s">
        <v>405</v>
      </c>
      <c r="P67" s="1419" t="s">
        <v>850</v>
      </c>
      <c r="Q67" s="1466">
        <f ca="1">L51</f>
        <v>8457</v>
      </c>
      <c r="R67" s="1420" t="s">
        <v>870</v>
      </c>
    </row>
    <row r="68" spans="1:18" s="1384" customFormat="1" ht="16.5" thickBot="1">
      <c r="A68" s="947" t="s">
        <v>395</v>
      </c>
      <c r="B68" s="948" t="s">
        <v>774</v>
      </c>
      <c r="C68" s="301">
        <f ca="1">ROUND(C67*(1-((1+F70)/(1+F68))^F69)/(F68-F70),0)</f>
        <v>-910</v>
      </c>
      <c r="D68" s="965" t="s">
        <v>758</v>
      </c>
      <c r="E68" s="950" t="s">
        <v>759</v>
      </c>
      <c r="F68" s="312">
        <f ca="1">F40</f>
        <v>0.06</v>
      </c>
      <c r="O68" s="1428" t="s">
        <v>406</v>
      </c>
      <c r="P68" s="1467" t="s">
        <v>871</v>
      </c>
      <c r="Q68" s="1420">
        <f ca="1">ROUND(Q69-Q70*Q71,0)</f>
        <v>619</v>
      </c>
      <c r="R68" s="1420" t="s">
        <v>414</v>
      </c>
    </row>
    <row r="69" spans="1:18" s="1384" customFormat="1" ht="13.5" thickBot="1">
      <c r="A69" s="951"/>
      <c r="B69" s="952"/>
      <c r="C69" s="306"/>
      <c r="D69" s="970" t="s">
        <v>762</v>
      </c>
      <c r="E69" s="950" t="s">
        <v>763</v>
      </c>
      <c r="F69" s="333">
        <f ca="1">F41</f>
        <v>26</v>
      </c>
      <c r="O69" s="1428" t="s">
        <v>411</v>
      </c>
      <c r="P69" s="1467" t="s">
        <v>872</v>
      </c>
      <c r="Q69" s="1420">
        <f ca="1">C39</f>
        <v>848</v>
      </c>
      <c r="R69" s="1420" t="s">
        <v>818</v>
      </c>
    </row>
    <row r="70" spans="1:18" s="1384" customFormat="1" ht="13.5" thickBot="1">
      <c r="A70" s="954"/>
      <c r="B70" s="955"/>
      <c r="C70" s="310"/>
      <c r="D70" s="966"/>
      <c r="E70" s="950" t="s">
        <v>766</v>
      </c>
      <c r="F70" s="1054"/>
      <c r="O70" s="1428" t="s">
        <v>412</v>
      </c>
      <c r="P70" s="1467" t="s">
        <v>873</v>
      </c>
      <c r="Q70" s="1420">
        <f ca="1">C13</f>
        <v>3271</v>
      </c>
      <c r="R70" s="1420" t="s">
        <v>818</v>
      </c>
    </row>
    <row r="71" spans="1:18" s="1384" customFormat="1" ht="13.5" thickBot="1">
      <c r="A71" s="971" t="s">
        <v>396</v>
      </c>
      <c r="B71" s="972" t="s">
        <v>776</v>
      </c>
      <c r="C71" s="336">
        <f ca="1">ROUND(C68*10000/F71,0)</f>
        <v>-1207</v>
      </c>
      <c r="D71" s="973" t="s">
        <v>777</v>
      </c>
      <c r="E71" s="974" t="s">
        <v>778</v>
      </c>
      <c r="F71" s="339">
        <f ca="1">F43</f>
        <v>7541.3</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0.96289999999999998</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0.80689999999999995</v>
      </c>
      <c r="R74" s="1420" t="s">
        <v>857</v>
      </c>
    </row>
    <row r="75" spans="1:18" ht="13.5" thickBot="1">
      <c r="A75" s="1384"/>
      <c r="B75" s="340" t="s">
        <v>795</v>
      </c>
      <c r="C75" s="341">
        <f ca="1">ROUND(C13*C76,0)</f>
        <v>229</v>
      </c>
      <c r="D75" s="1384"/>
      <c r="E75" s="1384"/>
      <c r="F75" s="1384"/>
      <c r="K75" s="1402"/>
      <c r="L75" s="1384"/>
      <c r="O75" s="1418" t="s">
        <v>409</v>
      </c>
      <c r="P75" s="1419" t="s">
        <v>838</v>
      </c>
      <c r="Q75" s="1420">
        <f ca="1">Q65+Q66</f>
        <v>16083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v>
      </c>
    </row>
    <row r="80" spans="1:18">
      <c r="B80" s="340" t="s">
        <v>800</v>
      </c>
      <c r="C80" s="274">
        <f ca="1">ROUND(C75/C39,3)</f>
        <v>0.27</v>
      </c>
    </row>
    <row r="81" spans="2:3">
      <c r="B81" s="270" t="s">
        <v>801</v>
      </c>
      <c r="C81" s="238"/>
    </row>
    <row r="82" spans="2:3">
      <c r="B82" s="273" t="s">
        <v>802</v>
      </c>
      <c r="C82" s="275">
        <f ca="1">1-C83</f>
        <v>0.70300000000000007</v>
      </c>
    </row>
    <row r="83" spans="2:3">
      <c r="B83" s="273" t="s">
        <v>803</v>
      </c>
      <c r="C83" s="274">
        <f ca="1">ROUND(C13/C40,3)</f>
        <v>0.29699999999999999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2105</v>
      </c>
      <c r="E6" s="302" t="s">
        <v>696</v>
      </c>
      <c r="F6" s="303">
        <f ca="1">INDIRECT("'数据-取费表'!u"&amp;$G$1)</f>
        <v>0</v>
      </c>
      <c r="G6" s="1384"/>
      <c r="H6" s="1069" t="s">
        <v>398</v>
      </c>
      <c r="I6" s="3645" t="s">
        <v>694</v>
      </c>
      <c r="J6" s="301">
        <f ca="1">ROUND(M6*M8*M7*(1-M9),0)</f>
        <v>0</v>
      </c>
      <c r="K6" s="1376"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0</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3355</v>
      </c>
      <c r="B45" s="1400"/>
      <c r="C45" s="1472" t="e">
        <f ca="1">ROUND((C68-C40)/10000,4)</f>
        <v>#DIV/0!</v>
      </c>
      <c r="D45" s="3427"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5">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5" t="s">
        <v>2318</v>
      </c>
      <c r="B2" s="2840" t="e">
        <f>IF(D2="——",C40,C40+E2)</f>
        <v>#DIV/0!</v>
      </c>
      <c r="C2" s="2841" t="s">
        <v>2319</v>
      </c>
      <c r="D2" s="3438" t="s">
        <v>3362</v>
      </c>
      <c r="E2" s="3439"/>
      <c r="F2" s="2843"/>
      <c r="G2" s="2844"/>
      <c r="H2" s="2845"/>
      <c r="I2" s="2846"/>
      <c r="J2" s="3648" t="s">
        <v>2320</v>
      </c>
      <c r="K2" s="364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50" t="s">
        <v>2330</v>
      </c>
      <c r="K3" s="365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50" t="s">
        <v>2332</v>
      </c>
      <c r="K4" s="365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52" t="s">
        <v>2336</v>
      </c>
      <c r="B6" s="3653"/>
      <c r="C6" s="3654"/>
      <c r="D6" s="2867"/>
      <c r="E6" s="2868"/>
      <c r="F6" s="2869"/>
      <c r="G6" s="2870"/>
      <c r="H6" s="2845"/>
      <c r="I6" s="2846"/>
      <c r="J6" s="3655">
        <v>1</v>
      </c>
      <c r="K6" s="3656"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55"/>
      <c r="K7" s="3657"/>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59" t="s">
        <v>2350</v>
      </c>
      <c r="C8" s="3660"/>
      <c r="D8" s="2886" t="s">
        <v>2351</v>
      </c>
      <c r="E8" s="2887" t="s">
        <v>2352</v>
      </c>
      <c r="F8" s="2888" t="s">
        <v>2353</v>
      </c>
      <c r="G8" s="2889"/>
      <c r="H8" s="2845"/>
      <c r="I8" s="2846"/>
      <c r="J8" s="3655"/>
      <c r="K8" s="3657"/>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59" t="s">
        <v>2356</v>
      </c>
      <c r="C9" s="3660"/>
      <c r="D9" s="2886">
        <f>ROUND(D6*E9,0)</f>
        <v>0</v>
      </c>
      <c r="E9" s="2890"/>
      <c r="F9" s="2891" t="s">
        <v>2357</v>
      </c>
      <c r="G9" s="2870"/>
      <c r="H9" s="2845"/>
      <c r="I9" s="2846"/>
      <c r="J9" s="3655"/>
      <c r="K9" s="3657"/>
      <c r="L9" s="2880" t="s">
        <v>2358</v>
      </c>
      <c r="M9" s="2881"/>
      <c r="N9" s="2857"/>
      <c r="O9" s="2882"/>
      <c r="P9" s="2882"/>
      <c r="Q9" s="2883">
        <v>365</v>
      </c>
      <c r="R9" s="2884">
        <f t="shared" si="0"/>
        <v>0</v>
      </c>
      <c r="S9" s="2838"/>
      <c r="T9" s="2838"/>
      <c r="U9" s="2838"/>
      <c r="V9" s="2846"/>
    </row>
    <row r="10" spans="1:22" s="2850" customFormat="1" ht="13.15" customHeight="1">
      <c r="A10" s="2885">
        <v>2</v>
      </c>
      <c r="B10" s="3659" t="s">
        <v>2359</v>
      </c>
      <c r="C10" s="3660"/>
      <c r="D10" s="2886">
        <f>ROUND(D6*E10,0)</f>
        <v>0</v>
      </c>
      <c r="E10" s="2890"/>
      <c r="F10" s="2891" t="s">
        <v>2360</v>
      </c>
      <c r="G10" s="2870"/>
      <c r="H10" s="2845"/>
      <c r="I10" s="2846"/>
      <c r="J10" s="3655"/>
      <c r="K10" s="3657"/>
      <c r="L10" s="2880" t="s">
        <v>2361</v>
      </c>
      <c r="M10" s="2881"/>
      <c r="N10" s="2857"/>
      <c r="O10" s="2882"/>
      <c r="P10" s="2882"/>
      <c r="Q10" s="2883">
        <v>365</v>
      </c>
      <c r="R10" s="2884">
        <f t="shared" si="0"/>
        <v>0</v>
      </c>
      <c r="S10" s="2838"/>
      <c r="T10" s="2838"/>
      <c r="U10" s="2838"/>
      <c r="V10" s="2846"/>
    </row>
    <row r="11" spans="1:22" s="2850" customFormat="1" ht="13.15" customHeight="1">
      <c r="A11" s="2885">
        <v>3</v>
      </c>
      <c r="B11" s="3659" t="s">
        <v>2362</v>
      </c>
      <c r="C11" s="3660"/>
      <c r="D11" s="2886">
        <f>D12+D14+D15+D16</f>
        <v>0</v>
      </c>
      <c r="E11" s="2892" t="e">
        <f>D11/D6</f>
        <v>#DIV/0!</v>
      </c>
      <c r="F11" s="2888"/>
      <c r="G11" s="2889"/>
      <c r="H11" s="2845"/>
      <c r="I11" s="2846"/>
      <c r="J11" s="3655"/>
      <c r="K11" s="3657"/>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61" t="s">
        <v>2365</v>
      </c>
      <c r="C12" s="3662"/>
      <c r="D12" s="2894">
        <f>ROUND(D13*1.2%*(1-30%),0)</f>
        <v>0</v>
      </c>
      <c r="E12" s="2895">
        <v>1.2E-2</v>
      </c>
      <c r="F12" s="2888" t="s">
        <v>2366</v>
      </c>
      <c r="G12" s="2889"/>
      <c r="H12" s="2845"/>
      <c r="I12" s="2846"/>
      <c r="J12" s="3655"/>
      <c r="K12" s="3657"/>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55"/>
      <c r="K13" s="3657"/>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61" t="s">
        <v>2371</v>
      </c>
      <c r="C14" s="3662"/>
      <c r="D14" s="2894">
        <f>ROUND(E14*B5/10000,0)</f>
        <v>0</v>
      </c>
      <c r="E14" s="2883"/>
      <c r="F14" s="2888" t="s">
        <v>2372</v>
      </c>
      <c r="G14" s="2889"/>
      <c r="H14" s="2845"/>
      <c r="I14" s="2846"/>
      <c r="J14" s="3655"/>
      <c r="K14" s="3658"/>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61" t="s">
        <v>2375</v>
      </c>
      <c r="C15" s="3662"/>
      <c r="D15" s="2894">
        <f>ROUND(D6*E15,0)</f>
        <v>0</v>
      </c>
      <c r="E15" s="2895">
        <v>5.5E-2</v>
      </c>
      <c r="F15" s="2888" t="s">
        <v>2376</v>
      </c>
      <c r="G15" s="2870"/>
      <c r="H15" s="2845"/>
      <c r="I15" s="2846"/>
      <c r="J15" s="3655">
        <v>2</v>
      </c>
      <c r="K15" s="3656"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61" t="s">
        <v>2384</v>
      </c>
      <c r="C16" s="3662"/>
      <c r="D16" s="2905">
        <f>D6*E16</f>
        <v>0</v>
      </c>
      <c r="E16" s="2906"/>
      <c r="F16" s="2891" t="s">
        <v>2385</v>
      </c>
      <c r="G16" s="2870"/>
      <c r="H16" s="2845"/>
      <c r="I16" s="2846"/>
      <c r="J16" s="3655"/>
      <c r="K16" s="3657"/>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63" t="s">
        <v>2387</v>
      </c>
      <c r="C17" s="3664"/>
      <c r="D17" s="2908">
        <f>ROUND(D6*E17,0)</f>
        <v>0</v>
      </c>
      <c r="E17" s="2909"/>
      <c r="F17" s="2910" t="s">
        <v>2388</v>
      </c>
      <c r="G17" s="2870"/>
      <c r="H17" s="2845"/>
      <c r="I17" s="2846"/>
      <c r="J17" s="3655"/>
      <c r="K17" s="3657"/>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55"/>
      <c r="K18" s="3657"/>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55"/>
      <c r="K19" s="3658"/>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5">
        <v>3</v>
      </c>
      <c r="K20" s="3656"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55"/>
      <c r="K21" s="3657"/>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55"/>
      <c r="K22" s="3657"/>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55"/>
      <c r="K23" s="3657"/>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55"/>
      <c r="K24" s="3658"/>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6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6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48" t="s">
        <v>2320</v>
      </c>
      <c r="K32" s="364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50" t="s">
        <v>2330</v>
      </c>
      <c r="K33" s="365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50" t="s">
        <v>2332</v>
      </c>
      <c r="K34" s="365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55">
        <v>1</v>
      </c>
      <c r="K36" s="3656"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55"/>
      <c r="K37" s="3657"/>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5"/>
      <c r="K38" s="3657"/>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55"/>
      <c r="K39" s="3657"/>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55"/>
      <c r="K40" s="3658"/>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5">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6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4"/>
      <c r="G1" s="1489"/>
      <c r="H1" s="1489"/>
      <c r="I1" s="1489"/>
      <c r="J1" s="1489"/>
      <c r="K1" s="1489"/>
      <c r="L1" s="1489"/>
      <c r="M1" s="1489"/>
      <c r="N1" s="1489"/>
      <c r="O1" s="1489"/>
      <c r="P1" s="1489"/>
      <c r="Q1" s="1489"/>
      <c r="R1" s="1489"/>
      <c r="S1" s="1489"/>
    </row>
    <row r="2" spans="1:22" ht="15.75">
      <c r="A2" s="1869" t="s">
        <v>1461</v>
      </c>
      <c r="B2" s="1870">
        <f ca="1">SUMIF(B6:B13,"&lt;&gt;#ref!",B6:B13)</f>
        <v>16083</v>
      </c>
      <c r="C2" s="1871" t="s">
        <v>1650</v>
      </c>
      <c r="D2" s="1872" t="s">
        <v>1651</v>
      </c>
      <c r="E2" s="2604">
        <f>SUM(E6:E13)</f>
        <v>7798.2</v>
      </c>
      <c r="F2" s="2704"/>
      <c r="G2" s="1489"/>
      <c r="H2" s="1489"/>
      <c r="I2" s="1489"/>
      <c r="J2" s="1489"/>
      <c r="K2" s="1489"/>
      <c r="L2" s="1489"/>
      <c r="M2" s="1489"/>
      <c r="N2" s="1489"/>
      <c r="O2" s="1489"/>
      <c r="P2" s="1489"/>
      <c r="Q2" s="1489"/>
      <c r="R2" s="1489"/>
      <c r="S2" s="1489"/>
    </row>
    <row r="3" spans="1:22" ht="15.75">
      <c r="A3" s="1869" t="s">
        <v>686</v>
      </c>
      <c r="B3" s="2598">
        <f ca="1">ROUND(B2*10000/E2,0)</f>
        <v>20624</v>
      </c>
      <c r="C3" s="1871"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67" t="s">
        <v>1653</v>
      </c>
      <c r="C5" s="3668"/>
      <c r="D5" s="2705"/>
      <c r="E5" s="1873" t="s">
        <v>1654</v>
      </c>
      <c r="F5" s="1874"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16083</v>
      </c>
      <c r="C6" s="1871" t="s">
        <v>1650</v>
      </c>
      <c r="D6" s="2706"/>
      <c r="E6" s="2603">
        <f>IF(OR(A6=0,F6="否"),0,'数据-取费表'!K6+'数据-取费表'!S6)</f>
        <v>7798.2</v>
      </c>
      <c r="F6" s="1875"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1650</v>
      </c>
      <c r="D7" s="2706"/>
      <c r="E7" s="2603">
        <f>IF(OR(A7=0,F7="否"),0,'数据-取费表'!K7+'数据-取费表'!S7)</f>
        <v>0</v>
      </c>
      <c r="F7" s="1875"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1650</v>
      </c>
      <c r="D8" s="2706"/>
      <c r="E8" s="2603">
        <f>IF(OR(A8=0,F8="否"),0,'数据-取费表'!K8+'数据-取费表'!S8)</f>
        <v>0</v>
      </c>
      <c r="F8" s="1875"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1650</v>
      </c>
      <c r="D9" s="2706"/>
      <c r="E9" s="2603">
        <f>IF(OR(A9=0,F9="否"),0,'数据-取费表'!K9+'数据-取费表'!S9)</f>
        <v>0</v>
      </c>
      <c r="F9" s="1875"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1650</v>
      </c>
      <c r="D10" s="2706"/>
      <c r="E10" s="2603">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1650</v>
      </c>
      <c r="D11" s="2706"/>
      <c r="E11" s="2603">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1650</v>
      </c>
      <c r="D12" s="2706"/>
      <c r="E12" s="2603">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1650</v>
      </c>
      <c r="D13" s="2707"/>
      <c r="E13" s="2603">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1"/>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7798.2</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1665</v>
      </c>
      <c r="B4" s="356"/>
      <c r="C4" s="3687" t="s">
        <v>1666</v>
      </c>
      <c r="D4" s="3688"/>
      <c r="E4" s="3689" t="s">
        <v>1667</v>
      </c>
      <c r="F4" s="3690"/>
      <c r="G4" s="3687" t="s">
        <v>1668</v>
      </c>
      <c r="H4" s="3688"/>
      <c r="I4" s="3687" t="s">
        <v>1669</v>
      </c>
      <c r="J4" s="3688"/>
      <c r="K4" s="1888" t="s">
        <v>1670</v>
      </c>
      <c r="L4" s="2712"/>
      <c r="M4" s="2713"/>
      <c r="N4" s="2713"/>
      <c r="O4" s="2713"/>
      <c r="P4" s="3691" t="s">
        <v>1671</v>
      </c>
      <c r="Q4" s="3692"/>
      <c r="R4" s="3674" t="s">
        <v>1667</v>
      </c>
      <c r="S4" s="3675"/>
      <c r="T4" s="3674" t="s">
        <v>1668</v>
      </c>
      <c r="U4" s="3675"/>
      <c r="V4" s="3699" t="s">
        <v>1669</v>
      </c>
      <c r="W4" s="3699"/>
      <c r="X4" s="1355"/>
      <c r="Y4" s="3674" t="s">
        <v>1671</v>
      </c>
      <c r="Z4" s="3675"/>
      <c r="AA4" s="3669" t="s">
        <v>1667</v>
      </c>
      <c r="AB4" s="3669" t="s">
        <v>1668</v>
      </c>
      <c r="AC4" s="3669" t="s">
        <v>1669</v>
      </c>
    </row>
    <row r="5" spans="1:29" ht="15">
      <c r="A5" s="358"/>
      <c r="B5" s="359"/>
      <c r="C5" s="3680" t="s">
        <v>1672</v>
      </c>
      <c r="D5" s="3681"/>
      <c r="E5" s="3678" t="s">
        <v>1673</v>
      </c>
      <c r="F5" s="3679"/>
      <c r="G5" s="3680" t="s">
        <v>1674</v>
      </c>
      <c r="H5" s="3681"/>
      <c r="I5" s="3680" t="s">
        <v>1675</v>
      </c>
      <c r="J5" s="3681"/>
      <c r="K5" s="188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188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2" t="s">
        <v>1679</v>
      </c>
      <c r="Q7" s="3700"/>
      <c r="R7" s="701" t="s">
        <v>20</v>
      </c>
      <c r="S7" s="702">
        <f t="shared" ref="S7:S15" si="0">F7</f>
        <v>0</v>
      </c>
      <c r="T7" s="701" t="s">
        <v>20</v>
      </c>
      <c r="U7" s="702">
        <f t="shared" ref="U7:U15" si="1">H7</f>
        <v>0</v>
      </c>
      <c r="V7" s="701" t="s">
        <v>20</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2" t="s">
        <v>1682</v>
      </c>
      <c r="Q8" s="3673"/>
      <c r="R8" s="701" t="s">
        <v>20</v>
      </c>
      <c r="S8" s="702">
        <f t="shared" si="0"/>
        <v>100</v>
      </c>
      <c r="T8" s="701" t="s">
        <v>20</v>
      </c>
      <c r="U8" s="702">
        <f t="shared" si="1"/>
        <v>100</v>
      </c>
      <c r="V8" s="701" t="s">
        <v>20</v>
      </c>
      <c r="W8" s="702">
        <f t="shared" si="2"/>
        <v>100</v>
      </c>
      <c r="X8" s="703"/>
      <c r="Y8" s="3672" t="s">
        <v>1682</v>
      </c>
      <c r="Z8" s="367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3" t="s">
        <v>1690</v>
      </c>
      <c r="Q15" s="1352" t="str">
        <f t="shared" si="6"/>
        <v>居住社区成熟度</v>
      </c>
      <c r="R15" s="705" t="s">
        <v>18</v>
      </c>
      <c r="S15" s="706">
        <f t="shared" si="0"/>
        <v>100</v>
      </c>
      <c r="T15" s="705" t="s">
        <v>18</v>
      </c>
      <c r="U15" s="706">
        <f t="shared" si="1"/>
        <v>100</v>
      </c>
      <c r="V15" s="705" t="s">
        <v>18</v>
      </c>
      <c r="W15" s="706">
        <f t="shared" si="2"/>
        <v>100</v>
      </c>
      <c r="X15" s="1355"/>
      <c r="Y15" s="3706"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14"/>
      <c r="Q16" s="1352"/>
      <c r="R16" s="705"/>
      <c r="S16" s="706"/>
      <c r="T16" s="705"/>
      <c r="U16" s="706"/>
      <c r="V16" s="705"/>
      <c r="W16" s="706"/>
      <c r="X16" s="1355"/>
      <c r="Y16" s="3707"/>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14"/>
      <c r="Q18" s="1352"/>
      <c r="R18" s="705"/>
      <c r="S18" s="706"/>
      <c r="T18" s="705"/>
      <c r="U18" s="706"/>
      <c r="V18" s="705"/>
      <c r="W18" s="706"/>
      <c r="X18" s="1355"/>
      <c r="Y18" s="3707"/>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14"/>
      <c r="Q20" s="1352"/>
      <c r="R20" s="705"/>
      <c r="S20" s="706"/>
      <c r="T20" s="705"/>
      <c r="U20" s="706"/>
      <c r="V20" s="705"/>
      <c r="W20" s="706"/>
      <c r="X20" s="1355"/>
      <c r="Y20" s="3707"/>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14"/>
      <c r="Q22" s="1352"/>
      <c r="R22" s="705"/>
      <c r="S22" s="706"/>
      <c r="T22" s="705"/>
      <c r="U22" s="706"/>
      <c r="V22" s="705"/>
      <c r="W22" s="706"/>
      <c r="X22" s="1355"/>
      <c r="Y22" s="3707"/>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14"/>
      <c r="Q24" s="1352"/>
      <c r="R24" s="705"/>
      <c r="S24" s="706"/>
      <c r="T24" s="705"/>
      <c r="U24" s="706"/>
      <c r="V24" s="705"/>
      <c r="W24" s="706"/>
      <c r="X24" s="1355"/>
      <c r="Y24" s="3707"/>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08" t="s">
        <v>1695</v>
      </c>
      <c r="Q32" s="1352" t="str">
        <f t="shared" si="11"/>
        <v>建筑类型</v>
      </c>
      <c r="R32" s="705" t="s">
        <v>18</v>
      </c>
      <c r="S32" s="706">
        <f t="shared" si="12"/>
        <v>100</v>
      </c>
      <c r="T32" s="705" t="s">
        <v>18</v>
      </c>
      <c r="U32" s="706">
        <f t="shared" si="13"/>
        <v>100</v>
      </c>
      <c r="V32" s="705" t="s">
        <v>18</v>
      </c>
      <c r="W32" s="706">
        <f t="shared" si="14"/>
        <v>100</v>
      </c>
      <c r="X32" s="1355"/>
      <c r="Y32" s="371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09" t="s">
        <v>1695</v>
      </c>
      <c r="Q38" s="1352" t="str">
        <f t="shared" si="11"/>
        <v>物业管理</v>
      </c>
      <c r="R38" s="705" t="s">
        <v>18</v>
      </c>
      <c r="S38" s="706">
        <f t="shared" si="12"/>
        <v>100</v>
      </c>
      <c r="T38" s="705" t="s">
        <v>18</v>
      </c>
      <c r="U38" s="706">
        <f t="shared" si="13"/>
        <v>100</v>
      </c>
      <c r="V38" s="705" t="s">
        <v>18</v>
      </c>
      <c r="W38" s="706">
        <f t="shared" si="14"/>
        <v>100</v>
      </c>
      <c r="X38" s="1355"/>
      <c r="Y38" s="3711"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1"/>
      <c r="M47" s="2722"/>
      <c r="N47" s="2713"/>
      <c r="O47" s="2722"/>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1708</v>
      </c>
      <c r="B48" s="438"/>
      <c r="C48" s="1160" t="e">
        <f>R49</f>
        <v>#DIV/0!</v>
      </c>
      <c r="D48" s="2314" t="s">
        <v>2137</v>
      </c>
      <c r="E48" s="1161" t="e">
        <f>R48</f>
        <v>#DIV/0!</v>
      </c>
      <c r="F48" s="2315"/>
      <c r="G48" s="1160" t="e">
        <f>T48</f>
        <v>#DIV/0!</v>
      </c>
      <c r="H48" s="2315"/>
      <c r="I48" s="1161" t="e">
        <f>V48</f>
        <v>#DIV/0!</v>
      </c>
      <c r="J48" s="2315"/>
      <c r="K48" s="2316">
        <f>F48+H48+J48</f>
        <v>0</v>
      </c>
      <c r="L48" s="2721"/>
      <c r="M48" s="2722"/>
      <c r="N48" s="2722"/>
      <c r="O48" s="2722"/>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1"/>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7798.2</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99"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99"/>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99"/>
      <c r="AC6" s="3671"/>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3" t="s">
        <v>1690</v>
      </c>
      <c r="Q15" s="1352" t="str">
        <f t="shared" si="6"/>
        <v>商业繁华度</v>
      </c>
      <c r="R15" s="705" t="s">
        <v>14</v>
      </c>
      <c r="S15" s="706">
        <f t="shared" si="0"/>
        <v>100</v>
      </c>
      <c r="T15" s="705" t="s">
        <v>14</v>
      </c>
      <c r="U15" s="706">
        <f t="shared" si="1"/>
        <v>100</v>
      </c>
      <c r="V15" s="705" t="s">
        <v>14</v>
      </c>
      <c r="W15" s="706">
        <f t="shared" si="2"/>
        <v>100</v>
      </c>
      <c r="X15" s="1355"/>
      <c r="Y15" s="370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4"/>
      <c r="Q16" s="1352"/>
      <c r="R16" s="705"/>
      <c r="S16" s="706"/>
      <c r="T16" s="705"/>
      <c r="U16" s="706"/>
      <c r="V16" s="705"/>
      <c r="W16" s="706"/>
      <c r="X16" s="1355"/>
      <c r="Y16" s="3707"/>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14"/>
      <c r="Q18" s="1352"/>
      <c r="R18" s="705"/>
      <c r="S18" s="706"/>
      <c r="T18" s="705"/>
      <c r="U18" s="706"/>
      <c r="V18" s="705"/>
      <c r="W18" s="706"/>
      <c r="X18" s="1355"/>
      <c r="Y18" s="3707"/>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14"/>
      <c r="Q20" s="1352"/>
      <c r="R20" s="705"/>
      <c r="S20" s="706"/>
      <c r="T20" s="705"/>
      <c r="U20" s="706"/>
      <c r="V20" s="705"/>
      <c r="W20" s="706"/>
      <c r="X20" s="1355"/>
      <c r="Y20" s="3707"/>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14"/>
      <c r="Q22" s="1352"/>
      <c r="R22" s="705"/>
      <c r="S22" s="706"/>
      <c r="T22" s="705"/>
      <c r="U22" s="706"/>
      <c r="V22" s="705"/>
      <c r="W22" s="706"/>
      <c r="X22" s="1355"/>
      <c r="Y22" s="3707"/>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14"/>
      <c r="Q24" s="1352"/>
      <c r="R24" s="705"/>
      <c r="S24" s="706"/>
      <c r="T24" s="705"/>
      <c r="U24" s="706"/>
      <c r="V24" s="705"/>
      <c r="W24" s="706"/>
      <c r="X24" s="1355"/>
      <c r="Y24" s="370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8" t="s">
        <v>1695</v>
      </c>
      <c r="Q32" s="1352" t="str">
        <f t="shared" si="11"/>
        <v>商业类型</v>
      </c>
      <c r="R32" s="705" t="s">
        <v>14</v>
      </c>
      <c r="S32" s="706">
        <f t="shared" si="12"/>
        <v>100</v>
      </c>
      <c r="T32" s="705" t="s">
        <v>14</v>
      </c>
      <c r="U32" s="706">
        <f t="shared" si="13"/>
        <v>100</v>
      </c>
      <c r="V32" s="705" t="s">
        <v>14</v>
      </c>
      <c r="W32" s="706">
        <f t="shared" si="14"/>
        <v>100</v>
      </c>
      <c r="X32" s="1355"/>
      <c r="Y32" s="371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09" t="s">
        <v>1695</v>
      </c>
      <c r="Q38" s="1352" t="str">
        <f t="shared" si="11"/>
        <v>业态</v>
      </c>
      <c r="R38" s="705" t="s">
        <v>14</v>
      </c>
      <c r="S38" s="706">
        <f t="shared" si="12"/>
        <v>100</v>
      </c>
      <c r="T38" s="705" t="s">
        <v>14</v>
      </c>
      <c r="U38" s="706">
        <f t="shared" si="13"/>
        <v>100</v>
      </c>
      <c r="V38" s="705" t="s">
        <v>14</v>
      </c>
      <c r="W38" s="706">
        <f t="shared" si="14"/>
        <v>100</v>
      </c>
      <c r="X38" s="1355"/>
      <c r="Y38" s="3711"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1792</v>
      </c>
      <c r="B48" s="438"/>
      <c r="C48" s="1160" t="e">
        <f>R49</f>
        <v>#DIV/0!</v>
      </c>
      <c r="D48" s="2314" t="s">
        <v>2137</v>
      </c>
      <c r="E48" s="1161" t="e">
        <f>R48</f>
        <v>#DIV/0!</v>
      </c>
      <c r="F48" s="2315"/>
      <c r="G48" s="1160" t="e">
        <f>T48</f>
        <v>#DIV/0!</v>
      </c>
      <c r="H48" s="2315"/>
      <c r="I48" s="1161" t="e">
        <f>V48</f>
        <v>#DIV/0!</v>
      </c>
      <c r="J48" s="2315"/>
      <c r="K48" s="2317">
        <f>F48+H48+J48</f>
        <v>0</v>
      </c>
      <c r="L48" s="2721"/>
      <c r="M48" s="2722"/>
      <c r="N48" s="2713"/>
      <c r="O48" s="2722"/>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7798.2</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721" t="s">
        <v>1774</v>
      </c>
      <c r="Q4" s="3722"/>
      <c r="R4" s="3716" t="s">
        <v>1770</v>
      </c>
      <c r="S4" s="3717"/>
      <c r="T4" s="3716" t="s">
        <v>1771</v>
      </c>
      <c r="U4" s="3717"/>
      <c r="V4" s="3725" t="s">
        <v>1772</v>
      </c>
      <c r="W4" s="3725"/>
      <c r="X4" s="1957"/>
      <c r="Y4" s="3716" t="s">
        <v>1774</v>
      </c>
      <c r="Z4" s="3717"/>
      <c r="AA4" s="3715" t="s">
        <v>1770</v>
      </c>
      <c r="AB4" s="3715" t="s">
        <v>1771</v>
      </c>
      <c r="AC4" s="3718" t="s">
        <v>1772</v>
      </c>
    </row>
    <row r="5" spans="1:29" ht="15">
      <c r="A5" s="358"/>
      <c r="B5" s="359"/>
      <c r="C5" s="3680" t="s">
        <v>1672</v>
      </c>
      <c r="D5" s="3681"/>
      <c r="E5" s="3678" t="s">
        <v>1673</v>
      </c>
      <c r="F5" s="3679"/>
      <c r="G5" s="3680" t="s">
        <v>1674</v>
      </c>
      <c r="H5" s="3681"/>
      <c r="I5" s="3680" t="s">
        <v>1675</v>
      </c>
      <c r="J5" s="3681"/>
      <c r="K5" s="559"/>
      <c r="L5" s="2712"/>
      <c r="M5" s="2713"/>
      <c r="N5" s="2713"/>
      <c r="O5" s="2713"/>
      <c r="P5" s="3723"/>
      <c r="Q5" s="3694"/>
      <c r="R5" s="3676"/>
      <c r="S5" s="3677"/>
      <c r="T5" s="3676"/>
      <c r="U5" s="3677"/>
      <c r="V5" s="3699"/>
      <c r="W5" s="3699"/>
      <c r="X5" s="1355"/>
      <c r="Y5" s="3676"/>
      <c r="Z5" s="3677"/>
      <c r="AA5" s="3670"/>
      <c r="AB5" s="3670"/>
      <c r="AC5" s="3719"/>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724"/>
      <c r="Q6" s="3696"/>
      <c r="R6" s="3676"/>
      <c r="S6" s="3677"/>
      <c r="T6" s="3697"/>
      <c r="U6" s="3698"/>
      <c r="V6" s="3699"/>
      <c r="W6" s="3699"/>
      <c r="X6" s="1355"/>
      <c r="Y6" s="3697"/>
      <c r="Z6" s="3698"/>
      <c r="AA6" s="3671"/>
      <c r="AB6" s="3671"/>
      <c r="AC6" s="3720"/>
    </row>
    <row r="7" spans="1:29" s="108" customFormat="1" ht="15.75" thickBot="1">
      <c r="A7" s="362" t="s">
        <v>1678</v>
      </c>
      <c r="B7" s="363"/>
      <c r="C7" s="364">
        <f>'数据-取费表'!B2</f>
        <v>45264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6"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6" t="s">
        <v>1682</v>
      </c>
      <c r="Q8" s="3673"/>
      <c r="R8" s="701" t="s">
        <v>14</v>
      </c>
      <c r="S8" s="702">
        <f t="shared" si="0"/>
        <v>100</v>
      </c>
      <c r="T8" s="701" t="s">
        <v>14</v>
      </c>
      <c r="U8" s="702">
        <f t="shared" si="1"/>
        <v>100</v>
      </c>
      <c r="V8" s="701" t="s">
        <v>14</v>
      </c>
      <c r="W8" s="702">
        <f t="shared" si="2"/>
        <v>100</v>
      </c>
      <c r="X8" s="703"/>
      <c r="Y8" s="3672" t="s">
        <v>1682</v>
      </c>
      <c r="Z8" s="3673"/>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1958">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3" t="s">
        <v>1690</v>
      </c>
      <c r="Q15" s="1352" t="str">
        <f t="shared" si="6"/>
        <v>办公集聚程度</v>
      </c>
      <c r="R15" s="705" t="s">
        <v>14</v>
      </c>
      <c r="S15" s="706">
        <f t="shared" si="0"/>
        <v>100</v>
      </c>
      <c r="T15" s="705" t="s">
        <v>14</v>
      </c>
      <c r="U15" s="706">
        <f t="shared" si="1"/>
        <v>100</v>
      </c>
      <c r="V15" s="705" t="s">
        <v>14</v>
      </c>
      <c r="W15" s="706">
        <f t="shared" si="2"/>
        <v>100</v>
      </c>
      <c r="X15" s="1355"/>
      <c r="Y15" s="3706"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14"/>
      <c r="Q16" s="1352"/>
      <c r="R16" s="705"/>
      <c r="S16" s="706"/>
      <c r="T16" s="705"/>
      <c r="U16" s="706"/>
      <c r="V16" s="705"/>
      <c r="W16" s="706"/>
      <c r="X16" s="1355"/>
      <c r="Y16" s="3707"/>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14"/>
      <c r="Q18" s="1352"/>
      <c r="R18" s="705"/>
      <c r="S18" s="706"/>
      <c r="T18" s="705"/>
      <c r="U18" s="706"/>
      <c r="V18" s="705"/>
      <c r="W18" s="706"/>
      <c r="X18" s="1355"/>
      <c r="Y18" s="3707"/>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14"/>
      <c r="Q20" s="1352"/>
      <c r="R20" s="705"/>
      <c r="S20" s="706"/>
      <c r="T20" s="705"/>
      <c r="U20" s="706"/>
      <c r="V20" s="705"/>
      <c r="W20" s="706"/>
      <c r="X20" s="1355"/>
      <c r="Y20" s="3707"/>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14"/>
      <c r="Q22" s="1352"/>
      <c r="R22" s="705"/>
      <c r="S22" s="706"/>
      <c r="T22" s="705"/>
      <c r="U22" s="706"/>
      <c r="V22" s="705"/>
      <c r="W22" s="706"/>
      <c r="X22" s="1355"/>
      <c r="Y22" s="3707"/>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14"/>
      <c r="Q24" s="1352"/>
      <c r="R24" s="705"/>
      <c r="S24" s="706"/>
      <c r="T24" s="705"/>
      <c r="U24" s="706"/>
      <c r="V24" s="705"/>
      <c r="W24" s="706"/>
      <c r="X24" s="1355"/>
      <c r="Y24" s="3707"/>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14"/>
      <c r="Q26" s="1352"/>
      <c r="R26" s="705"/>
      <c r="S26" s="706"/>
      <c r="T26" s="705"/>
      <c r="U26" s="706"/>
      <c r="V26" s="705"/>
      <c r="W26" s="706"/>
      <c r="X26" s="1355"/>
      <c r="Y26" s="3707"/>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08" t="s">
        <v>1695</v>
      </c>
      <c r="Q33" s="1352" t="str">
        <f t="shared" si="11"/>
        <v>建筑类型</v>
      </c>
      <c r="R33" s="705" t="s">
        <v>14</v>
      </c>
      <c r="S33" s="706">
        <f t="shared" si="12"/>
        <v>100</v>
      </c>
      <c r="T33" s="705" t="s">
        <v>14</v>
      </c>
      <c r="U33" s="706">
        <f t="shared" si="13"/>
        <v>100</v>
      </c>
      <c r="V33" s="705" t="s">
        <v>14</v>
      </c>
      <c r="W33" s="706">
        <f t="shared" si="14"/>
        <v>100</v>
      </c>
      <c r="X33" s="1355"/>
      <c r="Y33" s="3711"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9" t="s">
        <v>1695</v>
      </c>
      <c r="Q39" s="1352" t="str">
        <f t="shared" si="11"/>
        <v>物业管理</v>
      </c>
      <c r="R39" s="705" t="s">
        <v>14</v>
      </c>
      <c r="S39" s="706">
        <f t="shared" si="12"/>
        <v>100</v>
      </c>
      <c r="T39" s="705" t="s">
        <v>14</v>
      </c>
      <c r="U39" s="706">
        <f t="shared" si="13"/>
        <v>100</v>
      </c>
      <c r="V39" s="705" t="s">
        <v>14</v>
      </c>
      <c r="W39" s="706">
        <f t="shared" si="14"/>
        <v>100</v>
      </c>
      <c r="X39" s="1355"/>
      <c r="Y39" s="3711"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1"/>
      <c r="M48" s="2713"/>
      <c r="N48" s="2713"/>
      <c r="O48" s="2713"/>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1792</v>
      </c>
      <c r="B49" s="438"/>
      <c r="C49" s="1160" t="e">
        <f>R50</f>
        <v>#DIV/0!</v>
      </c>
      <c r="D49" s="2314" t="s">
        <v>2137</v>
      </c>
      <c r="E49" s="1161" t="e">
        <f>R49</f>
        <v>#DIV/0!</v>
      </c>
      <c r="F49" s="2315"/>
      <c r="G49" s="1160" t="e">
        <f>T49</f>
        <v>#DIV/0!</v>
      </c>
      <c r="H49" s="2315"/>
      <c r="I49" s="1161" t="e">
        <f>V49</f>
        <v>#DIV/0!</v>
      </c>
      <c r="J49" s="2315"/>
      <c r="K49" s="2317">
        <f>F49+H49+J49</f>
        <v>0</v>
      </c>
      <c r="L49" s="2721"/>
      <c r="M49" s="2713"/>
      <c r="N49" s="2713"/>
      <c r="O49" s="2713"/>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7798.2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913"/>
      <c r="M4" s="914"/>
      <c r="N4" s="914"/>
      <c r="O4" s="914"/>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1682</v>
      </c>
      <c r="Q8" s="3673"/>
      <c r="R8" s="701" t="s">
        <v>14</v>
      </c>
      <c r="S8" s="702">
        <f t="shared" si="0"/>
        <v>100</v>
      </c>
      <c r="T8" s="701" t="s">
        <v>14</v>
      </c>
      <c r="U8" s="702">
        <f t="shared" si="1"/>
        <v>100</v>
      </c>
      <c r="V8" s="701" t="s">
        <v>14</v>
      </c>
      <c r="W8" s="702">
        <f t="shared" si="2"/>
        <v>100</v>
      </c>
      <c r="X8" s="703"/>
      <c r="Y8" s="3672" t="s">
        <v>1682</v>
      </c>
      <c r="Z8" s="367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0" t="s">
        <v>1695</v>
      </c>
      <c r="Q29" s="1352" t="str">
        <f t="shared" si="11"/>
        <v>建筑类型</v>
      </c>
      <c r="R29" s="705" t="s">
        <v>14</v>
      </c>
      <c r="S29" s="706">
        <f t="shared" si="12"/>
        <v>100</v>
      </c>
      <c r="T29" s="705" t="s">
        <v>14</v>
      </c>
      <c r="U29" s="706">
        <f t="shared" si="13"/>
        <v>100</v>
      </c>
      <c r="V29" s="705" t="s">
        <v>14</v>
      </c>
      <c r="W29" s="706">
        <f t="shared" si="14"/>
        <v>100</v>
      </c>
      <c r="X29" s="1355"/>
      <c r="Y29" s="371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1695</v>
      </c>
      <c r="Q35" s="1352" t="str">
        <f t="shared" si="11"/>
        <v>市政基础设施</v>
      </c>
      <c r="R35" s="705" t="s">
        <v>14</v>
      </c>
      <c r="S35" s="706">
        <f t="shared" si="12"/>
        <v>100</v>
      </c>
      <c r="T35" s="705" t="s">
        <v>14</v>
      </c>
      <c r="U35" s="706">
        <f t="shared" si="13"/>
        <v>100</v>
      </c>
      <c r="V35" s="705" t="s">
        <v>14</v>
      </c>
      <c r="W35" s="706">
        <f t="shared" si="14"/>
        <v>100</v>
      </c>
      <c r="X35" s="1355"/>
      <c r="Y35" s="371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1792</v>
      </c>
      <c r="B42" s="438"/>
      <c r="C42" s="1160" t="e">
        <f>R43</f>
        <v>#DIV/0!</v>
      </c>
      <c r="D42" s="2314" t="s">
        <v>2137</v>
      </c>
      <c r="E42" s="1161" t="e">
        <f>R42</f>
        <v>#DIV/0!</v>
      </c>
      <c r="F42" s="2315"/>
      <c r="G42" s="1160" t="e">
        <f>T42</f>
        <v>#DIV/0!</v>
      </c>
      <c r="H42" s="2315"/>
      <c r="I42" s="1161" t="e">
        <f>V42</f>
        <v>#DIV/0!</v>
      </c>
      <c r="J42" s="2315"/>
      <c r="K42" s="2317">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28"/>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7"/>
      <c r="Q15" s="1352"/>
      <c r="R15" s="705"/>
      <c r="S15" s="706"/>
      <c r="T15" s="705"/>
      <c r="U15" s="706"/>
      <c r="V15" s="705"/>
      <c r="W15" s="706"/>
      <c r="X15" s="1355"/>
      <c r="Y15" s="3707"/>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07"/>
      <c r="Q17" s="1352"/>
      <c r="R17" s="705"/>
      <c r="S17" s="706"/>
      <c r="T17" s="705"/>
      <c r="U17" s="706"/>
      <c r="V17" s="705"/>
      <c r="W17" s="706"/>
      <c r="X17" s="1355"/>
      <c r="Y17" s="3707"/>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07"/>
      <c r="Q19" s="1352"/>
      <c r="R19" s="705"/>
      <c r="S19" s="706"/>
      <c r="T19" s="705"/>
      <c r="U19" s="706"/>
      <c r="V19" s="705"/>
      <c r="W19" s="706"/>
      <c r="X19" s="1355"/>
      <c r="Y19" s="3707"/>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7"/>
      <c r="Q21" s="1352"/>
      <c r="R21" s="705"/>
      <c r="S21" s="706"/>
      <c r="T21" s="705"/>
      <c r="U21" s="706"/>
      <c r="V21" s="705"/>
      <c r="W21" s="706"/>
      <c r="X21" s="1355"/>
      <c r="Y21" s="370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1" t="s">
        <v>1695</v>
      </c>
      <c r="Q32" s="1352" t="str">
        <f t="shared" si="11"/>
        <v>车位类型</v>
      </c>
      <c r="R32" s="705" t="s">
        <v>14</v>
      </c>
      <c r="S32" s="706">
        <f t="shared" si="12"/>
        <v>100</v>
      </c>
      <c r="T32" s="705" t="s">
        <v>14</v>
      </c>
      <c r="U32" s="706">
        <f t="shared" si="13"/>
        <v>100</v>
      </c>
      <c r="V32" s="705" t="s">
        <v>14</v>
      </c>
      <c r="W32" s="706">
        <f t="shared" si="14"/>
        <v>100</v>
      </c>
      <c r="X32" s="1355"/>
      <c r="Y32" s="371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1843</v>
      </c>
      <c r="B37" s="1972" t="s">
        <v>3357</v>
      </c>
      <c r="C37" s="1154" t="s">
        <v>0</v>
      </c>
      <c r="D37" s="1155"/>
      <c r="E37" s="1156"/>
      <c r="F37" s="1157"/>
      <c r="G37" s="1158"/>
      <c r="H37" s="1159"/>
      <c r="I37" s="1156"/>
      <c r="J37" s="1159"/>
      <c r="K37" s="568"/>
      <c r="L37" s="2721"/>
      <c r="M37" s="2722"/>
      <c r="N37" s="2713"/>
      <c r="O37" s="2722"/>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1844</v>
      </c>
      <c r="B38" s="438" t="str">
        <f>B37</f>
        <v>元/平方米</v>
      </c>
      <c r="C38" s="1160" t="e">
        <f>R39</f>
        <v>#DIV/0!</v>
      </c>
      <c r="D38" s="2314" t="s">
        <v>2137</v>
      </c>
      <c r="E38" s="1161" t="e">
        <f>R38</f>
        <v>#DIV/0!</v>
      </c>
      <c r="F38" s="2315"/>
      <c r="G38" s="1160" t="e">
        <f>T38</f>
        <v>#DIV/0!</v>
      </c>
      <c r="H38" s="2315"/>
      <c r="I38" s="1161" t="e">
        <f>V38</f>
        <v>#DIV/0!</v>
      </c>
      <c r="J38" s="2315"/>
      <c r="K38" s="2317">
        <f>F38+H38+J38</f>
        <v>0</v>
      </c>
      <c r="L38" s="2721"/>
      <c r="M38" s="2722"/>
      <c r="N38" s="2722"/>
      <c r="O38" s="2722"/>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7"/>
      <c r="Q15" s="1352"/>
      <c r="R15" s="705"/>
      <c r="S15" s="706"/>
      <c r="T15" s="705"/>
      <c r="U15" s="706"/>
      <c r="V15" s="705"/>
      <c r="W15" s="706"/>
      <c r="X15" s="1355"/>
      <c r="Y15" s="3707"/>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07"/>
      <c r="Q17" s="1352"/>
      <c r="R17" s="705"/>
      <c r="S17" s="706"/>
      <c r="T17" s="705"/>
      <c r="U17" s="706"/>
      <c r="V17" s="705"/>
      <c r="W17" s="706"/>
      <c r="X17" s="1355"/>
      <c r="Y17" s="3707"/>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07"/>
      <c r="Q19" s="1352"/>
      <c r="R19" s="705"/>
      <c r="S19" s="706"/>
      <c r="T19" s="705"/>
      <c r="U19" s="706"/>
      <c r="V19" s="705"/>
      <c r="W19" s="706"/>
      <c r="X19" s="1355"/>
      <c r="Y19" s="3707"/>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7"/>
      <c r="Q21" s="1352"/>
      <c r="R21" s="705"/>
      <c r="S21" s="706"/>
      <c r="T21" s="705"/>
      <c r="U21" s="706"/>
      <c r="V21" s="705"/>
      <c r="W21" s="706"/>
      <c r="X21" s="1355"/>
      <c r="Y21" s="370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3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1" t="s">
        <v>1695</v>
      </c>
      <c r="Q32" s="1352">
        <f t="shared" si="11"/>
        <v>111</v>
      </c>
      <c r="R32" s="705" t="s">
        <v>14</v>
      </c>
      <c r="S32" s="706">
        <f t="shared" si="12"/>
        <v>100</v>
      </c>
      <c r="T32" s="705" t="s">
        <v>14</v>
      </c>
      <c r="U32" s="706">
        <f t="shared" si="13"/>
        <v>100</v>
      </c>
      <c r="V32" s="705" t="s">
        <v>14</v>
      </c>
      <c r="W32" s="706">
        <f t="shared" si="14"/>
        <v>100</v>
      </c>
      <c r="X32" s="1355"/>
      <c r="Y32" s="3711"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1792</v>
      </c>
      <c r="B36" s="438"/>
      <c r="C36" s="1160" t="e">
        <f>R37</f>
        <v>#DIV/0!</v>
      </c>
      <c r="D36" s="2314" t="s">
        <v>2137</v>
      </c>
      <c r="E36" s="1161" t="e">
        <f>R36</f>
        <v>#DIV/0!</v>
      </c>
      <c r="F36" s="2315"/>
      <c r="G36" s="1160" t="e">
        <f>T36</f>
        <v>#DIV/0!</v>
      </c>
      <c r="H36" s="2315"/>
      <c r="I36" s="1161" t="e">
        <f>V36</f>
        <v>#DIV/0!</v>
      </c>
      <c r="J36" s="2315"/>
      <c r="K36" s="2317">
        <f>F36+H36+J36</f>
        <v>0</v>
      </c>
      <c r="L36" s="2721"/>
      <c r="M36" s="2722"/>
      <c r="N36" s="2713"/>
      <c r="O36" s="2722"/>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30"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30"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30" s="108" customFormat="1" ht="15.75" thickBot="1">
      <c r="A7" s="362" t="s">
        <v>1678</v>
      </c>
      <c r="B7" s="363"/>
      <c r="C7" s="364">
        <f>'数据-取费表'!B2</f>
        <v>45264</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2" t="s">
        <v>1682</v>
      </c>
      <c r="Q8" s="3673"/>
      <c r="R8" s="701" t="s">
        <v>14</v>
      </c>
      <c r="S8" s="702">
        <f t="shared" si="0"/>
        <v>0</v>
      </c>
      <c r="T8" s="701" t="s">
        <v>14</v>
      </c>
      <c r="U8" s="702">
        <f t="shared" si="1"/>
        <v>0</v>
      </c>
      <c r="V8" s="701" t="s">
        <v>14</v>
      </c>
      <c r="W8" s="702">
        <f t="shared" si="2"/>
        <v>0</v>
      </c>
      <c r="X8" s="703"/>
      <c r="Y8" s="3672" t="s">
        <v>1682</v>
      </c>
      <c r="Z8" s="3673"/>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6"/>
      <c r="M10" s="2717"/>
      <c r="N10" s="2717"/>
      <c r="O10" s="2770"/>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6" t="s">
        <v>1690</v>
      </c>
      <c r="Q15" s="1352" t="str">
        <f t="shared" si="6"/>
        <v>居住社区成熟度</v>
      </c>
      <c r="R15" s="705" t="s">
        <v>14</v>
      </c>
      <c r="S15" s="706">
        <f t="shared" si="0"/>
        <v>100</v>
      </c>
      <c r="T15" s="705" t="s">
        <v>14</v>
      </c>
      <c r="U15" s="706">
        <f t="shared" si="1"/>
        <v>100</v>
      </c>
      <c r="V15" s="705" t="s">
        <v>14</v>
      </c>
      <c r="W15" s="706">
        <f t="shared" si="2"/>
        <v>100</v>
      </c>
      <c r="X15" s="1355"/>
      <c r="Y15" s="3706"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07"/>
      <c r="Q16" s="1352"/>
      <c r="R16" s="705"/>
      <c r="S16" s="706"/>
      <c r="T16" s="705"/>
      <c r="U16" s="706"/>
      <c r="V16" s="705"/>
      <c r="W16" s="706"/>
      <c r="X16" s="1355"/>
      <c r="Y16" s="3707"/>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07"/>
      <c r="Q18" s="1352"/>
      <c r="R18" s="705"/>
      <c r="S18" s="706"/>
      <c r="T18" s="705"/>
      <c r="U18" s="706"/>
      <c r="V18" s="705"/>
      <c r="W18" s="706"/>
      <c r="X18" s="1355"/>
      <c r="Y18" s="3707"/>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07"/>
      <c r="Q20" s="1352"/>
      <c r="R20" s="705"/>
      <c r="S20" s="706"/>
      <c r="T20" s="705"/>
      <c r="U20" s="706"/>
      <c r="V20" s="705"/>
      <c r="W20" s="706"/>
      <c r="X20" s="1355"/>
      <c r="Y20" s="3707"/>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07"/>
      <c r="Q22" s="1352"/>
      <c r="R22" s="705"/>
      <c r="S22" s="706"/>
      <c r="T22" s="705"/>
      <c r="U22" s="706"/>
      <c r="V22" s="705"/>
      <c r="W22" s="706"/>
      <c r="X22" s="1355"/>
      <c r="Y22" s="370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07"/>
      <c r="Q24" s="1352"/>
      <c r="R24" s="705"/>
      <c r="S24" s="706"/>
      <c r="T24" s="705"/>
      <c r="U24" s="706"/>
      <c r="V24" s="705"/>
      <c r="W24" s="706"/>
      <c r="X24" s="1355"/>
      <c r="Y24" s="3707"/>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07"/>
      <c r="Q26" s="1352"/>
      <c r="R26" s="705"/>
      <c r="S26" s="706"/>
      <c r="T26" s="705"/>
      <c r="U26" s="706"/>
      <c r="V26" s="705"/>
      <c r="W26" s="706"/>
      <c r="X26" s="1355"/>
      <c r="Y26" s="3707"/>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07"/>
      <c r="Q28" s="1343"/>
      <c r="R28" s="701"/>
      <c r="S28" s="702"/>
      <c r="T28" s="701"/>
      <c r="U28" s="702"/>
      <c r="V28" s="701"/>
      <c r="W28" s="702"/>
      <c r="X28" s="703"/>
      <c r="Y28" s="3707"/>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07"/>
      <c r="Q30" s="1343"/>
      <c r="R30" s="701"/>
      <c r="S30" s="702"/>
      <c r="T30" s="701"/>
      <c r="U30" s="702"/>
      <c r="V30" s="701"/>
      <c r="W30" s="702"/>
      <c r="X30" s="703"/>
      <c r="Y30" s="370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07"/>
      <c r="Q33" s="1352"/>
      <c r="R33" s="705"/>
      <c r="S33" s="706"/>
      <c r="T33" s="705"/>
      <c r="U33" s="706"/>
      <c r="V33" s="705"/>
      <c r="W33" s="706"/>
      <c r="X33" s="1355"/>
      <c r="Y33" s="370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1695</v>
      </c>
      <c r="Q36" s="1352">
        <f t="shared" si="8"/>
        <v>111</v>
      </c>
      <c r="R36" s="705" t="s">
        <v>14</v>
      </c>
      <c r="S36" s="706">
        <f t="shared" si="10"/>
        <v>100</v>
      </c>
      <c r="T36" s="705" t="s">
        <v>14</v>
      </c>
      <c r="U36" s="706">
        <f t="shared" si="11"/>
        <v>100</v>
      </c>
      <c r="V36" s="705" t="s">
        <v>14</v>
      </c>
      <c r="W36" s="706">
        <f t="shared" si="12"/>
        <v>100</v>
      </c>
      <c r="X36" s="1355"/>
      <c r="Y36" s="371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1" t="s">
        <v>1695</v>
      </c>
      <c r="Q42" s="1352" t="str">
        <f t="shared" si="14"/>
        <v>工程地质条件</v>
      </c>
      <c r="R42" s="705" t="s">
        <v>14</v>
      </c>
      <c r="S42" s="706">
        <f t="shared" si="10"/>
        <v>100</v>
      </c>
      <c r="T42" s="705" t="s">
        <v>14</v>
      </c>
      <c r="U42" s="706">
        <f t="shared" si="11"/>
        <v>100</v>
      </c>
      <c r="V42" s="705" t="s">
        <v>14</v>
      </c>
      <c r="W42" s="706">
        <f t="shared" si="12"/>
        <v>100</v>
      </c>
      <c r="X42" s="1355"/>
      <c r="Y42" s="371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1"/>
      <c r="M46" s="2722"/>
      <c r="N46" s="2713"/>
      <c r="O46" s="2722"/>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04" t="str">
        <f>A47</f>
        <v>比较价值（元/平方米）</v>
      </c>
      <c r="Q47" s="370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01" t="str">
        <f>A48</f>
        <v>估价对象XX用房的比较价值（楼面单价，元/平方米）</v>
      </c>
      <c r="Q48" s="3702"/>
      <c r="R48" s="3733" t="e">
        <f>ROUND(IF(D47="简单平均",AVERAGE(R47:W47),R47*F47+T47*H47+V47*J47),0)</f>
        <v>#DIV/0!</v>
      </c>
      <c r="S48" s="3733"/>
      <c r="T48" s="3733"/>
      <c r="U48" s="3733"/>
      <c r="V48" s="3733"/>
      <c r="W48" s="373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2" t="s">
        <v>1882</v>
      </c>
      <c r="D55" s="1983" t="s">
        <v>1883</v>
      </c>
      <c r="E55" s="634" t="s">
        <v>1884</v>
      </c>
      <c r="F55" s="890" t="s">
        <v>1885</v>
      </c>
      <c r="G55" s="3687" t="s">
        <v>1886</v>
      </c>
      <c r="H55" s="3734"/>
      <c r="I55" s="135" t="s">
        <v>1887</v>
      </c>
      <c r="J55" s="1984">
        <f>项目基本情况!F35</f>
        <v>0</v>
      </c>
      <c r="K55" s="1985"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6570.1</v>
      </c>
      <c r="F56" s="886" t="e">
        <f t="shared" ref="F56:F64" si="15">ROUND(B56*E56/10000,0)</f>
        <v>#DIV/0!</v>
      </c>
      <c r="G56" s="3686"/>
      <c r="H56" s="370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0.3</v>
      </c>
      <c r="D60" s="945">
        <v>0.25</v>
      </c>
      <c r="E60" s="217">
        <f>'数据-汇总表'!E11</f>
        <v>971.2</v>
      </c>
      <c r="F60" s="886" t="e">
        <f t="shared" si="15"/>
        <v>#DIV/0!</v>
      </c>
      <c r="G60" s="1986" t="s">
        <v>1895</v>
      </c>
      <c r="H60" s="887" t="str">
        <f>项目基本情况!C37</f>
        <v>二级</v>
      </c>
      <c r="I60" s="891">
        <f>SUMIF(修正!A57:A68,H60,修正!E57:E68)</f>
        <v>0.3</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二级</v>
      </c>
      <c r="I61" s="891">
        <f>SUMIF(修正!A57:A68,H61,修正!F57:F68)</f>
        <v>0.3</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0.2</v>
      </c>
      <c r="D64" s="945">
        <v>0.25</v>
      </c>
      <c r="E64" s="217">
        <f>'数据-汇总表'!E15</f>
        <v>0</v>
      </c>
      <c r="F64" s="886" t="e">
        <f t="shared" si="15"/>
        <v>#DIV/0!</v>
      </c>
      <c r="G64" s="1987" t="s">
        <v>1895</v>
      </c>
      <c r="H64" s="897" t="str">
        <f>项目基本情况!C37</f>
        <v>二级</v>
      </c>
      <c r="I64" s="893">
        <f>SUMIF(修正!A57:A68,H64,修正!G57:G68)</f>
        <v>0.2</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7541.3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8" sqref="H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735" t="s">
        <v>1918</v>
      </c>
      <c r="D6" s="3736"/>
      <c r="E6" s="3737" t="s">
        <v>1918</v>
      </c>
      <c r="F6" s="3738"/>
      <c r="G6" s="3735" t="s">
        <v>1918</v>
      </c>
      <c r="H6" s="3736"/>
      <c r="I6" s="3735" t="s">
        <v>1918</v>
      </c>
      <c r="J6" s="3736"/>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2" t="s">
        <v>1682</v>
      </c>
      <c r="Q8" s="3673"/>
      <c r="R8" s="701" t="s">
        <v>14</v>
      </c>
      <c r="S8" s="702">
        <f t="shared" si="0"/>
        <v>0</v>
      </c>
      <c r="T8" s="701" t="s">
        <v>14</v>
      </c>
      <c r="U8" s="702">
        <f t="shared" si="1"/>
        <v>0</v>
      </c>
      <c r="V8" s="701" t="s">
        <v>14</v>
      </c>
      <c r="W8" s="702">
        <f t="shared" si="2"/>
        <v>0</v>
      </c>
      <c r="X8" s="703"/>
      <c r="Y8" s="3672" t="s">
        <v>1682</v>
      </c>
      <c r="Z8" s="3673"/>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6"/>
      <c r="M10" s="2717"/>
      <c r="N10" s="2717"/>
      <c r="O10" s="2770"/>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07"/>
      <c r="Q16" s="1352"/>
      <c r="R16" s="705"/>
      <c r="S16" s="706"/>
      <c r="T16" s="705"/>
      <c r="U16" s="706"/>
      <c r="V16" s="705"/>
      <c r="W16" s="706"/>
      <c r="X16" s="1355"/>
      <c r="Y16" s="3707"/>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07"/>
      <c r="Q18" s="1352"/>
      <c r="R18" s="705"/>
      <c r="S18" s="706"/>
      <c r="T18" s="705"/>
      <c r="U18" s="706"/>
      <c r="V18" s="705"/>
      <c r="W18" s="706"/>
      <c r="X18" s="1355"/>
      <c r="Y18" s="3707"/>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07"/>
      <c r="Q20" s="1352"/>
      <c r="R20" s="705"/>
      <c r="S20" s="706"/>
      <c r="T20" s="705"/>
      <c r="U20" s="706"/>
      <c r="V20" s="705"/>
      <c r="W20" s="706"/>
      <c r="X20" s="1355"/>
      <c r="Y20" s="3707"/>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07"/>
      <c r="Q22" s="1352"/>
      <c r="R22" s="705"/>
      <c r="S22" s="706"/>
      <c r="T22" s="705"/>
      <c r="U22" s="706"/>
      <c r="V22" s="705"/>
      <c r="W22" s="706"/>
      <c r="X22" s="1355"/>
      <c r="Y22" s="3707"/>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07"/>
      <c r="Q24" s="1343"/>
      <c r="R24" s="701"/>
      <c r="S24" s="702"/>
      <c r="T24" s="701"/>
      <c r="U24" s="702"/>
      <c r="V24" s="701"/>
      <c r="W24" s="702"/>
      <c r="X24" s="703"/>
      <c r="Y24" s="370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07"/>
      <c r="Q26" s="1343"/>
      <c r="R26" s="701"/>
      <c r="S26" s="702"/>
      <c r="T26" s="701"/>
      <c r="U26" s="702"/>
      <c r="V26" s="701"/>
      <c r="W26" s="702"/>
      <c r="X26" s="703"/>
      <c r="Y26" s="370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07"/>
      <c r="Q29" s="1352"/>
      <c r="R29" s="705"/>
      <c r="S29" s="706"/>
      <c r="T29" s="705"/>
      <c r="U29" s="706"/>
      <c r="V29" s="705"/>
      <c r="W29" s="706"/>
      <c r="X29" s="1355"/>
      <c r="Y29" s="370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1695</v>
      </c>
      <c r="Q32" s="1352">
        <f t="shared" si="8"/>
        <v>111</v>
      </c>
      <c r="R32" s="705" t="s">
        <v>14</v>
      </c>
      <c r="S32" s="706">
        <f t="shared" si="10"/>
        <v>100</v>
      </c>
      <c r="T32" s="705" t="s">
        <v>14</v>
      </c>
      <c r="U32" s="706">
        <f t="shared" si="11"/>
        <v>100</v>
      </c>
      <c r="V32" s="705" t="s">
        <v>14</v>
      </c>
      <c r="W32" s="706">
        <f t="shared" si="12"/>
        <v>100</v>
      </c>
      <c r="X32" s="1355"/>
      <c r="Y32" s="3711"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1" t="s">
        <v>1695</v>
      </c>
      <c r="Q37" s="1352" t="str">
        <f t="shared" si="14"/>
        <v>工程地质条件</v>
      </c>
      <c r="R37" s="705" t="s">
        <v>14</v>
      </c>
      <c r="S37" s="706">
        <f t="shared" si="10"/>
        <v>100</v>
      </c>
      <c r="T37" s="705" t="s">
        <v>14</v>
      </c>
      <c r="U37" s="706">
        <f t="shared" si="11"/>
        <v>100</v>
      </c>
      <c r="V37" s="705" t="s">
        <v>14</v>
      </c>
      <c r="W37" s="706">
        <f t="shared" si="12"/>
        <v>100</v>
      </c>
      <c r="X37" s="1355"/>
      <c r="Y37" s="371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1"/>
      <c r="M41" s="2713"/>
      <c r="N41" s="2713"/>
      <c r="O41" s="2722"/>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704" t="str">
        <f>A42</f>
        <v>比较价值（元/平方米）</v>
      </c>
      <c r="Q42" s="370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01" t="str">
        <f>A43</f>
        <v>估价对象XX用房的比较价值（楼面单价，元/平方米）</v>
      </c>
      <c r="Q43" s="3702"/>
      <c r="R43" s="3733" t="e">
        <f>ROUND(IF(D42="简单平均",AVERAGE(R42:W42),R42*F42+T42*H42+V42*J42),0)</f>
        <v>#DIV/0!</v>
      </c>
      <c r="S43" s="3733"/>
      <c r="T43" s="3733"/>
      <c r="U43" s="3733"/>
      <c r="V43" s="3733"/>
      <c r="W43" s="373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2" t="s">
        <v>1882</v>
      </c>
      <c r="D50" s="1983" t="s">
        <v>1883</v>
      </c>
      <c r="E50" s="634" t="s">
        <v>1884</v>
      </c>
      <c r="F50" s="635" t="s">
        <v>1885</v>
      </c>
      <c r="G50" s="3687" t="s">
        <v>1886</v>
      </c>
      <c r="H50" s="3734"/>
      <c r="I50" s="1356" t="s">
        <v>1922</v>
      </c>
      <c r="J50" s="1356">
        <f>项目基本情况!F35</f>
        <v>0</v>
      </c>
      <c r="K50" s="1985"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6570.1</v>
      </c>
      <c r="F51" s="639" t="e">
        <f t="shared" ref="F51:F60" si="15">ROUND(B51*E51/10000,0)</f>
        <v>#DIV/0!</v>
      </c>
      <c r="G51" s="3686"/>
      <c r="H51" s="370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0.3</v>
      </c>
      <c r="D56" s="945">
        <v>0.25</v>
      </c>
      <c r="E56" s="217">
        <f>'数据-汇总表'!E11</f>
        <v>971.2</v>
      </c>
      <c r="F56" s="639" t="e">
        <f t="shared" si="15"/>
        <v>#DIV/0!</v>
      </c>
      <c r="G56" s="1986" t="s">
        <v>1895</v>
      </c>
      <c r="H56" s="887" t="str">
        <f>项目基本情况!C37</f>
        <v>二级</v>
      </c>
      <c r="I56" s="773">
        <f>SUMIF(修正!A57:A68,H56,修正!E57:E68)</f>
        <v>0.3</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二级</v>
      </c>
      <c r="I57" s="773">
        <f>SUMIF(修正!A57:A68,H57,修正!F57:F68)</f>
        <v>0.3</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0.2</v>
      </c>
      <c r="D60" s="945">
        <v>0.25</v>
      </c>
      <c r="E60" s="217">
        <f>'数据-汇总表'!E15</f>
        <v>0</v>
      </c>
      <c r="F60" s="639" t="e">
        <f t="shared" si="15"/>
        <v>#DIV/0!</v>
      </c>
      <c r="G60" s="1987" t="s">
        <v>1895</v>
      </c>
      <c r="H60" s="897" t="str">
        <f>项目基本情况!C37</f>
        <v>二级</v>
      </c>
      <c r="I60" s="773">
        <f>SUMIF(修正!A57:A68,H60,修正!G57:G68)</f>
        <v>0.2</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6720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8" sqref="H18"/>
      <selection pane="bottomLeft" activeCell="H18" sqref="H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2" t="s">
        <v>2083</v>
      </c>
      <c r="D1" s="3743"/>
      <c r="E1" s="3743"/>
      <c r="F1" s="3743"/>
      <c r="G1" s="3743"/>
      <c r="H1" s="3743"/>
      <c r="I1" s="3743"/>
      <c r="J1" s="3743"/>
      <c r="K1" s="3743"/>
      <c r="L1" s="3743"/>
      <c r="M1" s="3743"/>
      <c r="N1" s="3743"/>
      <c r="O1" s="3743"/>
      <c r="P1" s="3743"/>
      <c r="Q1" s="3743"/>
      <c r="R1" s="3743"/>
      <c r="S1" s="374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8"/>
      <c r="E20" s="1341"/>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26152</v>
      </c>
      <c r="C2" s="2142" t="s">
        <v>2073</v>
      </c>
      <c r="D2" s="2142" t="s">
        <v>2074</v>
      </c>
      <c r="E2" s="2609">
        <f ca="1">SUMIF(E6:E13,"&lt;&gt;#ref!",E6:E13)</f>
        <v>7798.2</v>
      </c>
      <c r="F2" s="2790"/>
      <c r="G2" s="2790"/>
      <c r="H2" s="2790"/>
      <c r="I2" s="2790"/>
      <c r="J2" s="2790"/>
      <c r="K2" s="2790"/>
      <c r="L2" s="2790"/>
      <c r="M2" s="2790"/>
      <c r="N2" s="2790"/>
      <c r="O2" s="2790"/>
      <c r="P2" s="2790"/>
    </row>
    <row r="3" spans="1:16" ht="15.75">
      <c r="A3" s="2142" t="s">
        <v>2075</v>
      </c>
      <c r="B3" s="2599">
        <f ca="1">ROUND(B2*10000/E2,0)</f>
        <v>33536</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26152</v>
      </c>
      <c r="C6" s="2142" t="s">
        <v>2073</v>
      </c>
      <c r="D6" s="2790"/>
      <c r="E6" s="2609">
        <f ca="1">SUMIF(INDIRECT("'"&amp;A6&amp;"'"&amp;"!C:C"),"建筑面积",INDIRECT("'"&amp;A6&amp;"'"&amp;"!D:D"))</f>
        <v>7798.2</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50" customWidth="1"/>
    <col min="2" max="2" width="22.5" style="2141"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6" customWidth="1"/>
    <col min="12" max="12" width="19.5" style="1997" customWidth="1"/>
    <col min="13" max="13" width="8.5" style="1997" customWidth="1"/>
    <col min="14" max="14" width="9.75" style="1997" customWidth="1"/>
    <col min="15" max="25" width="12" style="1997"/>
    <col min="26" max="26" width="9.375" style="2050" customWidth="1"/>
    <col min="27" max="32" width="9.375" style="1121" customWidth="1"/>
    <col min="33" max="36" width="9.375" style="2050" customWidth="1"/>
    <col min="37" max="38" width="9.375" style="1997" customWidth="1"/>
    <col min="39" max="16384" width="12" style="1997"/>
  </cols>
  <sheetData>
    <row r="1" spans="1:36" ht="28.5">
      <c r="A1" s="196" t="s">
        <v>1925</v>
      </c>
      <c r="B1" s="197"/>
      <c r="C1" s="201" t="s">
        <v>1926</v>
      </c>
      <c r="D1" s="342">
        <f>SUM(D33:D34,D37:D42)</f>
        <v>7798.2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26152</v>
      </c>
      <c r="C2" s="1998" t="s">
        <v>1934</v>
      </c>
      <c r="D2" s="1999" t="s">
        <v>1935</v>
      </c>
      <c r="E2" s="3417" t="s">
        <v>21</v>
      </c>
      <c r="F2" s="1999" t="s">
        <v>1936</v>
      </c>
      <c r="G2" s="2000" t="str">
        <f>IF(E2="商业",项目基本情况!B37,IF(E2="办公",项目基本情况!C37,IF(E2="住宅",项目基本情况!D37,IF(E2="工业",项目基本情况!E37,项目基本情况!F37))))</f>
        <v>二级</v>
      </c>
      <c r="H2" s="1999" t="s">
        <v>1937</v>
      </c>
      <c r="I2" s="2000" t="str">
        <f>IF(E2="商业",项目基本情况!B38,IF(E2="办公",项目基本情况!C38,IF(E2="住宅",项目基本情况!D38,IF(E2="工业",项目基本情况!E38,项目基本情况!F38))))</f>
        <v>Ⅱ—20</v>
      </c>
      <c r="J2" s="2001"/>
      <c r="K2" s="1119"/>
      <c r="L2" s="2002" t="s">
        <v>1938</v>
      </c>
      <c r="M2" s="864">
        <f>SUMPRODUCT((区片价!B10:B29=I2)*(区片价!C3:G3=E2)*(区片价!C10:G29))</f>
        <v>29460</v>
      </c>
      <c r="N2" s="866">
        <f>SUMPRODUCT((因素修正幅度!B10:B29=I2)*(因素修正幅度!C3:G3=E2)*(因素修正幅度!C10:G29))</f>
        <v>5.1999999999999998E-2</v>
      </c>
      <c r="O2" s="1119"/>
      <c r="P2" s="1119"/>
      <c r="Q2" s="1119"/>
      <c r="R2" s="1212">
        <v>1</v>
      </c>
      <c r="S2" s="3356">
        <f>ROUND(SUMPRODUCT((B106:B110=R2)*(C105:N105=G2)*(C106:N110)),4)</f>
        <v>1.5206</v>
      </c>
      <c r="T2" s="3356">
        <f t="shared" ref="T2:T16" si="0">ROUND($C$5*$C$22*$C$23*$C$24*S2*$C$28,0)</f>
        <v>45190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33536</v>
      </c>
      <c r="C3" s="1998" t="s">
        <v>1940</v>
      </c>
      <c r="D3" s="1999" t="s">
        <v>1941</v>
      </c>
      <c r="E3" s="3415" t="s">
        <v>3453</v>
      </c>
      <c r="F3" s="2003" t="s">
        <v>3454</v>
      </c>
      <c r="G3" s="752">
        <f>IF(F3="宗地容积率",'数据-汇总表'!I4,IF(F3="估价对象容积率",'数据-汇总表'!I6,'数据-汇总表'!I7))</f>
        <v>1.02</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35876</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30999</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29460</v>
      </c>
      <c r="D5" s="1339">
        <f>ROUND(C6*C17+C20,0)</f>
        <v>29460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28051</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29460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26735</v>
      </c>
      <c r="U6" s="1213"/>
      <c r="V6" s="3356">
        <f t="shared" si="1"/>
        <v>0</v>
      </c>
      <c r="W6" s="1216"/>
      <c r="X6" s="1216"/>
      <c r="Y6" s="1216"/>
      <c r="Z6" s="1216"/>
      <c r="AA6" s="1216"/>
      <c r="AB6" s="1216"/>
      <c r="AC6" s="2010"/>
      <c r="AD6" s="2011"/>
      <c r="AE6" s="2011"/>
      <c r="AF6" s="2011"/>
      <c r="AG6" s="2011"/>
      <c r="AH6" s="2011"/>
      <c r="AI6" s="2011"/>
      <c r="AJ6" s="2012"/>
    </row>
    <row r="7" spans="1:36" ht="24.75" thickBot="1">
      <c r="A7" s="3301" t="s">
        <v>3240</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1.02</v>
      </c>
      <c r="AA7" s="1216"/>
      <c r="AB7" s="1216"/>
      <c r="AC7" s="1217"/>
      <c r="AD7" s="1218"/>
      <c r="AE7" s="1218"/>
      <c r="AF7" s="1218"/>
      <c r="AG7" s="1218"/>
      <c r="AH7" s="1218"/>
      <c r="AI7" s="1218"/>
      <c r="AJ7" s="1219"/>
    </row>
    <row r="8" spans="1:36" ht="15">
      <c r="A8" s="3296"/>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9" t="s">
        <v>1959</v>
      </c>
      <c r="X8" s="375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3" t="s">
        <v>1981</v>
      </c>
      <c r="C13" s="755">
        <f>ROUND(C16*D16*E16*F16*G16*H16*I16*J16,4)</f>
        <v>0</v>
      </c>
      <c r="D13" s="2034" t="s">
        <v>1982</v>
      </c>
      <c r="E13" s="2035"/>
      <c r="F13" s="2035"/>
      <c r="G13" s="2036"/>
      <c r="H13" s="2036"/>
      <c r="I13" s="2036"/>
      <c r="J13" s="2037"/>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39" t="s">
        <v>1984</v>
      </c>
      <c r="C14" s="2040" t="s">
        <v>1985</v>
      </c>
      <c r="D14" s="1350" t="s">
        <v>1986</v>
      </c>
      <c r="E14" s="27" t="s">
        <v>1987</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1"/>
      <c r="C15" s="2042"/>
      <c r="D15" s="2043"/>
      <c r="E15" s="2044"/>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7"/>
      <c r="C18" s="3323"/>
      <c r="D18" s="3320" t="s">
        <v>3251</v>
      </c>
      <c r="E18" s="3324"/>
      <c r="F18" s="3321" t="s">
        <v>3254</v>
      </c>
      <c r="G18" s="3323">
        <f>ROUND(1-(1/(POWER(1+G24,E18))),4)</f>
        <v>0</v>
      </c>
      <c r="H18" s="3321" t="s">
        <v>3256</v>
      </c>
      <c r="I18" s="3323">
        <f>ROUND(1-(1/(POWER(1+G24,J24))),4)</f>
        <v>0.93120000000000003</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3" customFormat="1" ht="15" thickBot="1">
      <c r="A19" s="3330"/>
      <c r="B19" s="3331"/>
      <c r="C19" s="3332"/>
      <c r="D19" s="3332" t="s">
        <v>3252</v>
      </c>
      <c r="E19" s="3333"/>
      <c r="F19" s="3334" t="s">
        <v>3255</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3" customFormat="1" ht="14.25">
      <c r="A20" s="3756" t="s">
        <v>3257</v>
      </c>
      <c r="B20" s="167" t="s">
        <v>1993</v>
      </c>
      <c r="C20" s="3322">
        <f>ROUND(IF(F21="与级别开发程度一致",0,(G21-E21)/C21),0)</f>
        <v>0</v>
      </c>
      <c r="D20" s="3336" t="s">
        <v>1997</v>
      </c>
      <c r="E20" s="3337"/>
      <c r="F20" s="3762" t="s">
        <v>1994</v>
      </c>
      <c r="G20" s="3763"/>
      <c r="H20" s="3451" t="s">
        <v>3455</v>
      </c>
      <c r="I20" s="3451" t="s">
        <v>3456</v>
      </c>
      <c r="J20" s="3452" t="s">
        <v>3457</v>
      </c>
      <c r="K20" s="3451" t="s">
        <v>3458</v>
      </c>
      <c r="L20" s="3451" t="s">
        <v>3459</v>
      </c>
      <c r="M20" s="3451" t="s">
        <v>3460</v>
      </c>
      <c r="N20" s="3451" t="s">
        <v>3461</v>
      </c>
      <c r="O20" s="3453" t="s">
        <v>3462</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57"/>
      <c r="B21" s="2161" t="s">
        <v>1996</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3466</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5" t="s">
        <v>363</v>
      </c>
      <c r="B22" s="2156" t="s">
        <v>1999</v>
      </c>
      <c r="C22" s="2157">
        <f>SUMIF(修正!C20:C51,E3,修正!E20:E51)</f>
        <v>1</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2001</v>
      </c>
      <c r="E23" s="761">
        <v>44197</v>
      </c>
      <c r="F23" s="2051" t="s">
        <v>2002</v>
      </c>
      <c r="G23" s="762">
        <f>'数据-取费表'!B2</f>
        <v>45264</v>
      </c>
      <c r="H23" s="3338" t="s">
        <v>3259</v>
      </c>
      <c r="I23" s="3339" t="str">
        <f>IF(H23="季度增幅（自定义）",SUMIF(N25:N28,E2,O25:O28),"")</f>
        <v/>
      </c>
      <c r="J23" s="3441" t="s">
        <v>3258</v>
      </c>
      <c r="K23" s="1125"/>
      <c r="L23" s="2052" t="s">
        <v>2003</v>
      </c>
      <c r="M23" s="1328">
        <f>ROUND(SUMIF(地价!B2:G2,E2,地价!B16:G16),0)</f>
        <v>350</v>
      </c>
      <c r="N23" s="2053"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3" customFormat="1" ht="24.75" thickBot="1">
      <c r="A24" s="2055" t="s">
        <v>365</v>
      </c>
      <c r="B24" s="2056" t="s">
        <v>2005</v>
      </c>
      <c r="C24" s="764">
        <f>ROUND(POWER(1+G24,J24-I24)*(POWER(1+G24,I24)-1)/(POWER(1+G24,J24)-1),4)</f>
        <v>0.96289999999999998</v>
      </c>
      <c r="D24" s="2057" t="s">
        <v>2006</v>
      </c>
      <c r="E24" s="1335">
        <f>存贷款利率!E24/100</f>
        <v>4.3499999999999997E-2</v>
      </c>
      <c r="F24" s="2057" t="s">
        <v>1998</v>
      </c>
      <c r="G24" s="768">
        <f>SUMIF(M30:Q30,E2,M33:Q33)</f>
        <v>5.5E-2</v>
      </c>
      <c r="H24" s="2057" t="s">
        <v>2007</v>
      </c>
      <c r="I24" s="769">
        <f>SUMIF('数据-取费表'!C6:C15,E2,'数据-取费表'!F6:F15)/COUNTIF('数据-取费表'!C6:C15,E2)</f>
        <v>42.4</v>
      </c>
      <c r="J24" s="770">
        <f>IF(E2="住宅",70,IF(E2="商业",40,50))</f>
        <v>50</v>
      </c>
      <c r="K24" s="1125"/>
      <c r="L24" s="2058" t="s">
        <v>2008</v>
      </c>
      <c r="M24" s="1329">
        <f>ROUND(SUMPRODUCT((地价!A4:A16=YEAR(G23)&amp;"-"&amp;ROUNDUP(MONTH(G23)/3,0))*(地价!B2:G2=E2)*(地价!B4:G16)),0)</f>
        <v>0</v>
      </c>
      <c r="N24" s="2059" t="s">
        <v>2009</v>
      </c>
      <c r="O24" s="2060" t="s">
        <v>2010</v>
      </c>
      <c r="P24" s="2061" t="s">
        <v>2011</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3338</v>
      </c>
      <c r="C25" s="771">
        <f>IF(B25="容积率修正",IF(G3&lt;10,D26,J26),C27)</f>
        <v>1.2463</v>
      </c>
      <c r="D25" s="2064"/>
      <c r="E25" s="2064"/>
      <c r="F25" s="2064"/>
      <c r="G25" s="2064"/>
      <c r="H25" s="2064"/>
      <c r="I25" s="2064"/>
      <c r="J25" s="2065"/>
      <c r="K25" s="1125"/>
      <c r="L25" s="2785"/>
      <c r="M25" s="2785"/>
      <c r="N25" s="2066"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4" t="s">
        <v>2013</v>
      </c>
      <c r="B26" s="2067" t="s">
        <v>2014</v>
      </c>
      <c r="C26" s="3340" t="s">
        <v>3260</v>
      </c>
      <c r="D26" s="1352">
        <f>IF(E26=G26,F26,IF(G3&lt;10,ROUND(F26+(H26-F26)*(G3-E26)/(G26-E26),4),"——"))</f>
        <v>1.2463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3340" t="s">
        <v>3261</v>
      </c>
      <c r="J26" s="772" t="str">
        <f>IF(G3&gt;=10,D115,"——")</f>
        <v>——</v>
      </c>
      <c r="K26" s="1125"/>
      <c r="L26" s="2785"/>
      <c r="M26" s="2785"/>
      <c r="N26" s="2066"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4" t="s">
        <v>2016</v>
      </c>
      <c r="B27" s="2068" t="s">
        <v>2017</v>
      </c>
      <c r="C27" s="841">
        <f>ROUND(IF(I3&lt;6,SUMPRODUCT((B106:B110=I3)*(C105:N105=G2)*(C106:N110)),SUMIF(C105:N105,G2,C112:N112)),4)</f>
        <v>0</v>
      </c>
      <c r="D27" s="2045"/>
      <c r="E27" s="2045"/>
      <c r="F27" s="2069"/>
      <c r="G27" s="2070"/>
      <c r="H27" s="2071"/>
      <c r="I27" s="2072"/>
      <c r="J27" s="2073"/>
      <c r="K27" s="1119"/>
      <c r="L27" s="1996"/>
      <c r="M27" s="1996"/>
      <c r="N27" s="2066"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2019</v>
      </c>
      <c r="C28" s="760">
        <f>SUMIF(A47:A101,E2,B47:B101)</f>
        <v>1.0188999999999999</v>
      </c>
      <c r="D28" s="2049"/>
      <c r="E28" s="2074"/>
      <c r="F28" s="2074"/>
      <c r="G28" s="2074"/>
      <c r="H28" s="2074"/>
      <c r="I28" s="2074"/>
      <c r="J28" s="2075"/>
      <c r="K28" s="1125"/>
      <c r="L28" s="2785"/>
      <c r="M28" s="2785"/>
      <c r="N28" s="2076"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2021</v>
      </c>
      <c r="C29" s="765"/>
      <c r="D29" s="2023"/>
      <c r="E29" s="2023"/>
      <c r="F29" s="2078"/>
      <c r="G29" s="2023"/>
      <c r="H29" s="2023"/>
      <c r="I29" s="2023"/>
      <c r="J29" s="2024"/>
      <c r="K29" s="1119"/>
      <c r="L29" s="1996"/>
      <c r="M29" s="1996"/>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79"/>
      <c r="B30" s="2067" t="s">
        <v>2023</v>
      </c>
      <c r="C30" s="2318">
        <f>IF(B25="容积率修正",E33+SUM(E37:E42),SUM(V2:V16)+SUM(E37:E42))</f>
        <v>26152</v>
      </c>
      <c r="D30" s="2080"/>
      <c r="E30" s="2045"/>
      <c r="F30" s="2081"/>
      <c r="G30" s="2045"/>
      <c r="H30" s="2045"/>
      <c r="I30" s="2045"/>
      <c r="J30" s="2082"/>
      <c r="K30" s="1119"/>
      <c r="L30" s="3346" t="s">
        <v>1935</v>
      </c>
      <c r="M30" s="3347" t="s">
        <v>1989</v>
      </c>
      <c r="N30" s="3347" t="s">
        <v>1990</v>
      </c>
      <c r="O30" s="3347" t="s">
        <v>1991</v>
      </c>
      <c r="P30" s="3347" t="s">
        <v>1992</v>
      </c>
      <c r="Q30" s="3350"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79"/>
      <c r="B31" s="2083" t="s">
        <v>2024</v>
      </c>
      <c r="C31" s="766">
        <f>E34+SUM(I37:I42)</f>
        <v>216</v>
      </c>
      <c r="D31" s="2084"/>
      <c r="E31" s="2085"/>
      <c r="F31" s="2086"/>
      <c r="G31" s="2085"/>
      <c r="H31" s="2085"/>
      <c r="I31" s="2085"/>
      <c r="J31" s="2087"/>
      <c r="K31" s="1119"/>
      <c r="L31" s="3348" t="s">
        <v>1995</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8"/>
      <c r="B32" s="2089" t="s">
        <v>2025</v>
      </c>
      <c r="C32" s="2090" t="s">
        <v>2026</v>
      </c>
      <c r="D32" s="2090" t="s">
        <v>2027</v>
      </c>
      <c r="E32" s="2091" t="s">
        <v>2028</v>
      </c>
      <c r="F32" s="2092"/>
      <c r="G32" s="2036"/>
      <c r="H32" s="2036"/>
      <c r="I32" s="2036"/>
      <c r="J32" s="2037"/>
      <c r="K32" s="1119"/>
      <c r="L32" s="3349" t="s">
        <v>1998</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3"/>
      <c r="B33" s="2094" t="s">
        <v>2029</v>
      </c>
      <c r="C33" s="175">
        <f>ROUND(C5*C22*C23*C24*C25*C28,0)</f>
        <v>37038</v>
      </c>
      <c r="D33" s="2095">
        <f>面积!$E$12</f>
        <v>6827</v>
      </c>
      <c r="E33" s="773">
        <f>ROUND(C33*D33/10000,0)</f>
        <v>25286</v>
      </c>
      <c r="F33" s="3341" t="s">
        <v>3263</v>
      </c>
      <c r="G33" s="2096"/>
      <c r="H33" s="2096"/>
      <c r="I33" s="2096"/>
      <c r="J33" s="2097"/>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2030</v>
      </c>
      <c r="C34" s="187">
        <f>ROUND(IF(E2="工业",C33*M42,IF(B25="楼层修正",SUM(V2:V16)*M41*10000/D34,C33*M41)),0)</f>
        <v>9260</v>
      </c>
      <c r="D34" s="2100"/>
      <c r="E34" s="773">
        <f>ROUND(IF(B25="楼层修正",SUM(V2:V16)*M40,C34*D34/10000),0)</f>
        <v>0</v>
      </c>
      <c r="F34" s="2101" t="s">
        <v>2031</v>
      </c>
      <c r="G34" s="2102"/>
      <c r="H34" s="2102"/>
      <c r="I34" s="2102"/>
      <c r="J34" s="2103"/>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2032</v>
      </c>
      <c r="C35" s="3342" t="s">
        <v>3264</v>
      </c>
      <c r="D35" s="2036"/>
      <c r="E35" s="2106"/>
      <c r="F35" s="2106"/>
      <c r="G35" s="2034" t="s">
        <v>2033</v>
      </c>
      <c r="H35" s="2036"/>
      <c r="I35" s="2107"/>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0"/>
      <c r="B37" s="2110" t="s">
        <v>2035</v>
      </c>
      <c r="C37" s="175">
        <f>ROUND(D5*C22*C23*C24*C28*F37,0)</f>
        <v>20803</v>
      </c>
      <c r="D37" s="2095"/>
      <c r="E37" s="171">
        <f>ROUND(C37*D37/10000,0)</f>
        <v>0</v>
      </c>
      <c r="F37" s="171">
        <f>SUMIF(修正!A57:A68,G2,修正!B57:B68)</f>
        <v>0.7</v>
      </c>
      <c r="G37" s="171">
        <f>ROUND(IF(E2="工业",C37*$M$42,C37*$M$41),0)</f>
        <v>5201</v>
      </c>
      <c r="H37" s="171">
        <f>D37</f>
        <v>0</v>
      </c>
      <c r="I37" s="171">
        <f>ROUND(G37*H37/10000,0)</f>
        <v>0</v>
      </c>
      <c r="J37" s="3009"/>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1"/>
      <c r="B38" s="2040" t="s">
        <v>2036</v>
      </c>
      <c r="C38" s="175">
        <f>ROUND(D5*C22*C23*C24*C28*F38,0)</f>
        <v>11887</v>
      </c>
      <c r="D38" s="2095"/>
      <c r="E38" s="171">
        <f t="shared" ref="E38:E42" si="4">ROUND(C38*D38/10000,0)</f>
        <v>0</v>
      </c>
      <c r="F38" s="171">
        <f>SUMIF(修正!A57:A68,G2,修正!C57:C68)</f>
        <v>0.4</v>
      </c>
      <c r="G38" s="171">
        <f>ROUND(IF(E2="工业",C38*$M$42,C38*$M$41),0)</f>
        <v>2972</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1"/>
      <c r="B39" s="2040" t="s">
        <v>3262</v>
      </c>
      <c r="C39" s="175">
        <f>ROUND(D5*C22*C23*C24*C28*F39,0)</f>
        <v>8915</v>
      </c>
      <c r="D39" s="2095"/>
      <c r="E39" s="171">
        <f t="shared" si="4"/>
        <v>0</v>
      </c>
      <c r="F39" s="171">
        <f>SUMIF(修正!A57:A68,G2,修正!D57:D68)</f>
        <v>0.3</v>
      </c>
      <c r="G39" s="171">
        <f>ROUND(IF(E2="工业",C39*$M$42,C39*$M$41),0)</f>
        <v>2229</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40" t="s">
        <v>2037</v>
      </c>
      <c r="C40" s="171">
        <f>ROUND(D5*C22*C23*C24*C28*F40,0)</f>
        <v>8915</v>
      </c>
      <c r="D40" s="2095">
        <f>'数据-汇总表'!$G$19</f>
        <v>971.2</v>
      </c>
      <c r="E40" s="171">
        <f t="shared" si="4"/>
        <v>866</v>
      </c>
      <c r="F40" s="175">
        <f>SUMIF(修正!A57:A68,G2,修正!E57:E68)</f>
        <v>0.3</v>
      </c>
      <c r="G40" s="171">
        <f>ROUND(IF(E2="工业",C40*$M$42,C40*$M$41),0)</f>
        <v>2229</v>
      </c>
      <c r="H40" s="171">
        <f t="shared" si="5"/>
        <v>971.2</v>
      </c>
      <c r="I40" s="171">
        <f t="shared" si="6"/>
        <v>216</v>
      </c>
      <c r="J40" s="2111"/>
      <c r="L40" s="2113" t="s">
        <v>2038</v>
      </c>
      <c r="M40" s="2114"/>
      <c r="Z40" s="1120"/>
      <c r="AA40" s="1120"/>
      <c r="AB40" s="1120"/>
      <c r="AC40" s="1120"/>
      <c r="AD40" s="1120"/>
      <c r="AE40" s="1120"/>
      <c r="AF40" s="1120"/>
      <c r="AG40" s="1120"/>
      <c r="AH40" s="1120"/>
      <c r="AI40" s="1120"/>
      <c r="AJ40" s="1120"/>
    </row>
    <row r="41" spans="1:37" s="1119" customFormat="1">
      <c r="A41" s="2112"/>
      <c r="B41" s="2040" t="s">
        <v>2039</v>
      </c>
      <c r="C41" s="171">
        <f>ROUND(D5*C22*C23*C44*C28*F41,0)</f>
        <v>8915</v>
      </c>
      <c r="D41" s="2095"/>
      <c r="E41" s="171">
        <f t="shared" si="4"/>
        <v>0</v>
      </c>
      <c r="F41" s="175">
        <f>SUMIF(修正!A57:A68,G2,修正!F57:F68)</f>
        <v>0.3</v>
      </c>
      <c r="G41" s="171">
        <f>ROUND(IF(E2="工业",C41*$M$42,C41*$M$41),0)</f>
        <v>2229</v>
      </c>
      <c r="H41" s="171">
        <f t="shared" si="5"/>
        <v>0</v>
      </c>
      <c r="I41" s="171">
        <f t="shared" si="6"/>
        <v>0</v>
      </c>
      <c r="J41" s="2111"/>
      <c r="L41" s="3355" t="s">
        <v>3270</v>
      </c>
      <c r="M41" s="2115">
        <v>0.25</v>
      </c>
      <c r="Z41" s="1120"/>
      <c r="AA41" s="1120"/>
      <c r="AB41" s="1120"/>
      <c r="AC41" s="1120"/>
      <c r="AD41" s="1120"/>
      <c r="AE41" s="1120"/>
      <c r="AF41" s="1120"/>
      <c r="AG41" s="1120"/>
      <c r="AH41" s="1120"/>
      <c r="AI41" s="1120"/>
      <c r="AJ41" s="1120"/>
    </row>
    <row r="42" spans="1:37" s="1119" customFormat="1" ht="13.5" thickBot="1">
      <c r="A42" s="2098"/>
      <c r="B42" s="2116" t="s">
        <v>2040</v>
      </c>
      <c r="C42" s="187">
        <f>ROUND(D5*C22*C23*C44*C28*F42,0)</f>
        <v>5944</v>
      </c>
      <c r="D42" s="2100"/>
      <c r="E42" s="187">
        <f t="shared" si="4"/>
        <v>0</v>
      </c>
      <c r="F42" s="767">
        <f>SUMIF(修正!A57:A68,G2,修正!G57:G68)</f>
        <v>0.2</v>
      </c>
      <c r="G42" s="187">
        <f>ROUND(IF(E2="工业",C42*$M$42,C42*$M$41),0)</f>
        <v>1486</v>
      </c>
      <c r="H42" s="187">
        <f t="shared" si="5"/>
        <v>0</v>
      </c>
      <c r="I42" s="187">
        <f t="shared" si="6"/>
        <v>0</v>
      </c>
      <c r="J42" s="2117"/>
      <c r="L42" s="2118" t="s">
        <v>1992</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2121</v>
      </c>
      <c r="C44" s="342">
        <f>ROUND(POWER(1+E44,H44-G44)*(POWER(1+E44,G44)-1)/(POWER(1+E44,H44)-1),4)</f>
        <v>0.96289999999999998</v>
      </c>
      <c r="D44" s="171" t="s">
        <v>1998</v>
      </c>
      <c r="E44" s="2150">
        <f>G24</f>
        <v>5.5E-2</v>
      </c>
      <c r="F44" s="171" t="s">
        <v>2007</v>
      </c>
      <c r="G44" s="183">
        <f>I24</f>
        <v>42.4</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2041</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2042</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2043</v>
      </c>
      <c r="B49" s="1351" t="s">
        <v>2044</v>
      </c>
      <c r="C49" s="1351" t="s">
        <v>2045</v>
      </c>
      <c r="D49" s="1351" t="s">
        <v>2046</v>
      </c>
      <c r="E49" s="743" t="s">
        <v>2047</v>
      </c>
      <c r="F49" s="2128" t="s">
        <v>2048</v>
      </c>
      <c r="G49" s="1351" t="s">
        <v>310</v>
      </c>
      <c r="H49" s="2129"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7" t="s">
        <v>2051</v>
      </c>
      <c r="B50" s="2130"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2052</v>
      </c>
      <c r="B51" s="2131" t="str">
        <f>估价对象房地状况!C18</f>
        <v>估价对象周边道路状况、公共交通通达情况、停车便捷程度，综合评价交通便捷度较好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3272</v>
      </c>
      <c r="B52" s="2131">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2053</v>
      </c>
      <c r="B53" s="2132" t="s">
        <v>2054</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2055</v>
      </c>
      <c r="B54" s="2131">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2056</v>
      </c>
      <c r="B55" s="2133" t="s">
        <v>2057</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2058</v>
      </c>
      <c r="B56" s="1326" t="str">
        <f>估价对象房地状况!C21</f>
        <v>估价对象所在区域公共配套设施齐备情况</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2059</v>
      </c>
      <c r="B57" s="2131" t="str">
        <f>估价对象房地状况!C22</f>
        <v>估价对象所在区域基础设施水平</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2060</v>
      </c>
      <c r="B58" s="2136" t="str">
        <f>估价对象房地状况!C20</f>
        <v>区域自然环境：；人文环境；综合评价环境状况一般</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2061</v>
      </c>
      <c r="B59" s="2124">
        <f>1+E61</f>
        <v>1.0188999999999999</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2043</v>
      </c>
      <c r="B60" s="1351"/>
      <c r="C60" s="1351" t="s">
        <v>2045</v>
      </c>
      <c r="D60" s="1351" t="s">
        <v>2046</v>
      </c>
      <c r="E60" s="743" t="s">
        <v>2047</v>
      </c>
      <c r="F60" s="2128" t="s">
        <v>2062</v>
      </c>
      <c r="G60" s="1351" t="s">
        <v>310</v>
      </c>
      <c r="H60" s="2129"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7" t="s">
        <v>2063</v>
      </c>
      <c r="B61" s="2130" t="str">
        <f>估价对象房地状况!C17</f>
        <v>估价对象位于XX商圈，周边办公楼项目较多，入驻率高，办公集聚程度较好</v>
      </c>
      <c r="C61" s="2043" t="s">
        <v>3463</v>
      </c>
      <c r="D61" s="1065">
        <f t="shared" ref="D61:D69" si="12">SUMIF($J$60:$N$60,C61,J61:N61)</f>
        <v>0</v>
      </c>
      <c r="E61" s="744">
        <f>ROUND(SUM(D61:D69),4)</f>
        <v>1.89E-2</v>
      </c>
      <c r="F61" s="1813">
        <f>IF(E2="办公",SUMIF(L1:L12,G2,N1:N12),"——")</f>
        <v>5.1999999999999998E-2</v>
      </c>
      <c r="G61" s="1063">
        <v>6.4999999999999997E-3</v>
      </c>
      <c r="H61" s="1066">
        <f t="shared" ref="H61:H69" si="13">IFERROR(ROUNDDOWN($F$61*I61/2,4),"——")</f>
        <v>6.4999999999999997E-3</v>
      </c>
      <c r="I61" s="3362">
        <v>0.25</v>
      </c>
      <c r="J61" s="1064">
        <f t="shared" ref="J61:J69" si="14">K61+$G61</f>
        <v>1.2999999999999999E-2</v>
      </c>
      <c r="K61" s="1064">
        <f t="shared" ref="K61:K69" si="15">$L61+$G61</f>
        <v>6.4999999999999997E-3</v>
      </c>
      <c r="L61" s="1064">
        <v>0</v>
      </c>
      <c r="M61" s="1064">
        <f t="shared" ref="M61:N69" si="16">L61-$G61</f>
        <v>-6.4999999999999997E-3</v>
      </c>
      <c r="N61" s="1064">
        <f t="shared" si="16"/>
        <v>-1.2999999999999999E-2</v>
      </c>
      <c r="AA61" s="1120"/>
      <c r="AB61" s="1120"/>
      <c r="AC61" s="1120"/>
      <c r="AD61" s="1120"/>
      <c r="AE61" s="1120"/>
      <c r="AF61" s="1120"/>
      <c r="AG61" s="1120"/>
      <c r="AH61" s="1120"/>
      <c r="AI61" s="1120"/>
      <c r="AJ61" s="1120"/>
      <c r="AK61" s="1120"/>
    </row>
    <row r="62" spans="1:37" s="1119" customFormat="1" ht="38.25">
      <c r="A62" s="2127" t="s">
        <v>2052</v>
      </c>
      <c r="B62" s="2131" t="str">
        <f>估价对象房地状况!C18</f>
        <v>估价对象周边道路状况、公共交通通达情况、停车便捷程度，综合评价交通便捷度较好</v>
      </c>
      <c r="C62" s="2043" t="s">
        <v>3464</v>
      </c>
      <c r="D62" s="1065">
        <f t="shared" si="12"/>
        <v>6.7000000000000002E-3</v>
      </c>
      <c r="E62" s="745"/>
      <c r="F62" s="1813"/>
      <c r="G62" s="1063">
        <v>6.7000000000000002E-3</v>
      </c>
      <c r="H62" s="1066">
        <f t="shared" si="13"/>
        <v>6.7000000000000002E-3</v>
      </c>
      <c r="I62" s="3362">
        <v>0.26</v>
      </c>
      <c r="J62" s="1064">
        <f t="shared" si="14"/>
        <v>1.34E-2</v>
      </c>
      <c r="K62" s="1064">
        <f t="shared" si="15"/>
        <v>6.7000000000000002E-3</v>
      </c>
      <c r="L62" s="1064">
        <v>0</v>
      </c>
      <c r="M62" s="1064">
        <f t="shared" si="16"/>
        <v>-6.7000000000000002E-3</v>
      </c>
      <c r="N62" s="1064">
        <f t="shared" si="16"/>
        <v>-1.34E-2</v>
      </c>
      <c r="AA62" s="1120"/>
      <c r="AB62" s="1120"/>
      <c r="AC62" s="1120"/>
      <c r="AD62" s="1120"/>
      <c r="AE62" s="1120"/>
      <c r="AF62" s="1120"/>
      <c r="AG62" s="1120"/>
      <c r="AH62" s="1120"/>
      <c r="AI62" s="1120"/>
      <c r="AJ62" s="1120"/>
      <c r="AK62" s="1120"/>
    </row>
    <row r="63" spans="1:37" s="1119" customFormat="1" ht="36">
      <c r="A63" s="3364" t="s">
        <v>3272</v>
      </c>
      <c r="B63" s="2131">
        <f>估价对象房地状况!C19</f>
        <v>0</v>
      </c>
      <c r="C63" s="2043" t="s">
        <v>3464</v>
      </c>
      <c r="D63" s="1065">
        <f t="shared" si="12"/>
        <v>2.8E-3</v>
      </c>
      <c r="E63" s="745"/>
      <c r="F63" s="1813"/>
      <c r="G63" s="1063">
        <v>2.8E-3</v>
      </c>
      <c r="H63" s="1066">
        <f t="shared" si="13"/>
        <v>2.8E-3</v>
      </c>
      <c r="I63" s="3362">
        <v>0.11</v>
      </c>
      <c r="J63" s="1064">
        <f t="shared" si="14"/>
        <v>5.5999999999999999E-3</v>
      </c>
      <c r="K63" s="1064">
        <f t="shared" si="15"/>
        <v>2.8E-3</v>
      </c>
      <c r="L63" s="1064">
        <v>0</v>
      </c>
      <c r="M63" s="1064">
        <f t="shared" si="16"/>
        <v>-2.8E-3</v>
      </c>
      <c r="N63" s="1064">
        <f t="shared" si="16"/>
        <v>-5.5999999999999999E-3</v>
      </c>
      <c r="AA63" s="1120"/>
      <c r="AB63" s="1120"/>
      <c r="AC63" s="1120"/>
      <c r="AD63" s="1120"/>
      <c r="AE63" s="1120"/>
      <c r="AF63" s="1120"/>
      <c r="AG63" s="1120"/>
      <c r="AH63" s="1120"/>
      <c r="AI63" s="1120"/>
      <c r="AJ63" s="1120"/>
      <c r="AK63" s="1120"/>
    </row>
    <row r="64" spans="1:37" s="1119" customFormat="1" ht="36.75">
      <c r="A64" s="2127" t="s">
        <v>2053</v>
      </c>
      <c r="B64" s="2132" t="s">
        <v>2054</v>
      </c>
      <c r="C64" s="2043" t="s">
        <v>3463</v>
      </c>
      <c r="D64" s="1065">
        <f t="shared" si="12"/>
        <v>0</v>
      </c>
      <c r="E64" s="745"/>
      <c r="F64" s="1813"/>
      <c r="G64" s="1063">
        <v>1.2999999999999999E-3</v>
      </c>
      <c r="H64" s="1066">
        <f t="shared" si="13"/>
        <v>1.2999999999999999E-3</v>
      </c>
      <c r="I64" s="3362">
        <v>0.05</v>
      </c>
      <c r="J64" s="1064">
        <f t="shared" si="14"/>
        <v>2.5999999999999999E-3</v>
      </c>
      <c r="K64" s="1064">
        <f t="shared" si="15"/>
        <v>1.2999999999999999E-3</v>
      </c>
      <c r="L64" s="1064">
        <v>0</v>
      </c>
      <c r="M64" s="1064">
        <f t="shared" si="16"/>
        <v>-1.2999999999999999E-3</v>
      </c>
      <c r="N64" s="1064">
        <f t="shared" si="16"/>
        <v>-2.5999999999999999E-3</v>
      </c>
      <c r="AA64" s="1120"/>
      <c r="AB64" s="1120"/>
      <c r="AC64" s="1120"/>
      <c r="AD64" s="1120"/>
      <c r="AE64" s="1120"/>
      <c r="AF64" s="1120"/>
      <c r="AG64" s="1120"/>
      <c r="AH64" s="1120"/>
      <c r="AI64" s="1120"/>
      <c r="AJ64" s="1120"/>
      <c r="AK64" s="1120"/>
    </row>
    <row r="65" spans="1:37" s="1119" customFormat="1" ht="24">
      <c r="A65" s="2127" t="s">
        <v>2055</v>
      </c>
      <c r="B65" s="2131">
        <f>估价对象房地状况!C24</f>
        <v>0</v>
      </c>
      <c r="C65" s="2043" t="s">
        <v>3463</v>
      </c>
      <c r="D65" s="1065">
        <f t="shared" si="12"/>
        <v>0</v>
      </c>
      <c r="E65" s="745"/>
      <c r="F65" s="1813"/>
      <c r="G65" s="1063">
        <v>1.2999999999999999E-3</v>
      </c>
      <c r="H65" s="1066">
        <f t="shared" si="13"/>
        <v>1.2999999999999999E-3</v>
      </c>
      <c r="I65" s="3362">
        <v>0.05</v>
      </c>
      <c r="J65" s="1064">
        <f t="shared" si="14"/>
        <v>2.5999999999999999E-3</v>
      </c>
      <c r="K65" s="1064">
        <f t="shared" si="15"/>
        <v>1.2999999999999999E-3</v>
      </c>
      <c r="L65" s="1064">
        <v>0</v>
      </c>
      <c r="M65" s="1064">
        <f t="shared" si="16"/>
        <v>-1.2999999999999999E-3</v>
      </c>
      <c r="N65" s="1064">
        <f t="shared" si="16"/>
        <v>-2.5999999999999999E-3</v>
      </c>
      <c r="AA65" s="1120"/>
      <c r="AB65" s="1120"/>
      <c r="AC65" s="1120"/>
      <c r="AD65" s="1120"/>
      <c r="AE65" s="1120"/>
      <c r="AF65" s="1120"/>
      <c r="AG65" s="1120"/>
      <c r="AH65" s="1120"/>
      <c r="AI65" s="1120"/>
      <c r="AJ65" s="1120"/>
      <c r="AK65" s="1120"/>
    </row>
    <row r="66" spans="1:37" s="1119" customFormat="1" ht="24">
      <c r="A66" s="2127" t="s">
        <v>2056</v>
      </c>
      <c r="B66" s="2133" t="s">
        <v>2057</v>
      </c>
      <c r="C66" s="2043" t="s">
        <v>3464</v>
      </c>
      <c r="D66" s="1065">
        <f t="shared" si="12"/>
        <v>1.5E-3</v>
      </c>
      <c r="E66" s="745"/>
      <c r="F66" s="1813"/>
      <c r="G66" s="1063">
        <v>1.5E-3</v>
      </c>
      <c r="H66" s="1066">
        <f t="shared" si="13"/>
        <v>1.5E-3</v>
      </c>
      <c r="I66" s="3362">
        <v>0.06</v>
      </c>
      <c r="J66" s="1064">
        <f t="shared" si="14"/>
        <v>3.0000000000000001E-3</v>
      </c>
      <c r="K66" s="1064">
        <f t="shared" si="15"/>
        <v>1.5E-3</v>
      </c>
      <c r="L66" s="1064">
        <v>0</v>
      </c>
      <c r="M66" s="1064">
        <f t="shared" si="16"/>
        <v>-1.5E-3</v>
      </c>
      <c r="N66" s="1064">
        <f t="shared" si="16"/>
        <v>-3.0000000000000001E-3</v>
      </c>
      <c r="AA66" s="1120"/>
      <c r="AB66" s="1120"/>
      <c r="AC66" s="1120"/>
      <c r="AD66" s="1120"/>
      <c r="AE66" s="1120"/>
      <c r="AF66" s="1120"/>
      <c r="AG66" s="1120"/>
      <c r="AH66" s="1120"/>
      <c r="AI66" s="1120"/>
      <c r="AJ66" s="1120"/>
      <c r="AK66" s="1120"/>
    </row>
    <row r="67" spans="1:37" s="1119" customFormat="1" ht="25.5">
      <c r="A67" s="2127" t="s">
        <v>2058</v>
      </c>
      <c r="B67" s="1326" t="str">
        <f>估价对象房地状况!C21</f>
        <v>估价对象所在区域公共配套设施齐备情况</v>
      </c>
      <c r="C67" s="2043" t="s">
        <v>3464</v>
      </c>
      <c r="D67" s="1065">
        <f t="shared" si="12"/>
        <v>1.5E-3</v>
      </c>
      <c r="E67" s="745"/>
      <c r="F67" s="1813"/>
      <c r="G67" s="1063">
        <v>1.5E-3</v>
      </c>
      <c r="H67" s="1066">
        <f t="shared" si="13"/>
        <v>1.5E-3</v>
      </c>
      <c r="I67" s="3362">
        <v>0.06</v>
      </c>
      <c r="J67" s="1064">
        <f t="shared" si="14"/>
        <v>3.0000000000000001E-3</v>
      </c>
      <c r="K67" s="1064">
        <f t="shared" si="15"/>
        <v>1.5E-3</v>
      </c>
      <c r="L67" s="1064">
        <v>0</v>
      </c>
      <c r="M67" s="1064">
        <f t="shared" si="16"/>
        <v>-1.5E-3</v>
      </c>
      <c r="N67" s="1064">
        <f t="shared" si="16"/>
        <v>-3.0000000000000001E-3</v>
      </c>
      <c r="AA67" s="1120"/>
      <c r="AB67" s="1120"/>
      <c r="AC67" s="1120"/>
      <c r="AD67" s="1120"/>
      <c r="AE67" s="1120"/>
      <c r="AF67" s="1120"/>
      <c r="AG67" s="1120"/>
      <c r="AH67" s="1120"/>
      <c r="AI67" s="1120"/>
      <c r="AJ67" s="1120"/>
      <c r="AK67" s="1120"/>
    </row>
    <row r="68" spans="1:37" s="1119" customFormat="1" ht="25.5">
      <c r="A68" s="2127" t="s">
        <v>2059</v>
      </c>
      <c r="B68" s="1326" t="str">
        <f>估价对象房地状况!C22</f>
        <v>估价对象所在区域基础设施水平</v>
      </c>
      <c r="C68" s="2043" t="s">
        <v>3465</v>
      </c>
      <c r="D68" s="1065">
        <f t="shared" si="12"/>
        <v>4.5999999999999999E-3</v>
      </c>
      <c r="E68" s="745"/>
      <c r="F68" s="1813"/>
      <c r="G68" s="1063">
        <v>2.3E-3</v>
      </c>
      <c r="H68" s="1066">
        <f t="shared" si="13"/>
        <v>2.3E-3</v>
      </c>
      <c r="I68" s="3362">
        <v>0.09</v>
      </c>
      <c r="J68" s="1064">
        <f t="shared" si="14"/>
        <v>4.5999999999999999E-3</v>
      </c>
      <c r="K68" s="1064">
        <f t="shared" si="15"/>
        <v>2.3E-3</v>
      </c>
      <c r="L68" s="1064">
        <v>0</v>
      </c>
      <c r="M68" s="1064">
        <f t="shared" si="16"/>
        <v>-2.3E-3</v>
      </c>
      <c r="N68" s="1064">
        <f t="shared" si="16"/>
        <v>-4.5999999999999999E-3</v>
      </c>
      <c r="AA68" s="1120"/>
      <c r="AB68" s="1120"/>
      <c r="AC68" s="1120"/>
      <c r="AD68" s="1120"/>
      <c r="AE68" s="1120"/>
      <c r="AF68" s="1120"/>
      <c r="AG68" s="1120"/>
      <c r="AH68" s="1120"/>
      <c r="AI68" s="1120"/>
      <c r="AJ68" s="1120"/>
      <c r="AK68" s="1120"/>
    </row>
    <row r="69" spans="1:37" s="1119" customFormat="1" ht="26.25" thickBot="1">
      <c r="A69" s="2135" t="s">
        <v>2060</v>
      </c>
      <c r="B69" s="2137" t="str">
        <f>估价对象房地状况!C20</f>
        <v>区域自然环境：；人文环境；综合评价环境状况一般</v>
      </c>
      <c r="C69" s="2043" t="s">
        <v>3464</v>
      </c>
      <c r="D69" s="1065">
        <f t="shared" si="12"/>
        <v>1.8E-3</v>
      </c>
      <c r="E69" s="746"/>
      <c r="F69" s="1813"/>
      <c r="G69" s="1063">
        <v>1.8E-3</v>
      </c>
      <c r="H69" s="1066">
        <f t="shared" si="13"/>
        <v>1.8E-3</v>
      </c>
      <c r="I69" s="3363">
        <v>7.0000000000000007E-2</v>
      </c>
      <c r="J69" s="1064">
        <f t="shared" si="14"/>
        <v>3.5999999999999999E-3</v>
      </c>
      <c r="K69" s="1064">
        <f t="shared" si="15"/>
        <v>1.8E-3</v>
      </c>
      <c r="L69" s="1064">
        <v>0</v>
      </c>
      <c r="M69" s="1064">
        <f t="shared" si="16"/>
        <v>-1.8E-3</v>
      </c>
      <c r="N69" s="1064">
        <f t="shared" si="16"/>
        <v>-3.5999999999999999E-3</v>
      </c>
      <c r="AA69" s="1120"/>
      <c r="AB69" s="1120"/>
      <c r="AC69" s="1120"/>
      <c r="AD69" s="1120"/>
      <c r="AE69" s="1120"/>
      <c r="AF69" s="1120"/>
      <c r="AG69" s="1120"/>
      <c r="AH69" s="1120"/>
      <c r="AI69" s="1120"/>
      <c r="AJ69" s="1120"/>
      <c r="AK69" s="1120"/>
    </row>
    <row r="70" spans="1:37" s="1119" customFormat="1" ht="15">
      <c r="A70" s="2123" t="s">
        <v>2064</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2043</v>
      </c>
      <c r="B71" s="1351"/>
      <c r="C71" s="1351" t="s">
        <v>2045</v>
      </c>
      <c r="D71" s="1351" t="s">
        <v>2046</v>
      </c>
      <c r="E71" s="743" t="s">
        <v>2047</v>
      </c>
      <c r="F71" s="2128" t="s">
        <v>2062</v>
      </c>
      <c r="G71" s="1351" t="s">
        <v>310</v>
      </c>
      <c r="H71" s="2129"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7" t="s">
        <v>2065</v>
      </c>
      <c r="B72" s="2130"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2052</v>
      </c>
      <c r="B73" s="2131"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3272</v>
      </c>
      <c r="B74" s="2131">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2066</v>
      </c>
      <c r="B75" s="2131">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0"/>
      <c r="AG75" s="1121"/>
      <c r="AK75" s="2050"/>
    </row>
    <row r="76" spans="1:37" ht="25.5">
      <c r="A76" s="2127" t="s">
        <v>2058</v>
      </c>
      <c r="B76" s="1326" t="str">
        <f>估价对象房地状况!C21</f>
        <v>估价对象所在区域公共配套设施齐备情况</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0"/>
      <c r="AG76" s="1121"/>
      <c r="AK76" s="2050"/>
    </row>
    <row r="77" spans="1:37" ht="25.5">
      <c r="A77" s="2127" t="s">
        <v>2059</v>
      </c>
      <c r="B77" s="1326" t="str">
        <f>估价对象房地状况!C22</f>
        <v>估价对象所在区域基础设施水平</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0"/>
      <c r="AG77" s="1121"/>
      <c r="AK77" s="2050"/>
    </row>
    <row r="78" spans="1:37" ht="24">
      <c r="A78" s="2127" t="s">
        <v>2056</v>
      </c>
      <c r="B78" s="2133" t="s">
        <v>2057</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0"/>
      <c r="AG78" s="1121"/>
      <c r="AK78" s="2050"/>
    </row>
    <row r="79" spans="1:37" ht="25.5">
      <c r="A79" s="2127" t="s">
        <v>2060</v>
      </c>
      <c r="B79" s="2130" t="str">
        <f>估价对象房地状况!C20</f>
        <v>区域自然环境：；人文环境；综合评价环境状况一般</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0"/>
      <c r="AG79" s="1121"/>
      <c r="AK79" s="2050"/>
    </row>
    <row r="80" spans="1:37" ht="24.75" thickBot="1">
      <c r="A80" s="2135" t="s">
        <v>2067</v>
      </c>
      <c r="B80" s="2139"/>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0"/>
      <c r="AG80" s="1121"/>
      <c r="AK80" s="2050"/>
    </row>
    <row r="81" spans="1:37" ht="15">
      <c r="A81" s="2123" t="s">
        <v>2068</v>
      </c>
      <c r="B81" s="2124">
        <f>1+E83</f>
        <v>1</v>
      </c>
      <c r="C81" s="741"/>
      <c r="D81" s="741"/>
      <c r="E81" s="742"/>
      <c r="F81" s="2126"/>
      <c r="G81" s="3"/>
      <c r="H81" s="3"/>
      <c r="I81" s="3"/>
      <c r="J81" s="4"/>
      <c r="K81" s="4"/>
      <c r="L81" s="4"/>
      <c r="M81" s="4"/>
      <c r="N81" s="4"/>
      <c r="Z81" s="1997"/>
      <c r="AA81" s="2050"/>
      <c r="AG81" s="1121"/>
      <c r="AK81" s="2050"/>
    </row>
    <row r="82" spans="1:37" ht="24.75">
      <c r="A82" s="2127" t="s">
        <v>2043</v>
      </c>
      <c r="B82" s="1351"/>
      <c r="C82" s="1351" t="s">
        <v>2045</v>
      </c>
      <c r="D82" s="1351" t="s">
        <v>2046</v>
      </c>
      <c r="E82" s="743" t="s">
        <v>2047</v>
      </c>
      <c r="F82" s="2128" t="s">
        <v>2062</v>
      </c>
      <c r="G82" s="1351" t="s">
        <v>310</v>
      </c>
      <c r="H82" s="2129" t="s">
        <v>2049</v>
      </c>
      <c r="I82" s="1351" t="s">
        <v>2050</v>
      </c>
      <c r="J82" s="552" t="s">
        <v>1720</v>
      </c>
      <c r="K82" s="552" t="s">
        <v>1721</v>
      </c>
      <c r="L82" s="552" t="s">
        <v>1722</v>
      </c>
      <c r="M82" s="552" t="s">
        <v>1723</v>
      </c>
      <c r="N82" s="552" t="s">
        <v>1724</v>
      </c>
      <c r="Z82" s="1997"/>
      <c r="AA82" s="2050"/>
      <c r="AG82" s="1121"/>
      <c r="AK82" s="2050"/>
    </row>
    <row r="83" spans="1:37" ht="38.25">
      <c r="A83" s="2127" t="s">
        <v>2069</v>
      </c>
      <c r="B83" s="2131"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0"/>
      <c r="AG83" s="1121"/>
      <c r="AK83" s="2050"/>
    </row>
    <row r="84" spans="1:37" ht="38.25">
      <c r="A84" s="2127" t="s">
        <v>2052</v>
      </c>
      <c r="B84" s="2131"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0"/>
      <c r="AG84" s="1121"/>
      <c r="AK84" s="2050"/>
    </row>
    <row r="85" spans="1:37" ht="36">
      <c r="A85" s="3364" t="s">
        <v>3273</v>
      </c>
      <c r="B85" s="2131">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0"/>
      <c r="AG85" s="1121"/>
      <c r="AK85" s="2050"/>
    </row>
    <row r="86" spans="1:37" ht="14.25">
      <c r="A86" s="2127" t="s">
        <v>2066</v>
      </c>
      <c r="B86" s="2131">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0"/>
      <c r="AG86" s="1121"/>
      <c r="AK86" s="2050"/>
    </row>
    <row r="87" spans="1:37" ht="25.5">
      <c r="A87" s="2127" t="s">
        <v>2058</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7" t="s">
        <v>2059</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7" t="s">
        <v>2056</v>
      </c>
      <c r="B89" s="2133" t="s">
        <v>2070</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2071</v>
      </c>
      <c r="B90" s="2140"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2615</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8" t="s">
        <v>3297</v>
      </c>
      <c r="B103" s="3758"/>
      <c r="C103" s="3758"/>
      <c r="D103" s="3758"/>
      <c r="E103" s="3758"/>
      <c r="F103" s="3758"/>
      <c r="G103" s="3758"/>
      <c r="H103" s="3758"/>
      <c r="I103" s="3758"/>
      <c r="J103" s="3758"/>
      <c r="K103" s="3385"/>
      <c r="L103" s="3385"/>
      <c r="M103" s="3385"/>
      <c r="N103" s="3385"/>
    </row>
    <row r="104" spans="1:14">
      <c r="A104" s="3759" t="s">
        <v>3298</v>
      </c>
      <c r="B104" s="3759" t="s">
        <v>3299</v>
      </c>
      <c r="C104" s="3386" t="s">
        <v>3300</v>
      </c>
      <c r="D104" s="3387"/>
      <c r="E104" s="3387"/>
      <c r="F104" s="3387"/>
      <c r="G104" s="3387"/>
      <c r="H104" s="3387"/>
      <c r="I104" s="3387"/>
      <c r="J104" s="3388"/>
      <c r="K104" s="3389"/>
      <c r="L104" s="3389"/>
      <c r="M104" s="3389"/>
      <c r="N104" s="3389"/>
    </row>
    <row r="105" spans="1:14">
      <c r="A105" s="3759"/>
      <c r="B105" s="375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4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8" t="s">
        <v>3314</v>
      </c>
      <c r="B113" s="3748"/>
      <c r="C113" s="3748"/>
      <c r="D113" s="3748"/>
      <c r="E113" s="3748"/>
      <c r="F113" s="3748"/>
      <c r="G113" s="3748"/>
      <c r="H113" s="3748"/>
      <c r="I113" s="3748"/>
      <c r="J113" s="37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1.02</v>
      </c>
      <c r="C116" s="3395" t="s">
        <v>3316</v>
      </c>
      <c r="D116" s="3396">
        <f>SUMPRODUCT((A118:A122=F116)*(B117:M117=H116)*B118:M122)</f>
        <v>0.98160000000000003</v>
      </c>
      <c r="E116" s="1999" t="s">
        <v>3317</v>
      </c>
      <c r="F116" s="3397" t="str">
        <f>E2</f>
        <v>办公</v>
      </c>
      <c r="G116" s="1999" t="s">
        <v>3318</v>
      </c>
      <c r="H116" s="3397" t="str">
        <f>G2</f>
        <v>二级</v>
      </c>
      <c r="I116" s="1999"/>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0.98560000000000003</v>
      </c>
      <c r="C118" s="3383">
        <f>B118</f>
        <v>0.98560000000000003</v>
      </c>
      <c r="D118" s="3383">
        <f>ROUND(0.949-0.014*B116,4)</f>
        <v>0.93469999999999998</v>
      </c>
      <c r="E118" s="3383">
        <f>D118</f>
        <v>0.93469999999999998</v>
      </c>
      <c r="F118" s="3383">
        <f>E118</f>
        <v>0.93469999999999998</v>
      </c>
      <c r="G118" s="3383">
        <f>F118</f>
        <v>0.93469999999999998</v>
      </c>
      <c r="H118" s="3383">
        <f>G118</f>
        <v>0.93469999999999998</v>
      </c>
      <c r="I118" s="3383">
        <f>ROUND(0.8486-0.018*B116,4)</f>
        <v>0.83020000000000005</v>
      </c>
      <c r="J118" s="3383">
        <f t="shared" ref="J118:M122" si="35">I118</f>
        <v>0.83020000000000005</v>
      </c>
      <c r="K118" s="3383">
        <f t="shared" si="35"/>
        <v>0.83020000000000005</v>
      </c>
      <c r="L118" s="3383">
        <f t="shared" si="35"/>
        <v>0.83020000000000005</v>
      </c>
      <c r="M118" s="3406">
        <f t="shared" si="35"/>
        <v>0.83020000000000005</v>
      </c>
      <c r="N118" s="3393"/>
    </row>
    <row r="119" spans="1:14">
      <c r="A119" s="3405" t="s">
        <v>3332</v>
      </c>
      <c r="B119" s="3383">
        <f>ROUND(0.993-0.0112*B116,4)</f>
        <v>0.98160000000000003</v>
      </c>
      <c r="C119" s="3383">
        <f>B119</f>
        <v>0.98160000000000003</v>
      </c>
      <c r="D119" s="3383">
        <f>ROUND(0.9415-0.0142*B116,4)</f>
        <v>0.92700000000000005</v>
      </c>
      <c r="E119" s="3383">
        <f t="shared" ref="E119:H120" si="36">D119</f>
        <v>0.92700000000000005</v>
      </c>
      <c r="F119" s="3383">
        <f t="shared" si="36"/>
        <v>0.92700000000000005</v>
      </c>
      <c r="G119" s="3383">
        <f t="shared" si="36"/>
        <v>0.92700000000000005</v>
      </c>
      <c r="H119" s="3383">
        <f t="shared" si="36"/>
        <v>0.92700000000000005</v>
      </c>
      <c r="I119" s="3383">
        <f>ROUND(0.838-0.0182*B116,4)</f>
        <v>0.81940000000000002</v>
      </c>
      <c r="J119" s="3383">
        <f t="shared" si="35"/>
        <v>0.81940000000000002</v>
      </c>
      <c r="K119" s="3383">
        <f t="shared" si="35"/>
        <v>0.81940000000000002</v>
      </c>
      <c r="L119" s="3383">
        <f t="shared" si="35"/>
        <v>0.81940000000000002</v>
      </c>
      <c r="M119" s="3406">
        <f t="shared" si="35"/>
        <v>0.81940000000000002</v>
      </c>
      <c r="N119" s="3393"/>
    </row>
    <row r="120" spans="1:14">
      <c r="A120" s="3405" t="s">
        <v>3333</v>
      </c>
      <c r="B120" s="3383">
        <f>ROUND(0.9448-0.0115*B116,4)</f>
        <v>0.93310000000000004</v>
      </c>
      <c r="C120" s="3383">
        <f>B120</f>
        <v>0.93310000000000004</v>
      </c>
      <c r="D120" s="3383">
        <f>ROUND(0.937-0.0145*B116,4)</f>
        <v>0.92220000000000002</v>
      </c>
      <c r="E120" s="3383">
        <f t="shared" si="36"/>
        <v>0.92220000000000002</v>
      </c>
      <c r="F120" s="3383">
        <f t="shared" si="36"/>
        <v>0.92220000000000002</v>
      </c>
      <c r="G120" s="3383">
        <f t="shared" si="36"/>
        <v>0.92220000000000002</v>
      </c>
      <c r="H120" s="3383">
        <f t="shared" si="36"/>
        <v>0.92220000000000002</v>
      </c>
      <c r="I120" s="3383">
        <f>ROUND(0.7965-0.0185*B116,4)</f>
        <v>0.77759999999999996</v>
      </c>
      <c r="J120" s="3383">
        <f t="shared" si="35"/>
        <v>0.77759999999999996</v>
      </c>
      <c r="K120" s="3383">
        <f t="shared" si="35"/>
        <v>0.77759999999999996</v>
      </c>
      <c r="L120" s="3383">
        <f t="shared" si="35"/>
        <v>0.77759999999999996</v>
      </c>
      <c r="M120" s="3406">
        <f t="shared" si="35"/>
        <v>0.77759999999999996</v>
      </c>
      <c r="N120" s="3393"/>
    </row>
    <row r="121" spans="1:14" ht="13.5" thickBot="1">
      <c r="A121" s="3407" t="s">
        <v>3334</v>
      </c>
      <c r="B121" s="3408">
        <f>ROUND(0.7836-0.012*B116,4)</f>
        <v>0.77139999999999997</v>
      </c>
      <c r="C121" s="3408">
        <f>B121</f>
        <v>0.77139999999999997</v>
      </c>
      <c r="D121" s="3408">
        <f>ROUND(0.753-0.015*B116,4)</f>
        <v>0.73770000000000002</v>
      </c>
      <c r="E121" s="3408">
        <f>D121</f>
        <v>0.73770000000000002</v>
      </c>
      <c r="F121" s="3408">
        <f>E121</f>
        <v>0.73770000000000002</v>
      </c>
      <c r="G121" s="3408">
        <f>ROUND(0.6612-0.018*B116,4)</f>
        <v>0.64280000000000004</v>
      </c>
      <c r="H121" s="3408">
        <f>G121</f>
        <v>0.64280000000000004</v>
      </c>
      <c r="I121" s="3408">
        <f>ROUND(0.5905-0.019*B116,4)</f>
        <v>0.57110000000000005</v>
      </c>
      <c r="J121" s="3408">
        <f t="shared" si="35"/>
        <v>0.57110000000000005</v>
      </c>
      <c r="K121" s="3408">
        <f t="shared" si="35"/>
        <v>0.57110000000000005</v>
      </c>
      <c r="L121" s="3408">
        <f t="shared" si="35"/>
        <v>0.57110000000000005</v>
      </c>
      <c r="M121" s="3409">
        <f t="shared" si="35"/>
        <v>0.57110000000000005</v>
      </c>
      <c r="N121" s="3393"/>
    </row>
    <row r="122" spans="1:14">
      <c r="A122" s="3410" t="s">
        <v>2615</v>
      </c>
      <c r="B122" s="3383">
        <f>ROUND(0.9404-0.0106*B116,4)</f>
        <v>0.92959999999999998</v>
      </c>
      <c r="C122" s="3383">
        <f>B122</f>
        <v>0.92959999999999998</v>
      </c>
      <c r="D122" s="3383">
        <f>ROUND(0.8955-0.0135*B116,4)</f>
        <v>0.88170000000000004</v>
      </c>
      <c r="E122" s="3383">
        <f t="shared" ref="E122:H122" si="37">D122</f>
        <v>0.88170000000000004</v>
      </c>
      <c r="F122" s="3383">
        <f t="shared" si="37"/>
        <v>0.88170000000000004</v>
      </c>
      <c r="G122" s="3383">
        <f t="shared" si="37"/>
        <v>0.88170000000000004</v>
      </c>
      <c r="H122" s="3383">
        <f t="shared" si="37"/>
        <v>0.88170000000000004</v>
      </c>
      <c r="I122" s="3383">
        <f>ROUND(0.7632-0.0166*B116,4)</f>
        <v>0.74629999999999996</v>
      </c>
      <c r="J122" s="3383">
        <f t="shared" si="35"/>
        <v>0.74629999999999996</v>
      </c>
      <c r="K122" s="3383">
        <f t="shared" si="35"/>
        <v>0.74629999999999996</v>
      </c>
      <c r="L122" s="3383">
        <f t="shared" si="35"/>
        <v>0.74629999999999996</v>
      </c>
      <c r="M122" s="3406">
        <f t="shared" si="35"/>
        <v>0.74629999999999996</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1" t="s">
        <v>2610</v>
      </c>
      <c r="B20" s="3764" t="s">
        <v>2631</v>
      </c>
      <c r="C20" s="3100" t="s">
        <v>2442</v>
      </c>
      <c r="D20" s="3101"/>
      <c r="E20" s="3102">
        <v>1</v>
      </c>
      <c r="F20" s="3103" t="s">
        <v>2443</v>
      </c>
      <c r="G20" s="3103"/>
    </row>
    <row r="21" spans="1:13" ht="19.5" customHeight="1">
      <c r="A21" s="3772"/>
      <c r="B21" s="3765"/>
      <c r="C21" s="3104" t="s">
        <v>2444</v>
      </c>
      <c r="D21" s="3105"/>
      <c r="E21" s="3106">
        <v>1</v>
      </c>
      <c r="F21" s="3103" t="s">
        <v>2445</v>
      </c>
      <c r="G21" s="3103"/>
    </row>
    <row r="22" spans="1:13" ht="19.5" customHeight="1">
      <c r="A22" s="3772"/>
      <c r="B22" s="3765"/>
      <c r="C22" s="3104" t="s">
        <v>2446</v>
      </c>
      <c r="D22" s="3105"/>
      <c r="E22" s="3106">
        <v>0.9</v>
      </c>
      <c r="F22" s="3103" t="s">
        <v>2447</v>
      </c>
      <c r="G22" s="3103"/>
    </row>
    <row r="23" spans="1:13" ht="19.5" customHeight="1">
      <c r="A23" s="3772"/>
      <c r="B23" s="3765"/>
      <c r="C23" s="3104" t="s">
        <v>2448</v>
      </c>
      <c r="D23" s="3105"/>
      <c r="E23" s="3106">
        <v>0.9</v>
      </c>
      <c r="F23" s="3103" t="s">
        <v>2449</v>
      </c>
      <c r="G23" s="3103"/>
    </row>
    <row r="24" spans="1:13" ht="19.5" customHeight="1">
      <c r="A24" s="3772"/>
      <c r="B24" s="3765"/>
      <c r="C24" s="3104" t="s">
        <v>2450</v>
      </c>
      <c r="D24" s="3105"/>
      <c r="E24" s="3106">
        <v>0.8</v>
      </c>
      <c r="F24" s="3103" t="s">
        <v>2451</v>
      </c>
      <c r="G24" s="3103"/>
    </row>
    <row r="25" spans="1:13" ht="19.5" customHeight="1" thickBot="1">
      <c r="A25" s="3773"/>
      <c r="B25" s="3766"/>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7" t="s">
        <v>2634</v>
      </c>
      <c r="B27" s="3764" t="s">
        <v>2615</v>
      </c>
      <c r="C27" s="3100" t="s">
        <v>2455</v>
      </c>
      <c r="D27" s="3101"/>
      <c r="E27" s="3102">
        <v>1</v>
      </c>
      <c r="F27" s="3103" t="s">
        <v>2456</v>
      </c>
      <c r="G27" s="3103"/>
    </row>
    <row r="28" spans="1:13" ht="19.5" customHeight="1">
      <c r="A28" s="3768"/>
      <c r="B28" s="3765"/>
      <c r="C28" s="3104" t="s">
        <v>2457</v>
      </c>
      <c r="D28" s="3105"/>
      <c r="E28" s="3106">
        <v>1</v>
      </c>
      <c r="F28" s="3103" t="s">
        <v>2458</v>
      </c>
      <c r="G28" s="3103"/>
    </row>
    <row r="29" spans="1:13" ht="19.5" customHeight="1">
      <c r="A29" s="3768"/>
      <c r="B29" s="3765"/>
      <c r="C29" s="3104" t="s">
        <v>2459</v>
      </c>
      <c r="D29" s="3105"/>
      <c r="E29" s="3106">
        <v>0.8</v>
      </c>
      <c r="F29" s="3103" t="s">
        <v>2460</v>
      </c>
      <c r="G29" s="3103"/>
    </row>
    <row r="30" spans="1:13" ht="19.5" customHeight="1">
      <c r="A30" s="3768"/>
      <c r="B30" s="3765"/>
      <c r="C30" s="3104" t="s">
        <v>2461</v>
      </c>
      <c r="D30" s="3105"/>
      <c r="E30" s="3106">
        <v>0.8</v>
      </c>
      <c r="F30" s="3103" t="s">
        <v>2462</v>
      </c>
      <c r="G30" s="3103"/>
    </row>
    <row r="31" spans="1:13" ht="19.5" customHeight="1">
      <c r="A31" s="3768"/>
      <c r="B31" s="3765"/>
      <c r="C31" s="3104" t="s">
        <v>2463</v>
      </c>
      <c r="D31" s="3105"/>
      <c r="E31" s="3106">
        <v>0.8</v>
      </c>
      <c r="F31" s="3103" t="s">
        <v>2464</v>
      </c>
      <c r="G31" s="3103"/>
    </row>
    <row r="32" spans="1:13" ht="19.5" customHeight="1">
      <c r="A32" s="3768"/>
      <c r="B32" s="3765"/>
      <c r="C32" s="3104" t="s">
        <v>2465</v>
      </c>
      <c r="D32" s="3105"/>
      <c r="E32" s="3106">
        <v>0.7</v>
      </c>
      <c r="F32" s="3103" t="s">
        <v>2466</v>
      </c>
      <c r="G32" s="3103"/>
    </row>
    <row r="33" spans="1:7" ht="19.5" customHeight="1">
      <c r="A33" s="3768"/>
      <c r="B33" s="3765"/>
      <c r="C33" s="3104" t="s">
        <v>2467</v>
      </c>
      <c r="D33" s="3105"/>
      <c r="E33" s="3106">
        <v>0.8</v>
      </c>
      <c r="F33" s="3103" t="s">
        <v>2468</v>
      </c>
      <c r="G33" s="3103"/>
    </row>
    <row r="34" spans="1:7" ht="19.5" customHeight="1">
      <c r="A34" s="3768"/>
      <c r="B34" s="3765"/>
      <c r="C34" s="3104" t="s">
        <v>2469</v>
      </c>
      <c r="D34" s="3105"/>
      <c r="E34" s="3106">
        <v>0.6</v>
      </c>
      <c r="F34" s="3103" t="s">
        <v>2470</v>
      </c>
      <c r="G34" s="3103"/>
    </row>
    <row r="35" spans="1:7" ht="19.5" customHeight="1">
      <c r="A35" s="3768"/>
      <c r="B35" s="3765"/>
      <c r="C35" s="3104" t="s">
        <v>2471</v>
      </c>
      <c r="D35" s="3105"/>
      <c r="E35" s="3106">
        <v>0.2</v>
      </c>
      <c r="F35" s="3103" t="s">
        <v>2472</v>
      </c>
      <c r="G35" s="3103"/>
    </row>
    <row r="36" spans="1:7" ht="19.5" customHeight="1">
      <c r="A36" s="3768"/>
      <c r="B36" s="3765"/>
      <c r="C36" s="3104" t="s">
        <v>2473</v>
      </c>
      <c r="D36" s="3105"/>
      <c r="E36" s="3106">
        <v>0.2</v>
      </c>
      <c r="F36" s="3103" t="s">
        <v>2474</v>
      </c>
      <c r="G36" s="3103"/>
    </row>
    <row r="37" spans="1:7" ht="19.5" customHeight="1">
      <c r="A37" s="3768"/>
      <c r="B37" s="3770" t="s">
        <v>2635</v>
      </c>
      <c r="C37" s="3104" t="s">
        <v>2475</v>
      </c>
      <c r="D37" s="3105"/>
      <c r="E37" s="3106">
        <v>0.6</v>
      </c>
      <c r="F37" s="3103" t="s">
        <v>2476</v>
      </c>
      <c r="G37" s="3103"/>
    </row>
    <row r="38" spans="1:7" ht="19.5" customHeight="1">
      <c r="A38" s="3768"/>
      <c r="B38" s="3765"/>
      <c r="C38" s="3104" t="s">
        <v>2477</v>
      </c>
      <c r="D38" s="3105"/>
      <c r="E38" s="3106">
        <v>0.6</v>
      </c>
      <c r="F38" s="3103" t="s">
        <v>2478</v>
      </c>
      <c r="G38" s="3103"/>
    </row>
    <row r="39" spans="1:7" ht="19.5" customHeight="1" thickBot="1">
      <c r="A39" s="3769"/>
      <c r="B39" s="3766"/>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1" t="s">
        <v>2613</v>
      </c>
      <c r="B41" s="3764" t="s">
        <v>2637</v>
      </c>
      <c r="C41" s="3100" t="s">
        <v>2482</v>
      </c>
      <c r="D41" s="3101"/>
      <c r="E41" s="3102">
        <v>1</v>
      </c>
      <c r="F41" s="3103" t="s">
        <v>2483</v>
      </c>
      <c r="G41" s="3103"/>
    </row>
    <row r="42" spans="1:7" ht="19.5" customHeight="1">
      <c r="A42" s="3772"/>
      <c r="B42" s="3765"/>
      <c r="C42" s="3104" t="s">
        <v>2484</v>
      </c>
      <c r="D42" s="3105"/>
      <c r="E42" s="3106">
        <v>1</v>
      </c>
      <c r="F42" s="3103" t="s">
        <v>2485</v>
      </c>
      <c r="G42" s="3103"/>
    </row>
    <row r="43" spans="1:7" ht="19.5" customHeight="1">
      <c r="A43" s="3772"/>
      <c r="B43" s="3774"/>
      <c r="C43" s="3104" t="s">
        <v>2486</v>
      </c>
      <c r="D43" s="3105"/>
      <c r="E43" s="3106">
        <v>1.5</v>
      </c>
      <c r="F43" s="3103" t="s">
        <v>2487</v>
      </c>
      <c r="G43" s="3103"/>
    </row>
    <row r="44" spans="1:7" ht="19.5" customHeight="1">
      <c r="A44" s="3772"/>
      <c r="B44" s="3115" t="s">
        <v>2638</v>
      </c>
      <c r="C44" s="3104" t="s">
        <v>2639</v>
      </c>
      <c r="D44" s="3105"/>
      <c r="E44" s="3106">
        <v>2</v>
      </c>
      <c r="F44" s="3103" t="s">
        <v>2488</v>
      </c>
      <c r="G44" s="3103"/>
    </row>
    <row r="45" spans="1:7" ht="19.5" customHeight="1">
      <c r="A45" s="3772"/>
      <c r="B45" s="3770" t="s">
        <v>2640</v>
      </c>
      <c r="C45" s="3104" t="s">
        <v>2489</v>
      </c>
      <c r="D45" s="3105"/>
      <c r="E45" s="3106">
        <v>1</v>
      </c>
      <c r="F45" s="3103" t="s">
        <v>2490</v>
      </c>
      <c r="G45" s="3103"/>
    </row>
    <row r="46" spans="1:7" ht="19.5" customHeight="1">
      <c r="A46" s="3772"/>
      <c r="B46" s="3765"/>
      <c r="C46" s="3104" t="s">
        <v>2491</v>
      </c>
      <c r="D46" s="3105"/>
      <c r="E46" s="3106">
        <v>1</v>
      </c>
      <c r="F46" s="3103" t="s">
        <v>2492</v>
      </c>
      <c r="G46" s="3103"/>
    </row>
    <row r="47" spans="1:7" ht="19.5" customHeight="1">
      <c r="A47" s="3772"/>
      <c r="B47" s="3765"/>
      <c r="C47" s="3104" t="s">
        <v>2493</v>
      </c>
      <c r="D47" s="3105"/>
      <c r="E47" s="3106">
        <v>1</v>
      </c>
      <c r="F47" s="3103" t="s">
        <v>2494</v>
      </c>
      <c r="G47" s="3103"/>
    </row>
    <row r="48" spans="1:7" ht="19.5" customHeight="1">
      <c r="A48" s="3772"/>
      <c r="B48" s="3765"/>
      <c r="C48" s="3104" t="s">
        <v>2495</v>
      </c>
      <c r="D48" s="3105"/>
      <c r="E48" s="3106">
        <v>1</v>
      </c>
      <c r="F48" s="3103" t="s">
        <v>2496</v>
      </c>
      <c r="G48" s="3103"/>
    </row>
    <row r="49" spans="1:7" ht="19.5" customHeight="1">
      <c r="A49" s="3772"/>
      <c r="B49" s="3765"/>
      <c r="C49" s="3104" t="s">
        <v>2497</v>
      </c>
      <c r="D49" s="3105"/>
      <c r="E49" s="3106">
        <v>1</v>
      </c>
      <c r="F49" s="3103" t="s">
        <v>2498</v>
      </c>
      <c r="G49" s="3103"/>
    </row>
    <row r="50" spans="1:7" ht="19.5" customHeight="1">
      <c r="A50" s="3772"/>
      <c r="B50" s="3765"/>
      <c r="C50" s="3104" t="s">
        <v>2499</v>
      </c>
      <c r="D50" s="3105"/>
      <c r="E50" s="3106">
        <v>1</v>
      </c>
      <c r="F50" s="3103" t="s">
        <v>2500</v>
      </c>
      <c r="G50" s="3103"/>
    </row>
    <row r="51" spans="1:7" ht="19.5" customHeight="1" thickBot="1">
      <c r="A51" s="3773"/>
      <c r="B51" s="3766"/>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0" t="s">
        <v>2654</v>
      </c>
      <c r="C73" s="3089" t="s">
        <v>2655</v>
      </c>
      <c r="D73" s="3089" t="s">
        <v>2656</v>
      </c>
      <c r="E73" s="3115">
        <v>0.2</v>
      </c>
      <c r="F73" s="3115">
        <v>25</v>
      </c>
    </row>
    <row r="74" spans="1:7" ht="24">
      <c r="A74" s="3115">
        <v>2</v>
      </c>
      <c r="B74" s="3765"/>
      <c r="C74" s="3089" t="s">
        <v>2657</v>
      </c>
      <c r="D74" s="3089" t="s">
        <v>2658</v>
      </c>
      <c r="E74" s="3115">
        <v>0.2</v>
      </c>
      <c r="F74" s="3115">
        <v>25</v>
      </c>
    </row>
    <row r="75" spans="1:7" ht="24">
      <c r="A75" s="3115">
        <v>3</v>
      </c>
      <c r="B75" s="3765"/>
      <c r="C75" s="3089" t="s">
        <v>2659</v>
      </c>
      <c r="D75" s="3089" t="s">
        <v>2660</v>
      </c>
      <c r="E75" s="3115">
        <v>0.2</v>
      </c>
      <c r="F75" s="3115">
        <v>25</v>
      </c>
    </row>
    <row r="76" spans="1:7" ht="13.5">
      <c r="A76" s="3115">
        <v>4</v>
      </c>
      <c r="B76" s="3765"/>
      <c r="C76" s="3089" t="s">
        <v>2661</v>
      </c>
      <c r="D76" s="3089" t="s">
        <v>2662</v>
      </c>
      <c r="E76" s="3115">
        <v>0.15</v>
      </c>
      <c r="F76" s="3115">
        <v>20</v>
      </c>
    </row>
    <row r="77" spans="1:7" ht="24">
      <c r="A77" s="3115">
        <v>5</v>
      </c>
      <c r="B77" s="3765"/>
      <c r="C77" s="3089" t="s">
        <v>2663</v>
      </c>
      <c r="D77" s="3089" t="s">
        <v>2664</v>
      </c>
      <c r="E77" s="3115">
        <v>0.15</v>
      </c>
      <c r="F77" s="3115">
        <v>20</v>
      </c>
    </row>
    <row r="78" spans="1:7" ht="24">
      <c r="A78" s="3115">
        <v>6</v>
      </c>
      <c r="B78" s="3765"/>
      <c r="C78" s="3089" t="s">
        <v>2665</v>
      </c>
      <c r="D78" s="3089" t="s">
        <v>2666</v>
      </c>
      <c r="E78" s="3115">
        <v>0.15</v>
      </c>
      <c r="F78" s="3115">
        <v>20</v>
      </c>
    </row>
    <row r="79" spans="1:7" ht="24">
      <c r="A79" s="3115">
        <v>7</v>
      </c>
      <c r="B79" s="3765"/>
      <c r="C79" s="3089" t="s">
        <v>2667</v>
      </c>
      <c r="D79" s="3089" t="s">
        <v>2668</v>
      </c>
      <c r="E79" s="3115">
        <v>0.15</v>
      </c>
      <c r="F79" s="3115">
        <v>20</v>
      </c>
    </row>
    <row r="80" spans="1:7" ht="24">
      <c r="A80" s="3115">
        <v>8</v>
      </c>
      <c r="B80" s="3765"/>
      <c r="C80" s="3089" t="s">
        <v>2669</v>
      </c>
      <c r="D80" s="3089" t="s">
        <v>2670</v>
      </c>
      <c r="E80" s="3115">
        <v>0.1</v>
      </c>
      <c r="F80" s="3115">
        <v>15</v>
      </c>
    </row>
    <row r="81" spans="1:6" ht="24">
      <c r="A81" s="3115">
        <v>9</v>
      </c>
      <c r="B81" s="3765"/>
      <c r="C81" s="3089" t="s">
        <v>2671</v>
      </c>
      <c r="D81" s="3089" t="s">
        <v>2672</v>
      </c>
      <c r="E81" s="3115">
        <v>0.1</v>
      </c>
      <c r="F81" s="3115">
        <v>15</v>
      </c>
    </row>
    <row r="82" spans="1:6" ht="24">
      <c r="A82" s="3115">
        <v>10</v>
      </c>
      <c r="B82" s="3765"/>
      <c r="C82" s="3089" t="s">
        <v>2673</v>
      </c>
      <c r="D82" s="3089" t="s">
        <v>2674</v>
      </c>
      <c r="E82" s="3115">
        <v>0.1</v>
      </c>
      <c r="F82" s="3115">
        <v>15</v>
      </c>
    </row>
    <row r="83" spans="1:6" ht="24">
      <c r="A83" s="3115">
        <v>11</v>
      </c>
      <c r="B83" s="3765"/>
      <c r="C83" s="3089" t="s">
        <v>2675</v>
      </c>
      <c r="D83" s="3089" t="s">
        <v>2676</v>
      </c>
      <c r="E83" s="3115">
        <v>0.1</v>
      </c>
      <c r="F83" s="3115">
        <v>15</v>
      </c>
    </row>
    <row r="84" spans="1:6" ht="24">
      <c r="A84" s="3115">
        <v>12</v>
      </c>
      <c r="B84" s="3765"/>
      <c r="C84" s="3089" t="s">
        <v>2677</v>
      </c>
      <c r="D84" s="3089" t="s">
        <v>2678</v>
      </c>
      <c r="E84" s="3115">
        <v>0.1</v>
      </c>
      <c r="F84" s="3115">
        <v>15</v>
      </c>
    </row>
    <row r="85" spans="1:6" ht="13.5">
      <c r="A85" s="3115">
        <v>13</v>
      </c>
      <c r="B85" s="3765"/>
      <c r="C85" s="3089" t="s">
        <v>2679</v>
      </c>
      <c r="D85" s="3089" t="s">
        <v>2680</v>
      </c>
      <c r="E85" s="3115">
        <v>0.1</v>
      </c>
      <c r="F85" s="3115">
        <v>15</v>
      </c>
    </row>
    <row r="86" spans="1:6" ht="13.5">
      <c r="A86" s="3115">
        <v>14</v>
      </c>
      <c r="B86" s="3765"/>
      <c r="C86" s="3089" t="s">
        <v>2681</v>
      </c>
      <c r="D86" s="3089" t="s">
        <v>2682</v>
      </c>
      <c r="E86" s="3115">
        <v>0.1</v>
      </c>
      <c r="F86" s="3115">
        <v>15</v>
      </c>
    </row>
    <row r="87" spans="1:6" ht="13.5">
      <c r="A87" s="3115">
        <v>15</v>
      </c>
      <c r="B87" s="3765"/>
      <c r="C87" s="3089" t="s">
        <v>2683</v>
      </c>
      <c r="D87" s="3089" t="s">
        <v>2684</v>
      </c>
      <c r="E87" s="3115">
        <v>0.1</v>
      </c>
      <c r="F87" s="3115">
        <v>15</v>
      </c>
    </row>
    <row r="88" spans="1:6" ht="24">
      <c r="A88" s="3115">
        <v>16</v>
      </c>
      <c r="B88" s="3765"/>
      <c r="C88" s="3089" t="s">
        <v>2685</v>
      </c>
      <c r="D88" s="3089" t="s">
        <v>2686</v>
      </c>
      <c r="E88" s="3115">
        <v>0.1</v>
      </c>
      <c r="F88" s="3115">
        <v>15</v>
      </c>
    </row>
    <row r="89" spans="1:6" ht="24">
      <c r="A89" s="3115">
        <v>17</v>
      </c>
      <c r="B89" s="3774"/>
      <c r="C89" s="3089" t="s">
        <v>2687</v>
      </c>
      <c r="D89" s="3089" t="s">
        <v>2688</v>
      </c>
      <c r="E89" s="3115">
        <v>0.1</v>
      </c>
      <c r="F89" s="3115">
        <v>15</v>
      </c>
    </row>
    <row r="90" spans="1:6" ht="13.5">
      <c r="A90" s="3115">
        <v>18</v>
      </c>
      <c r="B90" s="3770" t="s">
        <v>2689</v>
      </c>
      <c r="C90" s="3089" t="s">
        <v>2690</v>
      </c>
      <c r="D90" s="3089" t="s">
        <v>2691</v>
      </c>
      <c r="E90" s="3115">
        <v>0.2</v>
      </c>
      <c r="F90" s="3115">
        <v>25</v>
      </c>
    </row>
    <row r="91" spans="1:6" ht="24">
      <c r="A91" s="3115">
        <v>19</v>
      </c>
      <c r="B91" s="3765"/>
      <c r="C91" s="3089" t="s">
        <v>2692</v>
      </c>
      <c r="D91" s="3089" t="s">
        <v>2693</v>
      </c>
      <c r="E91" s="3115">
        <v>0.2</v>
      </c>
      <c r="F91" s="3115">
        <v>25</v>
      </c>
    </row>
    <row r="92" spans="1:6" ht="13.5">
      <c r="A92" s="3115">
        <v>20</v>
      </c>
      <c r="B92" s="3765"/>
      <c r="C92" s="3089" t="s">
        <v>2694</v>
      </c>
      <c r="D92" s="3089" t="s">
        <v>2695</v>
      </c>
      <c r="E92" s="3115">
        <v>0.15</v>
      </c>
      <c r="F92" s="3115">
        <v>20</v>
      </c>
    </row>
    <row r="93" spans="1:6" ht="13.5">
      <c r="A93" s="3115">
        <v>21</v>
      </c>
      <c r="B93" s="3765"/>
      <c r="C93" s="3089" t="s">
        <v>2696</v>
      </c>
      <c r="D93" s="3089" t="s">
        <v>2697</v>
      </c>
      <c r="E93" s="3115">
        <v>0.15</v>
      </c>
      <c r="F93" s="3115">
        <v>20</v>
      </c>
    </row>
    <row r="94" spans="1:6" ht="13.5">
      <c r="A94" s="3115">
        <v>22</v>
      </c>
      <c r="B94" s="3765"/>
      <c r="C94" s="3089" t="s">
        <v>2698</v>
      </c>
      <c r="D94" s="3089" t="s">
        <v>2699</v>
      </c>
      <c r="E94" s="3115">
        <v>0.15</v>
      </c>
      <c r="F94" s="3115">
        <v>20</v>
      </c>
    </row>
    <row r="95" spans="1:6" ht="36">
      <c r="A95" s="3115">
        <v>23</v>
      </c>
      <c r="B95" s="3765"/>
      <c r="C95" s="3089" t="s">
        <v>2700</v>
      </c>
      <c r="D95" s="3089" t="s">
        <v>2701</v>
      </c>
      <c r="E95" s="3115">
        <v>0.15</v>
      </c>
      <c r="F95" s="3115">
        <v>20</v>
      </c>
    </row>
    <row r="96" spans="1:6" ht="13.5">
      <c r="A96" s="3115">
        <v>24</v>
      </c>
      <c r="B96" s="3765"/>
      <c r="C96" s="3089" t="s">
        <v>2702</v>
      </c>
      <c r="D96" s="3089" t="s">
        <v>2703</v>
      </c>
      <c r="E96" s="3115">
        <v>0.1</v>
      </c>
      <c r="F96" s="3115">
        <v>15</v>
      </c>
    </row>
    <row r="97" spans="1:6" ht="13.5">
      <c r="A97" s="3115">
        <v>25</v>
      </c>
      <c r="B97" s="3765"/>
      <c r="C97" s="3089" t="s">
        <v>2704</v>
      </c>
      <c r="D97" s="3089" t="s">
        <v>2705</v>
      </c>
      <c r="E97" s="3115">
        <v>0.1</v>
      </c>
      <c r="F97" s="3115">
        <v>15</v>
      </c>
    </row>
    <row r="98" spans="1:6" ht="24">
      <c r="A98" s="3115">
        <v>26</v>
      </c>
      <c r="B98" s="3765"/>
      <c r="C98" s="3089" t="s">
        <v>2706</v>
      </c>
      <c r="D98" s="3089" t="s">
        <v>2707</v>
      </c>
      <c r="E98" s="3115">
        <v>0.1</v>
      </c>
      <c r="F98" s="3115">
        <v>15</v>
      </c>
    </row>
    <row r="99" spans="1:6" ht="24">
      <c r="A99" s="3115">
        <v>27</v>
      </c>
      <c r="B99" s="3765"/>
      <c r="C99" s="3089" t="s">
        <v>2708</v>
      </c>
      <c r="D99" s="3089" t="s">
        <v>2709</v>
      </c>
      <c r="E99" s="3115">
        <v>0.1</v>
      </c>
      <c r="F99" s="3115">
        <v>15</v>
      </c>
    </row>
    <row r="100" spans="1:6" ht="13.5">
      <c r="A100" s="3115">
        <v>28</v>
      </c>
      <c r="B100" s="3765"/>
      <c r="C100" s="3089" t="s">
        <v>2710</v>
      </c>
      <c r="D100" s="3089" t="s">
        <v>2711</v>
      </c>
      <c r="E100" s="3115">
        <v>0.1</v>
      </c>
      <c r="F100" s="3115">
        <v>15</v>
      </c>
    </row>
    <row r="101" spans="1:6" ht="13.5">
      <c r="A101" s="3115">
        <v>29</v>
      </c>
      <c r="B101" s="3765"/>
      <c r="C101" s="3089" t="s">
        <v>2712</v>
      </c>
      <c r="D101" s="3089" t="s">
        <v>2713</v>
      </c>
      <c r="E101" s="3115">
        <v>0.1</v>
      </c>
      <c r="F101" s="3115">
        <v>15</v>
      </c>
    </row>
    <row r="102" spans="1:6" ht="13.5">
      <c r="A102" s="3115">
        <v>30</v>
      </c>
      <c r="B102" s="3765"/>
      <c r="C102" s="3089" t="s">
        <v>2714</v>
      </c>
      <c r="D102" s="3089" t="s">
        <v>2715</v>
      </c>
      <c r="E102" s="3115">
        <v>0.1</v>
      </c>
      <c r="F102" s="3115">
        <v>15</v>
      </c>
    </row>
    <row r="103" spans="1:6" ht="24">
      <c r="A103" s="3115">
        <v>31</v>
      </c>
      <c r="B103" s="3765"/>
      <c r="C103" s="3089" t="s">
        <v>2716</v>
      </c>
      <c r="D103" s="3089" t="s">
        <v>2717</v>
      </c>
      <c r="E103" s="3115">
        <v>0.1</v>
      </c>
      <c r="F103" s="3115">
        <v>15</v>
      </c>
    </row>
    <row r="104" spans="1:6" ht="24">
      <c r="A104" s="3115">
        <v>32</v>
      </c>
      <c r="B104" s="3765"/>
      <c r="C104" s="3089" t="s">
        <v>2718</v>
      </c>
      <c r="D104" s="3089" t="s">
        <v>2719</v>
      </c>
      <c r="E104" s="3115">
        <v>0.1</v>
      </c>
      <c r="F104" s="3115">
        <v>15</v>
      </c>
    </row>
    <row r="105" spans="1:6" ht="24">
      <c r="A105" s="3115">
        <v>33</v>
      </c>
      <c r="B105" s="3765"/>
      <c r="C105" s="3089" t="s">
        <v>2720</v>
      </c>
      <c r="D105" s="3089" t="s">
        <v>2721</v>
      </c>
      <c r="E105" s="3115">
        <v>0.1</v>
      </c>
      <c r="F105" s="3115">
        <v>15</v>
      </c>
    </row>
    <row r="106" spans="1:6" ht="24">
      <c r="A106" s="3115">
        <v>34</v>
      </c>
      <c r="B106" s="3774"/>
      <c r="C106" s="3089" t="s">
        <v>2722</v>
      </c>
      <c r="D106" s="3089" t="s">
        <v>2723</v>
      </c>
      <c r="E106" s="3115">
        <v>0.1</v>
      </c>
      <c r="F106" s="3115">
        <v>15</v>
      </c>
    </row>
    <row r="107" spans="1:6" ht="24">
      <c r="A107" s="3115">
        <v>35</v>
      </c>
      <c r="B107" s="3770" t="s">
        <v>2724</v>
      </c>
      <c r="C107" s="3115" t="s">
        <v>2725</v>
      </c>
      <c r="D107" s="3089" t="s">
        <v>2726</v>
      </c>
      <c r="E107" s="3115">
        <v>0.15</v>
      </c>
      <c r="F107" s="3115">
        <v>20</v>
      </c>
    </row>
    <row r="108" spans="1:6" ht="13.5">
      <c r="A108" s="3115">
        <v>36</v>
      </c>
      <c r="B108" s="3765"/>
      <c r="C108" s="3115" t="s">
        <v>2727</v>
      </c>
      <c r="D108" s="3089" t="s">
        <v>2728</v>
      </c>
      <c r="E108" s="3115">
        <v>0.15</v>
      </c>
      <c r="F108" s="3115">
        <v>20</v>
      </c>
    </row>
    <row r="109" spans="1:6" ht="13.5">
      <c r="A109" s="3115">
        <v>37</v>
      </c>
      <c r="B109" s="3765"/>
      <c r="C109" s="3115" t="s">
        <v>2729</v>
      </c>
      <c r="D109" s="3089" t="s">
        <v>2730</v>
      </c>
      <c r="E109" s="3115">
        <v>0.15</v>
      </c>
      <c r="F109" s="3115">
        <v>20</v>
      </c>
    </row>
    <row r="110" spans="1:6" ht="13.5">
      <c r="A110" s="3115">
        <v>38</v>
      </c>
      <c r="B110" s="3765"/>
      <c r="C110" s="3115" t="s">
        <v>2731</v>
      </c>
      <c r="D110" s="3089" t="s">
        <v>2732</v>
      </c>
      <c r="E110" s="3115">
        <v>0.1</v>
      </c>
      <c r="F110" s="3115">
        <v>15</v>
      </c>
    </row>
    <row r="111" spans="1:6" ht="24">
      <c r="A111" s="3115">
        <v>39</v>
      </c>
      <c r="B111" s="3765"/>
      <c r="C111" s="3115" t="s">
        <v>2733</v>
      </c>
      <c r="D111" s="3089" t="s">
        <v>2734</v>
      </c>
      <c r="E111" s="3115">
        <v>0.1</v>
      </c>
      <c r="F111" s="3115">
        <v>15</v>
      </c>
    </row>
    <row r="112" spans="1:6" ht="24">
      <c r="A112" s="3115">
        <v>40</v>
      </c>
      <c r="B112" s="3774"/>
      <c r="C112" s="3115" t="s">
        <v>2735</v>
      </c>
      <c r="D112" s="3089" t="s">
        <v>2736</v>
      </c>
      <c r="E112" s="3115">
        <v>0.1</v>
      </c>
      <c r="F112" s="3115">
        <v>15</v>
      </c>
    </row>
    <row r="113" spans="1:6" ht="13.5">
      <c r="A113" s="3115">
        <v>41</v>
      </c>
      <c r="B113" s="3775" t="s">
        <v>2737</v>
      </c>
      <c r="C113" s="3115" t="s">
        <v>2738</v>
      </c>
      <c r="D113" s="3089" t="s">
        <v>2739</v>
      </c>
      <c r="E113" s="3115">
        <v>0.1</v>
      </c>
      <c r="F113" s="3115">
        <v>15</v>
      </c>
    </row>
    <row r="114" spans="1:6" ht="13.5">
      <c r="A114" s="3115">
        <v>42</v>
      </c>
      <c r="B114" s="3775"/>
      <c r="C114" s="3115" t="s">
        <v>2740</v>
      </c>
      <c r="D114" s="3089" t="s">
        <v>2741</v>
      </c>
      <c r="E114" s="3115">
        <v>0.1</v>
      </c>
      <c r="F114" s="3115">
        <v>15</v>
      </c>
    </row>
    <row r="115" spans="1:6" ht="24">
      <c r="A115" s="3115">
        <v>43</v>
      </c>
      <c r="B115" s="3775"/>
      <c r="C115" s="3115" t="s">
        <v>2742</v>
      </c>
      <c r="D115" s="3089" t="s">
        <v>2743</v>
      </c>
      <c r="E115" s="3115">
        <v>0.1</v>
      </c>
      <c r="F115" s="3115">
        <v>15</v>
      </c>
    </row>
    <row r="116" spans="1:6" ht="13.5">
      <c r="A116" s="3115">
        <v>44</v>
      </c>
      <c r="B116" s="3770" t="s">
        <v>2744</v>
      </c>
      <c r="C116" s="3115" t="s">
        <v>2745</v>
      </c>
      <c r="D116" s="3089" t="s">
        <v>2746</v>
      </c>
      <c r="E116" s="3115">
        <v>0.1</v>
      </c>
      <c r="F116" s="3115">
        <v>15</v>
      </c>
    </row>
    <row r="117" spans="1:6" ht="24">
      <c r="A117" s="3115">
        <v>45</v>
      </c>
      <c r="B117" s="3774"/>
      <c r="C117" s="3089" t="s">
        <v>2747</v>
      </c>
      <c r="D117" s="3089" t="s">
        <v>2748</v>
      </c>
      <c r="E117" s="3115">
        <v>0.1</v>
      </c>
      <c r="F117" s="3115">
        <v>15</v>
      </c>
    </row>
    <row r="118" spans="1:6" ht="24">
      <c r="A118" s="3115">
        <v>46</v>
      </c>
      <c r="B118" s="3770" t="s">
        <v>2749</v>
      </c>
      <c r="C118" s="3115" t="s">
        <v>2750</v>
      </c>
      <c r="D118" s="3089" t="s">
        <v>2751</v>
      </c>
      <c r="E118" s="3115">
        <v>0.1</v>
      </c>
      <c r="F118" s="3115">
        <v>15</v>
      </c>
    </row>
    <row r="119" spans="1:6" ht="24">
      <c r="A119" s="3115">
        <v>47</v>
      </c>
      <c r="B119" s="3774"/>
      <c r="C119" s="3115" t="s">
        <v>2752</v>
      </c>
      <c r="D119" s="3089" t="s">
        <v>2753</v>
      </c>
      <c r="E119" s="3115">
        <v>0.1</v>
      </c>
      <c r="F119" s="3115">
        <v>15</v>
      </c>
    </row>
    <row r="120" spans="1:6" ht="13.5">
      <c r="A120" s="3115">
        <v>48</v>
      </c>
      <c r="B120" s="3770" t="s">
        <v>2754</v>
      </c>
      <c r="C120" s="3115" t="s">
        <v>2755</v>
      </c>
      <c r="D120" s="3089" t="s">
        <v>2756</v>
      </c>
      <c r="E120" s="3115">
        <v>0.1</v>
      </c>
      <c r="F120" s="3115">
        <v>15</v>
      </c>
    </row>
    <row r="121" spans="1:6" ht="13.5">
      <c r="A121" s="3115">
        <v>49</v>
      </c>
      <c r="B121" s="3774"/>
      <c r="C121" s="3115" t="s">
        <v>2757</v>
      </c>
      <c r="D121" s="3089" t="s">
        <v>2758</v>
      </c>
      <c r="E121" s="3115">
        <v>0.1</v>
      </c>
      <c r="F121" s="3115">
        <v>15</v>
      </c>
    </row>
    <row r="122" spans="1:6" ht="24">
      <c r="A122" s="3115">
        <v>50</v>
      </c>
      <c r="B122" s="3775" t="s">
        <v>2759</v>
      </c>
      <c r="C122" s="3115" t="s">
        <v>2760</v>
      </c>
      <c r="D122" s="3089" t="s">
        <v>2761</v>
      </c>
      <c r="E122" s="3115">
        <v>0.1</v>
      </c>
      <c r="F122" s="3115">
        <v>15</v>
      </c>
    </row>
    <row r="123" spans="1:6" ht="24">
      <c r="A123" s="3115">
        <v>51</v>
      </c>
      <c r="B123" s="3775"/>
      <c r="C123" s="3115" t="s">
        <v>2762</v>
      </c>
      <c r="D123" s="3089" t="s">
        <v>2763</v>
      </c>
      <c r="E123" s="3115">
        <v>0.1</v>
      </c>
      <c r="F123" s="3115">
        <v>15</v>
      </c>
    </row>
    <row r="124" spans="1:6" ht="24">
      <c r="A124" s="3115">
        <v>52</v>
      </c>
      <c r="B124" s="3775" t="s">
        <v>2764</v>
      </c>
      <c r="C124" s="3115" t="s">
        <v>2765</v>
      </c>
      <c r="D124" s="3089" t="s">
        <v>2766</v>
      </c>
      <c r="E124" s="3115">
        <v>0.1</v>
      </c>
      <c r="F124" s="3115">
        <v>15</v>
      </c>
    </row>
    <row r="125" spans="1:6" ht="24">
      <c r="A125" s="3115">
        <v>53</v>
      </c>
      <c r="B125" s="3775"/>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5" t="s">
        <v>2772</v>
      </c>
      <c r="C127" s="3115" t="s">
        <v>2773</v>
      </c>
      <c r="D127" s="3089" t="s">
        <v>2774</v>
      </c>
      <c r="E127" s="3115">
        <v>0.1</v>
      </c>
      <c r="F127" s="3115">
        <v>15</v>
      </c>
    </row>
    <row r="128" spans="1:6" ht="13.5">
      <c r="A128" s="3115">
        <v>56</v>
      </c>
      <c r="B128" s="3775"/>
      <c r="C128" s="3115" t="s">
        <v>2775</v>
      </c>
      <c r="D128" s="3089" t="s">
        <v>2776</v>
      </c>
      <c r="E128" s="3115">
        <v>0.1</v>
      </c>
      <c r="F128" s="3115">
        <v>15</v>
      </c>
    </row>
    <row r="129" spans="1:6" ht="24">
      <c r="A129" s="3115">
        <v>57</v>
      </c>
      <c r="B129" s="3775"/>
      <c r="C129" s="3115" t="s">
        <v>2777</v>
      </c>
      <c r="D129" s="3089" t="s">
        <v>2778</v>
      </c>
      <c r="E129" s="3115">
        <v>0.1</v>
      </c>
      <c r="F129" s="3115">
        <v>15</v>
      </c>
    </row>
    <row r="130" spans="1:6" ht="24">
      <c r="A130" s="3115">
        <v>58</v>
      </c>
      <c r="B130" s="3775" t="s">
        <v>2779</v>
      </c>
      <c r="C130" s="3115" t="s">
        <v>2780</v>
      </c>
      <c r="D130" s="3089" t="s">
        <v>2781</v>
      </c>
      <c r="E130" s="3115">
        <v>0.1</v>
      </c>
      <c r="F130" s="3115">
        <v>15</v>
      </c>
    </row>
    <row r="131" spans="1:6" ht="13.5">
      <c r="A131" s="3115">
        <v>59</v>
      </c>
      <c r="B131" s="3775"/>
      <c r="C131" s="3115" t="s">
        <v>2782</v>
      </c>
      <c r="D131" s="3089" t="s">
        <v>2783</v>
      </c>
      <c r="E131" s="3115">
        <v>0.1</v>
      </c>
      <c r="F131" s="3115">
        <v>15</v>
      </c>
    </row>
    <row r="132" spans="1:6" ht="13.5">
      <c r="A132" s="3115">
        <v>60</v>
      </c>
      <c r="B132" s="3770" t="s">
        <v>2784</v>
      </c>
      <c r="C132" s="3115" t="s">
        <v>2785</v>
      </c>
      <c r="D132" s="3089" t="s">
        <v>2786</v>
      </c>
      <c r="E132" s="3115">
        <v>0.1</v>
      </c>
      <c r="F132" s="3115">
        <v>15</v>
      </c>
    </row>
    <row r="133" spans="1:6" ht="13.5">
      <c r="A133" s="3115">
        <v>61</v>
      </c>
      <c r="B133" s="3774"/>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5" t="s">
        <v>2792</v>
      </c>
      <c r="C135" s="3115" t="s">
        <v>2793</v>
      </c>
      <c r="D135" s="3089" t="s">
        <v>2794</v>
      </c>
      <c r="E135" s="3115">
        <v>0.1</v>
      </c>
      <c r="F135" s="3115">
        <v>15</v>
      </c>
    </row>
    <row r="136" spans="1:6" ht="13.5">
      <c r="A136" s="3115">
        <v>64</v>
      </c>
      <c r="B136" s="3775"/>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1.2501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1.1839999999999999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27671</v>
      </c>
      <c r="E5" s="1491"/>
    </row>
    <row r="6" spans="1:5" ht="15.75">
      <c r="A6" s="1491"/>
      <c r="B6" s="3458"/>
      <c r="C6" s="1494" t="s">
        <v>911</v>
      </c>
      <c r="D6" s="850" t="str">
        <f ca="1">NUMBERSTRING(INT(D5*10000),2)&amp;"元整"</f>
        <v>贰亿柒仟陆佰柒拾壹万元整</v>
      </c>
      <c r="E6" s="1491"/>
    </row>
    <row r="7" spans="1:5" ht="15.75">
      <c r="A7" s="1491"/>
      <c r="B7" s="3463"/>
      <c r="C7" s="1495" t="s">
        <v>912</v>
      </c>
      <c r="D7" s="851">
        <f ca="1">结果表!H102</f>
        <v>35484</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27671</v>
      </c>
      <c r="E13" s="1491"/>
    </row>
    <row r="14" spans="1:5" ht="15.75">
      <c r="A14" s="1491"/>
      <c r="B14" s="3458"/>
      <c r="C14" s="1494" t="s">
        <v>911</v>
      </c>
      <c r="D14" s="850" t="str">
        <f ca="1">NUMBERSTRING(INT(D13*10000),2)&amp;"元整"</f>
        <v>贰亿柒仟陆佰柒拾壹万元整</v>
      </c>
      <c r="E14" s="1491"/>
    </row>
    <row r="15" spans="1:5" ht="15">
      <c r="A15" s="1491"/>
      <c r="B15" s="3463"/>
      <c r="C15" s="1495" t="s">
        <v>921</v>
      </c>
      <c r="D15" s="859">
        <f ca="1">结果表!H108</f>
        <v>35484</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30842</v>
      </c>
      <c r="C2" s="2" t="s">
        <v>106</v>
      </c>
      <c r="D2" s="199"/>
      <c r="E2" s="199"/>
      <c r="F2" s="199"/>
      <c r="G2" s="199"/>
    </row>
    <row r="3" spans="1:7" s="200" customFormat="1" ht="18" customHeight="1" thickBot="1">
      <c r="A3" s="203" t="s">
        <v>58</v>
      </c>
      <c r="B3" s="204">
        <f ca="1">ROUND(B2*10000/'数据-汇总表'!E3,0)</f>
        <v>39550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156</v>
      </c>
      <c r="D10" s="845">
        <f>'数据-汇总表'!E6</f>
        <v>7798.2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156</v>
      </c>
      <c r="D19" s="849">
        <f>'数据-汇总表'!E3</f>
        <v>7798.2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1095</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3177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3382</v>
      </c>
      <c r="D34" s="217"/>
      <c r="E34" s="220"/>
      <c r="F34" s="257">
        <f>IF('数据-取费表'!B24=0,1,'数据-取费表'!N16)</f>
        <v>1</v>
      </c>
      <c r="G34" s="219" t="s">
        <v>89</v>
      </c>
    </row>
    <row r="35" spans="1:7" ht="13.5" customHeight="1">
      <c r="A35" s="780" t="s">
        <v>351</v>
      </c>
      <c r="B35" s="215" t="s">
        <v>33</v>
      </c>
      <c r="C35" s="220">
        <f>ROUND(C34*F35,0)</f>
        <v>169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156</v>
      </c>
      <c r="D37" s="217">
        <f>'数据-汇总表'!E3</f>
        <v>7798.2</v>
      </c>
      <c r="E37" s="249">
        <f>'数据-取费表'!B35</f>
        <v>200</v>
      </c>
      <c r="F37" s="259"/>
      <c r="G37" s="261" t="s">
        <v>92</v>
      </c>
    </row>
    <row r="38" spans="1:7" ht="13.5" customHeight="1">
      <c r="A38" s="780" t="s">
        <v>354</v>
      </c>
      <c r="B38" s="215" t="s">
        <v>36</v>
      </c>
      <c r="C38" s="220">
        <f>ROUND(C34*F38,0)</f>
        <v>51</v>
      </c>
      <c r="D38" s="220"/>
      <c r="E38" s="220"/>
      <c r="F38" s="259">
        <f>'数据-取费表'!B36</f>
        <v>1.4999999999999999E-2</v>
      </c>
      <c r="G38" s="219" t="s">
        <v>90</v>
      </c>
    </row>
    <row r="39" spans="1:7" s="214" customFormat="1" ht="13.5" customHeight="1">
      <c r="A39" s="777" t="s">
        <v>338</v>
      </c>
      <c r="B39" s="210" t="s">
        <v>77</v>
      </c>
      <c r="C39" s="232">
        <f>ROUND(C33*F20,0)</f>
        <v>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97</v>
      </c>
      <c r="D42" s="238"/>
      <c r="E42" s="238"/>
      <c r="F42" s="239"/>
      <c r="G42" s="3640" t="s">
        <v>94</v>
      </c>
    </row>
    <row r="43" spans="1:7" ht="13.5" customHeight="1">
      <c r="A43" s="780" t="s">
        <v>347</v>
      </c>
      <c r="B43" s="215" t="s">
        <v>426</v>
      </c>
      <c r="C43" s="238">
        <f ca="1">ROUND(IF('数据-取费表'!B22&lt;=1,C39*F22*'数据-取费表'!B21/2,C39*(POWER((1+F22),'数据-取费表'!B21/2)-1)),0)</f>
        <v>2</v>
      </c>
      <c r="D43" s="238"/>
      <c r="E43" s="238"/>
      <c r="F43" s="239"/>
      <c r="G43" s="3641"/>
    </row>
    <row r="44" spans="1:7" ht="13.5" customHeight="1">
      <c r="A44" s="780"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7" t="s">
        <v>341</v>
      </c>
      <c r="B45" s="244" t="s">
        <v>85</v>
      </c>
      <c r="C45" s="245">
        <f>C46</f>
        <v>575</v>
      </c>
      <c r="D45" s="235">
        <f>C47</f>
        <v>3.0000000000000001E-3</v>
      </c>
      <c r="E45" s="236" t="s">
        <v>102</v>
      </c>
      <c r="F45" s="246"/>
      <c r="G45" s="247" t="s">
        <v>434</v>
      </c>
    </row>
    <row r="46" spans="1:7" s="214" customFormat="1" ht="13.5" customHeight="1">
      <c r="A46" s="780" t="s">
        <v>349</v>
      </c>
      <c r="B46" s="248" t="s">
        <v>427</v>
      </c>
      <c r="C46" s="249">
        <f>ROUND((C33+C39)*F27,0)</f>
        <v>575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4882</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3271</v>
      </c>
      <c r="D51" s="232"/>
      <c r="E51" s="232"/>
      <c r="F51" s="264"/>
      <c r="G51" s="234" t="s">
        <v>37</v>
      </c>
    </row>
    <row r="52" spans="1:7" s="208" customFormat="1" ht="16.5" thickBot="1">
      <c r="A52" s="265" t="s">
        <v>38</v>
      </c>
      <c r="B52" s="266"/>
      <c r="C52" s="267">
        <f ca="1">C31+C51</f>
        <v>30842</v>
      </c>
      <c r="D52" s="266"/>
      <c r="E52" s="266"/>
      <c r="F52" s="266"/>
      <c r="G52" s="268"/>
    </row>
    <row r="55" spans="1:7" ht="15">
      <c r="B55" s="270" t="s">
        <v>39</v>
      </c>
      <c r="C55" s="271"/>
    </row>
    <row r="56" spans="1:7">
      <c r="B56" s="273" t="s">
        <v>40</v>
      </c>
      <c r="C56" s="274">
        <f ca="1">ROUND(C51/C52,3)</f>
        <v>0.106</v>
      </c>
    </row>
    <row r="57" spans="1:7">
      <c r="B57" s="273" t="s">
        <v>41</v>
      </c>
      <c r="C57" s="275">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8" t="s">
        <v>2842</v>
      </c>
      <c r="B1" s="3778"/>
      <c r="C1" s="3778"/>
      <c r="D1" s="3778"/>
      <c r="E1" s="3778"/>
      <c r="F1" s="3778"/>
      <c r="G1" s="377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6"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0" t="s">
        <v>3184</v>
      </c>
      <c r="B1" s="3780"/>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1" t="s">
        <v>3235</v>
      </c>
      <c r="B1" s="3781"/>
      <c r="C1" s="3781"/>
      <c r="D1" s="3781"/>
      <c r="E1" s="3781"/>
      <c r="F1" s="378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60" sqref="I60"/>
    </sheetView>
  </sheetViews>
  <sheetFormatPr defaultRowHeight="13.5"/>
  <cols>
    <col min="1" max="1" width="13.875" customWidth="1"/>
    <col min="11" max="17" width="0" hidden="1" customWidth="1"/>
    <col min="25" max="30" width="0" hidden="1" customWidth="1"/>
  </cols>
  <sheetData>
    <row r="1" spans="1:30">
      <c r="A1" s="3218">
        <f>基准地价修正!G23</f>
        <v>45264</v>
      </c>
      <c r="B1" s="3207" t="s">
        <v>3375</v>
      </c>
      <c r="C1" s="3208"/>
      <c r="D1" s="3208"/>
      <c r="E1" s="3208"/>
      <c r="F1" s="3208"/>
      <c r="G1" s="3208"/>
      <c r="H1" s="3208"/>
      <c r="I1" s="3208"/>
      <c r="J1" s="3162"/>
      <c r="K1" s="3208" t="s">
        <v>454</v>
      </c>
      <c r="L1" s="3208"/>
      <c r="M1" s="3208"/>
      <c r="N1" s="3208"/>
      <c r="O1" s="3208"/>
      <c r="P1" s="3208"/>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3379</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3380</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3381</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3373</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3372</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3371</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3367</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3358</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3" t="s">
        <v>3369</v>
      </c>
    </row>
    <row r="21" spans="1:30" s="3006" customFormat="1">
      <c r="I21" s="3205" t="s">
        <v>2828</v>
      </c>
    </row>
    <row r="22" spans="1:30" s="3006" customFormat="1"/>
    <row r="23" spans="1:30" s="3206" customFormat="1" ht="12.75">
      <c r="B23" s="3207" t="s">
        <v>3376</v>
      </c>
      <c r="C23" s="3208"/>
      <c r="D23" s="3208"/>
      <c r="E23" s="3208"/>
      <c r="F23" s="3208"/>
      <c r="G23" s="3208"/>
      <c r="H23" s="3208"/>
      <c r="I23" s="3208"/>
      <c r="J23" s="3162"/>
      <c r="K23" s="3208" t="s">
        <v>2829</v>
      </c>
      <c r="L23" s="3208"/>
      <c r="M23" s="3208"/>
      <c r="N23" s="3208"/>
      <c r="O23" s="3208"/>
      <c r="P23" s="3208"/>
      <c r="Q23" s="3162"/>
      <c r="R23" s="3783" t="s">
        <v>2830</v>
      </c>
      <c r="S23" s="3784"/>
      <c r="T23" s="3784"/>
      <c r="U23" s="3784"/>
      <c r="V23" s="3784"/>
      <c r="W23" s="3784"/>
      <c r="X23" s="3162"/>
      <c r="Y23" s="3783" t="s">
        <v>2831</v>
      </c>
      <c r="Z23" s="3784"/>
      <c r="AA23" s="3784"/>
      <c r="AB23" s="3784"/>
      <c r="AC23" s="3784"/>
      <c r="AD23" s="3784"/>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3379</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3380</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3381</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3377</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3378</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3372</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3371</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3368</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3358</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45264</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2312</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5:K23"/>
  <sheetViews>
    <sheetView workbookViewId="0">
      <selection activeCell="C45" sqref="C45"/>
    </sheetView>
  </sheetViews>
  <sheetFormatPr defaultRowHeight="13.5"/>
  <cols>
    <col min="10" max="10" width="13.875" customWidth="1"/>
  </cols>
  <sheetData>
    <row r="15" spans="10:11">
      <c r="J15" s="3449"/>
      <c r="K15" s="3449" t="s">
        <v>3441</v>
      </c>
    </row>
    <row r="16" spans="10:11">
      <c r="J16" s="3449" t="s">
        <v>3442</v>
      </c>
      <c r="K16" s="3449">
        <v>3.8</v>
      </c>
    </row>
    <row r="17" spans="10:11">
      <c r="J17" s="3449" t="s">
        <v>3443</v>
      </c>
      <c r="K17" s="3449" t="s">
        <v>3447</v>
      </c>
    </row>
    <row r="18" spans="10:11">
      <c r="J18" s="3449" t="s">
        <v>3444</v>
      </c>
      <c r="K18" s="3449">
        <v>5</v>
      </c>
    </row>
    <row r="19" spans="10:11">
      <c r="J19" s="3449" t="s">
        <v>3445</v>
      </c>
      <c r="K19" s="3450" t="s">
        <v>3448</v>
      </c>
    </row>
    <row r="20" spans="10:11">
      <c r="J20" s="3449" t="s">
        <v>3446</v>
      </c>
      <c r="K20" s="3449">
        <v>5</v>
      </c>
    </row>
    <row r="21" spans="10:11">
      <c r="J21" s="3449" t="s">
        <v>3449</v>
      </c>
      <c r="K21" s="3449" t="s">
        <v>3452</v>
      </c>
    </row>
    <row r="22" spans="10:11">
      <c r="J22" s="3449" t="s">
        <v>3450</v>
      </c>
      <c r="K22" s="3449">
        <v>4.2</v>
      </c>
    </row>
    <row r="23" spans="10:11">
      <c r="J23" s="3449" t="s">
        <v>3451</v>
      </c>
      <c r="K23" s="3449">
        <v>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7798.2</v>
      </c>
      <c r="C4" s="854">
        <f>项目基本情况!C18</f>
        <v>6720</v>
      </c>
      <c r="D4" s="854">
        <f ca="1">结果表!D118</f>
        <v>25374</v>
      </c>
      <c r="E4" s="854">
        <f ca="1">结果表!E118</f>
        <v>32538</v>
      </c>
      <c r="F4" s="854">
        <f ca="1">结果表!F118</f>
        <v>2297</v>
      </c>
      <c r="G4" s="854">
        <f ca="1">结果表!G118</f>
        <v>2946</v>
      </c>
      <c r="H4" s="854">
        <f ca="1">结果表!H118</f>
        <v>27671</v>
      </c>
      <c r="I4" s="854">
        <f ca="1">结果表!I118</f>
        <v>35484</v>
      </c>
    </row>
    <row r="5" spans="1:9" ht="30" customHeight="1">
      <c r="A5" s="3469" t="s">
        <v>927</v>
      </c>
      <c r="B5" s="3469"/>
      <c r="C5" s="3469"/>
      <c r="D5" s="3469" t="str">
        <f ca="1">结果表!D119</f>
        <v>贰亿伍仟叁佰柒拾肆万元整</v>
      </c>
      <c r="E5" s="3469"/>
      <c r="F5" s="3469" t="str">
        <f ca="1">结果表!F119</f>
        <v>贰仟贰佰玖拾柒万元整</v>
      </c>
      <c r="G5" s="3469"/>
      <c r="H5" s="3469" t="str">
        <f ca="1">结果表!H119</f>
        <v>贰亿柒仟陆佰柒拾壹万元整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27671</v>
      </c>
      <c r="E8" s="3470"/>
      <c r="F8" s="3470"/>
      <c r="G8" s="3470"/>
      <c r="H8" s="3470"/>
      <c r="I8" s="3470"/>
    </row>
    <row r="9" spans="1:9" ht="15">
      <c r="A9" s="3469" t="s">
        <v>927</v>
      </c>
      <c r="B9" s="3469"/>
      <c r="C9" s="3469"/>
      <c r="D9" s="3469" t="str">
        <f ca="1">结果表!D123</f>
        <v>贰亿柒仟陆佰柒拾壹万元整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45265</v>
      </c>
      <c r="C2" s="2337" t="s">
        <v>2139</v>
      </c>
      <c r="D2" s="2337"/>
      <c r="E2" s="2337"/>
      <c r="F2" s="2333"/>
      <c r="G2" s="2333"/>
      <c r="H2" s="2333"/>
    </row>
    <row r="3" spans="1:8" ht="24" customHeight="1">
      <c r="A3" s="2338" t="s">
        <v>2140</v>
      </c>
      <c r="B3" s="2339" t="s">
        <v>2141</v>
      </c>
      <c r="C3" s="2339" t="s">
        <v>2142</v>
      </c>
      <c r="D3" s="2340" t="s">
        <v>2143</v>
      </c>
      <c r="E3" s="2341" t="s">
        <v>2144</v>
      </c>
      <c r="F3" s="1304" t="s">
        <v>2145</v>
      </c>
      <c r="G3" s="2339" t="s">
        <v>2142</v>
      </c>
      <c r="H3" s="2340" t="s">
        <v>2146</v>
      </c>
    </row>
    <row r="4" spans="1:8" ht="24" customHeight="1">
      <c r="A4" s="1304" t="s">
        <v>2147</v>
      </c>
      <c r="B4" s="1304">
        <f ca="1">IF(C4&lt;B2,"已过期",1119970066)</f>
        <v>1119970066</v>
      </c>
      <c r="C4" s="2342">
        <v>45937</v>
      </c>
      <c r="D4" s="2343" t="str">
        <f ca="1">A4&amp;"（注册号："&amp;B4&amp;"）"</f>
        <v>梁津（注册号：1119970066）</v>
      </c>
      <c r="E4" s="2344" t="s">
        <v>2147</v>
      </c>
      <c r="F4" s="1304">
        <f ca="1">IF(G4&lt;B2,"已过期",96010014)</f>
        <v>96010014</v>
      </c>
      <c r="G4" s="2345">
        <v>47118</v>
      </c>
      <c r="H4" s="2346" t="str">
        <f ca="1">E4&amp;"（注册号："&amp;F4&amp;"）"</f>
        <v>梁津（注册号：96010014）</v>
      </c>
    </row>
    <row r="5" spans="1:8" ht="24" customHeight="1">
      <c r="A5" s="1304" t="s">
        <v>2148</v>
      </c>
      <c r="B5" s="1304">
        <f ca="1">IF(C5&lt;B2,"已过期",1119970111)</f>
        <v>1119970111</v>
      </c>
      <c r="C5" s="2342">
        <v>45937</v>
      </c>
      <c r="D5" s="2343" t="str">
        <f t="shared" ref="D5:D15" ca="1" si="0">A5&amp;"（注册号："&amp;B5&amp;"）"</f>
        <v>叶凌（注册号：1119970111）</v>
      </c>
      <c r="E5" s="2344" t="s">
        <v>2148</v>
      </c>
      <c r="F5" s="1304">
        <f ca="1">IF(G5&lt;B2,"已过期",94010078)</f>
        <v>94010078</v>
      </c>
      <c r="G5" s="2345">
        <v>46387</v>
      </c>
      <c r="H5" s="2346" t="str">
        <f t="shared" ref="H5:H16" ca="1" si="1">E5&amp;"（注册号："&amp;F5&amp;"）"</f>
        <v>叶凌（注册号：94010078）</v>
      </c>
    </row>
    <row r="6" spans="1:8" ht="24" customHeight="1">
      <c r="A6" s="1304" t="s">
        <v>2149</v>
      </c>
      <c r="B6" s="1304">
        <f ca="1">IF(C6&lt;B2,"已过期",1120050019)</f>
        <v>1120050019</v>
      </c>
      <c r="C6" s="2342">
        <v>45410</v>
      </c>
      <c r="D6" s="2343" t="str">
        <f t="shared" ca="1" si="0"/>
        <v>王鹏（注册号：1120050019）</v>
      </c>
      <c r="E6" s="2344" t="s">
        <v>2149</v>
      </c>
      <c r="F6" s="1304">
        <f ca="1">IF(G6&lt;B2,"已过期",2002110030)</f>
        <v>2002110030</v>
      </c>
      <c r="G6" s="2345">
        <v>46387</v>
      </c>
      <c r="H6" s="2346" t="str">
        <f t="shared" ca="1" si="1"/>
        <v>王鹏（注册号：2002110030）</v>
      </c>
    </row>
    <row r="7" spans="1:8" ht="24" customHeight="1">
      <c r="A7" s="1304" t="s">
        <v>2150</v>
      </c>
      <c r="B7" s="1304">
        <f ca="1">IF(C7&lt;B2,"已过期",1120000080)</f>
        <v>1120000080</v>
      </c>
      <c r="C7" s="2342">
        <v>45937</v>
      </c>
      <c r="D7" s="2343" t="str">
        <f t="shared" ca="1" si="0"/>
        <v>欧红伟（注册号：1120000080）</v>
      </c>
      <c r="E7" s="2344" t="s">
        <v>2150</v>
      </c>
      <c r="F7" s="1304">
        <f ca="1">IF(G7&lt;B2,"已过期",2000110082)</f>
        <v>2000110082</v>
      </c>
      <c r="G7" s="2345">
        <v>46387</v>
      </c>
      <c r="H7" s="2346" t="str">
        <f t="shared" ca="1" si="1"/>
        <v>欧红伟（注册号：2000110082）</v>
      </c>
    </row>
    <row r="8" spans="1:8" ht="24" customHeight="1">
      <c r="A8" s="1304" t="s">
        <v>2151</v>
      </c>
      <c r="B8" s="1304">
        <f ca="1">IF(C8&lt;B2,"已过期",1419970001)</f>
        <v>1419970001</v>
      </c>
      <c r="C8" s="2342">
        <v>45937</v>
      </c>
      <c r="D8" s="2343" t="str">
        <f t="shared" ca="1" si="0"/>
        <v>吴薇（注册号：1419970001）</v>
      </c>
      <c r="E8" s="2344" t="s">
        <v>2151</v>
      </c>
      <c r="F8" s="1304">
        <f ca="1">IF(G8&lt;B2,"已过期",2002110125)</f>
        <v>2002110125</v>
      </c>
      <c r="G8" s="2345">
        <v>47118</v>
      </c>
      <c r="H8" s="2346" t="str">
        <f t="shared" ca="1" si="1"/>
        <v>吴薇（注册号：2002110125）</v>
      </c>
    </row>
    <row r="9" spans="1:8" ht="24" customHeight="1">
      <c r="A9" s="1304" t="s">
        <v>2152</v>
      </c>
      <c r="B9" s="1304">
        <f ca="1">IF(C9&lt;B2,"已过期",1120060040)</f>
        <v>1120060040</v>
      </c>
      <c r="C9" s="2347">
        <v>45592</v>
      </c>
      <c r="D9" s="2343" t="str">
        <f t="shared" ca="1" si="0"/>
        <v>陈颖（注册号：1120060040）</v>
      </c>
      <c r="E9" s="2344" t="s">
        <v>2152</v>
      </c>
      <c r="F9" s="1304">
        <f ca="1">IF(G9&lt;B2,"已过期",2004110096)</f>
        <v>2004110096</v>
      </c>
      <c r="G9" s="2345">
        <v>47118</v>
      </c>
      <c r="H9" s="2346" t="str">
        <f t="shared" ca="1" si="1"/>
        <v>陈颖（注册号：2004110096）</v>
      </c>
    </row>
    <row r="10" spans="1:8" ht="24" customHeight="1">
      <c r="A10" s="1304" t="s">
        <v>2153</v>
      </c>
      <c r="B10" s="1304">
        <f ca="1">IF(C10&lt;B2,"已过期",1120100036)</f>
        <v>1120100036</v>
      </c>
      <c r="C10" s="2347">
        <v>45752</v>
      </c>
      <c r="D10" s="2343" t="str">
        <f t="shared" ca="1" si="0"/>
        <v>崔锴（注册号：1120100036）</v>
      </c>
      <c r="E10" s="2344" t="s">
        <v>2153</v>
      </c>
      <c r="F10" s="1304">
        <f ca="1">IF(G10&lt;B2,"已过期",2010110070)</f>
        <v>2010110070</v>
      </c>
      <c r="G10" s="2345">
        <v>47907</v>
      </c>
      <c r="H10" s="2346" t="str">
        <f t="shared" ca="1" si="1"/>
        <v>崔锴（注册号：2010110070）</v>
      </c>
    </row>
    <row r="11" spans="1:8" ht="24" customHeight="1">
      <c r="A11" s="1304" t="s">
        <v>2154</v>
      </c>
      <c r="B11" s="1304">
        <f ca="1">IF(C11&lt;B2,"已过期",1120070131)</f>
        <v>1120070131</v>
      </c>
      <c r="C11" s="2342">
        <v>45937</v>
      </c>
      <c r="D11" s="2343" t="str">
        <f t="shared" ca="1" si="0"/>
        <v>郑燚（注册号：1120070131）</v>
      </c>
      <c r="E11" s="2344" t="s">
        <v>2154</v>
      </c>
      <c r="F11" s="1304">
        <f ca="1">IF(G11&lt;B2,"已过期",2014110011)</f>
        <v>2014110011</v>
      </c>
      <c r="G11" s="2345">
        <v>49302</v>
      </c>
      <c r="H11" s="2346" t="str">
        <f t="shared" ca="1" si="1"/>
        <v>郑燚（注册号：2014110011）</v>
      </c>
    </row>
    <row r="12" spans="1:8" ht="24" customHeight="1">
      <c r="A12" s="1304" t="s">
        <v>2155</v>
      </c>
      <c r="B12" s="1304">
        <f ca="1">IF(C12&lt;B2,"已过期",1120040230)</f>
        <v>1120040230</v>
      </c>
      <c r="C12" s="2347">
        <v>45937</v>
      </c>
      <c r="D12" s="2343" t="str">
        <f t="shared" ca="1" si="0"/>
        <v>苏海（注册号：1120040230）</v>
      </c>
      <c r="E12" s="2344" t="s">
        <v>2155</v>
      </c>
      <c r="F12" s="1304">
        <f ca="1">IF(G12&lt;B2,"已过期",98030020)</f>
        <v>98030020</v>
      </c>
      <c r="G12" s="2345">
        <v>47118</v>
      </c>
      <c r="H12" s="2346" t="str">
        <f t="shared" ca="1" si="1"/>
        <v>苏海（注册号：98030020）</v>
      </c>
    </row>
    <row r="13" spans="1:8" ht="24" customHeight="1">
      <c r="A13" s="1304" t="s">
        <v>2156</v>
      </c>
      <c r="B13" s="1304">
        <f ca="1">IF(C13&lt;B2,"已过期",1120020033)</f>
        <v>1120020033</v>
      </c>
      <c r="C13" s="2342">
        <v>45375</v>
      </c>
      <c r="D13" s="2343" t="str">
        <f t="shared" ca="1" si="0"/>
        <v>刘敬东（注册号：1120020033）</v>
      </c>
      <c r="E13" s="2344" t="s">
        <v>2156</v>
      </c>
      <c r="F13" s="1304">
        <f ca="1">IF(G13&lt;B2,"已过期",2000110137)</f>
        <v>2000110137</v>
      </c>
      <c r="G13" s="2345">
        <v>46387</v>
      </c>
      <c r="H13" s="2346" t="str">
        <f t="shared" ca="1" si="1"/>
        <v>刘敬东（注册号：2000110137）</v>
      </c>
    </row>
    <row r="14" spans="1:8" ht="24" customHeight="1">
      <c r="A14" s="1304" t="s">
        <v>2157</v>
      </c>
      <c r="B14" s="1304" t="str">
        <f ca="1">IF(C14&lt;B2,"已过期",1119980106)</f>
        <v>已过期</v>
      </c>
      <c r="C14" s="2347">
        <v>44969</v>
      </c>
      <c r="D14" s="2343" t="str">
        <f t="shared" ca="1" si="0"/>
        <v>刘俊财（注册号：已过期）</v>
      </c>
      <c r="E14" s="2344" t="s">
        <v>2157</v>
      </c>
      <c r="F14" s="1304">
        <f ca="1">IF(G14&lt;B2,"已过期",96010063)</f>
        <v>96010063</v>
      </c>
      <c r="G14" s="2345">
        <v>47483</v>
      </c>
      <c r="H14" s="2346" t="str">
        <f t="shared" ca="1" si="1"/>
        <v>刘俊财（注册号：96010063）</v>
      </c>
    </row>
    <row r="15" spans="1:8" ht="24" customHeight="1">
      <c r="A15" s="1304" t="s">
        <v>2440</v>
      </c>
      <c r="B15" s="1304">
        <v>1120210056</v>
      </c>
      <c r="C15" s="2347">
        <v>45410</v>
      </c>
      <c r="D15" s="2343" t="str">
        <f t="shared" si="0"/>
        <v>宁小鳗（注册号：1120210056）</v>
      </c>
      <c r="E15" s="2344" t="s">
        <v>2158</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0"/>
      <c r="E18" s="3495" t="s">
        <v>2161</v>
      </c>
      <c r="F18" s="3494"/>
      <c r="G18" s="3494"/>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2023-12-05T10:44:56Z</dcterms:modified>
</cp:coreProperties>
</file>