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920" windowHeight="9600" tabRatio="899" firstSheet="9"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V52" i="21" l="1"/>
  <c r="T52" i="21"/>
  <c r="R52" i="21"/>
  <c r="G22" i="78" l="1"/>
  <c r="F19" i="6" l="1"/>
  <c r="I13" i="3"/>
  <c r="I27" i="21" l="1"/>
  <c r="I45" i="21"/>
  <c r="I44" i="21"/>
  <c r="G44" i="21"/>
  <c r="G27" i="21"/>
  <c r="E45" i="21"/>
  <c r="E44" i="21"/>
  <c r="I41" i="21"/>
  <c r="G41" i="21"/>
  <c r="E41" i="21"/>
  <c r="E27" i="21"/>
  <c r="I7" i="21"/>
  <c r="G7" i="21"/>
  <c r="E7" i="21"/>
  <c r="C27" i="21"/>
  <c r="C45" i="21"/>
  <c r="C41" i="21"/>
  <c r="C6" i="21" l="1"/>
  <c r="D3" i="4" l="1"/>
  <c r="AB7" i="71" l="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5" i="71"/>
  <c r="P15" i="71"/>
  <c r="O15" i="71"/>
  <c r="N15"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c r="F20" i="69"/>
  <c r="E10" i="69"/>
  <c r="E9" i="69"/>
  <c r="C7" i="69"/>
  <c r="AC21" i="37"/>
  <c r="W21" i="37"/>
  <c r="AC21" i="34"/>
  <c r="W21" i="34"/>
  <c r="AC21" i="33"/>
  <c r="W21" i="33"/>
  <c r="U21" i="21"/>
  <c r="G83" i="21"/>
  <c r="J21" i="21"/>
  <c r="W21" i="21" s="1"/>
  <c r="C40" i="69"/>
  <c r="F38" i="68"/>
  <c r="E37" i="68"/>
  <c r="F36" i="68"/>
  <c r="F35" i="68"/>
  <c r="F21" i="68"/>
  <c r="C21" i="68"/>
  <c r="F20" i="68"/>
  <c r="E10" i="68"/>
  <c r="E9" i="68"/>
  <c r="C7" i="68"/>
  <c r="C5" i="68"/>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67" i="43" s="1"/>
  <c r="C18" i="20"/>
  <c r="B71" i="43" s="1"/>
  <c r="C17" i="20"/>
  <c r="B59" i="43"/>
  <c r="C16" i="20"/>
  <c r="C17" i="39"/>
  <c r="C15" i="20"/>
  <c r="B70" i="43" s="1"/>
  <c r="E54" i="21"/>
  <c r="F54" i="21" s="1"/>
  <c r="I54" i="21"/>
  <c r="J54" i="21" s="1"/>
  <c r="G54" i="21"/>
  <c r="H54" i="21" s="1"/>
  <c r="D125" i="21"/>
  <c r="E125" i="21" s="1"/>
  <c r="F125" i="21" s="1"/>
  <c r="G125" i="21" s="1"/>
  <c r="D123" i="21"/>
  <c r="E123" i="21" s="1"/>
  <c r="F42" i="21"/>
  <c r="AA42" i="21" s="1"/>
  <c r="D119" i="21"/>
  <c r="F40" i="21"/>
  <c r="AA40" i="21" s="1"/>
  <c r="D117" i="21"/>
  <c r="E117" i="21"/>
  <c r="F117" i="21"/>
  <c r="G117" i="21"/>
  <c r="D115" i="21"/>
  <c r="E115" i="21"/>
  <c r="F115" i="21"/>
  <c r="G115" i="21"/>
  <c r="H115" i="21"/>
  <c r="I115" i="21"/>
  <c r="J115" i="21"/>
  <c r="K115" i="21"/>
  <c r="L115" i="21"/>
  <c r="M115" i="21"/>
  <c r="D113" i="21"/>
  <c r="E113" i="21" s="1"/>
  <c r="F113" i="21" s="1"/>
  <c r="G113" i="21" s="1"/>
  <c r="D110" i="21"/>
  <c r="E110" i="21"/>
  <c r="F110" i="21"/>
  <c r="G110" i="21"/>
  <c r="H110" i="21"/>
  <c r="I110" i="21"/>
  <c r="J110" i="21"/>
  <c r="K110" i="21"/>
  <c r="L110" i="21"/>
  <c r="M110" i="21"/>
  <c r="J36" i="21"/>
  <c r="AC36" i="21" s="1"/>
  <c r="D108" i="21"/>
  <c r="E108" i="21" s="1"/>
  <c r="F108" i="21" s="1"/>
  <c r="G108" i="21" s="1"/>
  <c r="H108" i="21" s="1"/>
  <c r="I108" i="21" s="1"/>
  <c r="J108" i="21" s="1"/>
  <c r="K108" i="21" s="1"/>
  <c r="L108" i="21" s="1"/>
  <c r="M108" i="21" s="1"/>
  <c r="D106" i="21"/>
  <c r="E106" i="21"/>
  <c r="F106" i="21"/>
  <c r="G106" i="21"/>
  <c r="H106" i="21"/>
  <c r="I106" i="21"/>
  <c r="J106" i="21"/>
  <c r="K106" i="21"/>
  <c r="L106" i="21"/>
  <c r="M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F19" i="21"/>
  <c r="AA19" i="21" s="1"/>
  <c r="E81" i="21"/>
  <c r="F81" i="21"/>
  <c r="G81" i="21"/>
  <c r="D77" i="21"/>
  <c r="E77" i="21"/>
  <c r="B130" i="21"/>
  <c r="B128" i="21"/>
  <c r="J45" i="21"/>
  <c r="W45" i="21" s="1"/>
  <c r="B126" i="21"/>
  <c r="B98" i="21"/>
  <c r="H31" i="21"/>
  <c r="B96" i="21"/>
  <c r="B94" i="21"/>
  <c r="J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c r="Q41" i="21"/>
  <c r="Z41" i="21"/>
  <c r="Q42" i="21"/>
  <c r="Z42" i="21"/>
  <c r="J43" i="21"/>
  <c r="AC43" i="21" s="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34" i="21"/>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AC35"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31" i="12"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s="1"/>
  <c r="E85" i="21"/>
  <c r="AC11" i="21"/>
  <c r="AA14" i="21"/>
  <c r="AB8" i="21"/>
  <c r="S8" i="21"/>
  <c r="M3" i="43"/>
  <c r="M1" i="43"/>
  <c r="N8" i="43"/>
  <c r="D120" i="9"/>
  <c r="C18" i="9"/>
  <c r="D18" i="9" s="1"/>
  <c r="F34" i="67"/>
  <c r="F62" i="67"/>
  <c r="M20" i="67"/>
  <c r="F34" i="15"/>
  <c r="F62" i="15"/>
  <c r="G13" i="3"/>
  <c r="G5" i="3" s="1"/>
  <c r="B3" i="3" s="1"/>
  <c r="E230" i="3" s="1"/>
  <c r="BA13" i="3"/>
  <c r="E10" i="6"/>
  <c r="BA5" i="3"/>
  <c r="E11" i="6"/>
  <c r="E61" i="39" s="1"/>
  <c r="BL17" i="3"/>
  <c r="AZ17" i="3"/>
  <c r="BL13" i="3"/>
  <c r="E65" i="39"/>
  <c r="G30" i="6"/>
  <c r="G31" i="6"/>
  <c r="J56" i="9"/>
  <c r="J57" i="9"/>
  <c r="A24" i="51"/>
  <c r="B18" i="72"/>
  <c r="U29" i="34"/>
  <c r="E14" i="6"/>
  <c r="E64" i="39" s="1"/>
  <c r="E5" i="6"/>
  <c r="D9" i="11" s="1"/>
  <c r="C9" i="11" s="1"/>
  <c r="E32" i="6"/>
  <c r="G1" i="68"/>
  <c r="K1" i="12"/>
  <c r="F30" i="6"/>
  <c r="E28" i="6"/>
  <c r="E30" i="6" s="1"/>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D48" i="35"/>
  <c r="C4" i="12"/>
  <c r="H66" i="43"/>
  <c r="H65" i="43"/>
  <c r="H64" i="43"/>
  <c r="H63" i="43"/>
  <c r="H55" i="43"/>
  <c r="H56" i="43"/>
  <c r="H72" i="43"/>
  <c r="L20" i="6"/>
  <c r="B6" i="1"/>
  <c r="E6" i="1" s="1"/>
  <c r="S8" i="1"/>
  <c r="AQ8" i="1" s="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W33" i="21" s="1"/>
  <c r="H33" i="21"/>
  <c r="AB33" i="21" s="1"/>
  <c r="AA26" i="21"/>
  <c r="AB14" i="21"/>
  <c r="AB46" i="21"/>
  <c r="U40" i="21"/>
  <c r="AB31" i="21"/>
  <c r="U31" i="21"/>
  <c r="AC15" i="21"/>
  <c r="U13" i="21"/>
  <c r="AB13" i="21"/>
  <c r="W8" i="21"/>
  <c r="S35" i="21"/>
  <c r="H15" i="21"/>
  <c r="U15" i="21" s="1"/>
  <c r="J17" i="21"/>
  <c r="AC17" i="21" s="1"/>
  <c r="AC19" i="21"/>
  <c r="W39" i="21"/>
  <c r="AC14" i="21"/>
  <c r="W30" i="21"/>
  <c r="S46" i="21"/>
  <c r="H45" i="21"/>
  <c r="U45" i="21" s="1"/>
  <c r="F29" i="21"/>
  <c r="S29" i="21"/>
  <c r="F13" i="21"/>
  <c r="AA13" i="21" s="1"/>
  <c r="AC38" i="21"/>
  <c r="H32" i="21"/>
  <c r="AB32" i="21" s="1"/>
  <c r="H9" i="21"/>
  <c r="U9" i="21" s="1"/>
  <c r="J9" i="21"/>
  <c r="W9" i="21" s="1"/>
  <c r="J32" i="21"/>
  <c r="W32" i="21" s="1"/>
  <c r="F32" i="21"/>
  <c r="AA32" i="21" s="1"/>
  <c r="AA31" i="21"/>
  <c r="U17"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60" i="43"/>
  <c r="B63" i="43"/>
  <c r="D23" i="15"/>
  <c r="D22" i="15"/>
  <c r="AQ13" i="1"/>
  <c r="AZ13" i="3"/>
  <c r="AZ5" i="3" s="1"/>
  <c r="E3" i="6" s="1"/>
  <c r="M6" i="1"/>
  <c r="O6" i="1" s="1"/>
  <c r="P6" i="1" s="1"/>
  <c r="F30" i="68"/>
  <c r="F30" i="11"/>
  <c r="C48" i="11"/>
  <c r="F28" i="67"/>
  <c r="F31" i="12"/>
  <c r="F52" i="9"/>
  <c r="M18" i="67"/>
  <c r="F32" i="67"/>
  <c r="F60" i="67"/>
  <c r="F30" i="69"/>
  <c r="C48" i="69"/>
  <c r="F32" i="15"/>
  <c r="F60" i="15"/>
  <c r="M18" i="15"/>
  <c r="F28" i="15"/>
  <c r="E63" i="39"/>
  <c r="T11" i="1"/>
  <c r="AQ9" i="1"/>
  <c r="AR11" i="1"/>
  <c r="C28" i="15"/>
  <c r="T9" i="1"/>
  <c r="T13" i="1"/>
  <c r="D9" i="68"/>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F85" i="21"/>
  <c r="G85" i="21"/>
  <c r="H23" i="21"/>
  <c r="S13" i="21"/>
  <c r="D6" i="52"/>
  <c r="D121" i="9"/>
  <c r="D7" i="52"/>
  <c r="K120" i="9"/>
  <c r="BL5" i="3"/>
  <c r="J59" i="9"/>
  <c r="J61" i="9"/>
  <c r="E216" i="3"/>
  <c r="E169" i="3"/>
  <c r="E185" i="3"/>
  <c r="E61" i="3"/>
  <c r="E135" i="3"/>
  <c r="E290" i="3"/>
  <c r="E161"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AP7" i="1"/>
  <c r="M7" i="1"/>
  <c r="O7" i="1" s="1"/>
  <c r="P7" i="1" s="1"/>
  <c r="H16" i="1"/>
  <c r="AC33" i="21"/>
  <c r="AA33" i="21"/>
  <c r="AC32" i="21"/>
  <c r="AB9" i="21"/>
  <c r="AC9" i="21"/>
  <c r="AA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M18" i="9"/>
  <c r="B118" i="9" s="1"/>
  <c r="B14" i="74" s="1"/>
  <c r="B1" i="74" s="1"/>
  <c r="AC11" i="37"/>
  <c r="W11" i="37"/>
  <c r="W11" i="34"/>
  <c r="AC11" i="34"/>
  <c r="M19" i="9"/>
  <c r="C118" i="9" s="1"/>
  <c r="C14" i="74" s="1"/>
  <c r="B2" i="74" s="1"/>
  <c r="R7" i="1"/>
  <c r="L19" i="9"/>
  <c r="F34" i="11"/>
  <c r="F11" i="12"/>
  <c r="C23" i="12" s="1"/>
  <c r="F34" i="68"/>
  <c r="C36" i="68" s="1"/>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H7" i="33"/>
  <c r="H112" i="9"/>
  <c r="D21" i="53"/>
  <c r="B39" i="72"/>
  <c r="H111" i="9"/>
  <c r="D126" i="9"/>
  <c r="D19" i="53"/>
  <c r="D59" i="9"/>
  <c r="M55" i="9"/>
  <c r="B38" i="72"/>
  <c r="D20" i="53"/>
  <c r="B40" i="72"/>
  <c r="I14" i="74"/>
  <c r="B8" i="74"/>
  <c r="D127" i="9"/>
  <c r="D13" i="52"/>
  <c r="D12" i="52"/>
  <c r="AD3" i="71"/>
  <c r="D63" i="40"/>
  <c r="E63" i="40" s="1"/>
  <c r="J1" i="73"/>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AC7" i="33"/>
  <c r="V48" i="33" s="1"/>
  <c r="I48" i="33" s="1"/>
  <c r="D58" i="21"/>
  <c r="C24" i="12"/>
  <c r="C48" i="68"/>
  <c r="C11" i="71"/>
  <c r="D11" i="71"/>
  <c r="D12" i="71"/>
  <c r="D13" i="71"/>
  <c r="U13" i="71"/>
  <c r="S13" i="71"/>
  <c r="T13" i="71"/>
  <c r="AB11" i="71"/>
  <c r="X9" i="71"/>
  <c r="X8" i="71"/>
  <c r="AA9" i="71"/>
  <c r="AA8" i="71"/>
  <c r="X12" i="71"/>
  <c r="Z7" i="71"/>
  <c r="Y8" i="71"/>
  <c r="Z8" i="71" s="1"/>
  <c r="AB9" i="71"/>
  <c r="AB8" i="71"/>
  <c r="S9" i="71"/>
  <c r="C94" i="9"/>
  <c r="C92" i="9"/>
  <c r="F10" i="71"/>
  <c r="F9" i="71"/>
  <c r="Y9" i="71"/>
  <c r="Z9" i="71" s="1"/>
  <c r="AB3" i="71"/>
  <c r="X3" i="71"/>
  <c r="C10" i="71"/>
  <c r="E10" i="71"/>
  <c r="E9" i="71"/>
  <c r="AF3" i="71"/>
  <c r="P24" i="43"/>
  <c r="B66" i="40" s="1"/>
  <c r="P21" i="43"/>
  <c r="P22" i="43"/>
  <c r="G20" i="43"/>
  <c r="D65" i="40"/>
  <c r="G17" i="43"/>
  <c r="C16" i="43"/>
  <c r="D5" i="43"/>
  <c r="C5" i="43"/>
  <c r="E58" i="21"/>
  <c r="F58" i="21" s="1"/>
  <c r="G58" i="21" s="1"/>
  <c r="D70" i="39"/>
  <c r="V9" i="71"/>
  <c r="P23" i="43"/>
  <c r="B71" i="39" s="1"/>
  <c r="C9" i="71"/>
  <c r="D10" i="71"/>
  <c r="P25" i="43"/>
  <c r="E65" i="40"/>
  <c r="F63" i="40"/>
  <c r="G63" i="40" s="1"/>
  <c r="E41" i="43"/>
  <c r="C41" i="43"/>
  <c r="C20" i="43"/>
  <c r="F68" i="39"/>
  <c r="E70" i="39"/>
  <c r="D7" i="71"/>
  <c r="T9" i="71"/>
  <c r="D8" i="71"/>
  <c r="D9" i="71"/>
  <c r="F65" i="40"/>
  <c r="G68" i="39"/>
  <c r="F70" i="39"/>
  <c r="M20" i="43"/>
  <c r="C19" i="43"/>
  <c r="U9" i="71"/>
  <c r="G65" i="40"/>
  <c r="H63" i="40"/>
  <c r="H68" i="39"/>
  <c r="G70" i="39"/>
  <c r="H65" i="40"/>
  <c r="I63" i="40"/>
  <c r="I68" i="39"/>
  <c r="J68" i="39" s="1"/>
  <c r="H70" i="39"/>
  <c r="I65" i="40"/>
  <c r="J63" i="40"/>
  <c r="J65" i="40" s="1"/>
  <c r="I70" i="39"/>
  <c r="K63" i="40"/>
  <c r="K65" i="40" s="1"/>
  <c r="L63" i="40"/>
  <c r="L65" i="40" s="1"/>
  <c r="M63" i="40"/>
  <c r="M65" i="40" s="1"/>
  <c r="N63" i="40"/>
  <c r="N65" i="40" s="1"/>
  <c r="O63" i="40"/>
  <c r="O65" i="40" s="1"/>
  <c r="F31" i="15"/>
  <c r="F31" i="67"/>
  <c r="AO11" i="1"/>
  <c r="AO10" i="1"/>
  <c r="E2" i="68"/>
  <c r="M24" i="67"/>
  <c r="F36" i="67"/>
  <c r="D34" i="9"/>
  <c r="F4" i="73"/>
  <c r="D5" i="73"/>
  <c r="AO8" i="1"/>
  <c r="F38" i="15"/>
  <c r="F13" i="67"/>
  <c r="M28" i="67"/>
  <c r="F7" i="67"/>
  <c r="M6" i="15"/>
  <c r="J15" i="67"/>
  <c r="E9" i="76"/>
  <c r="F16" i="67"/>
  <c r="M29" i="15"/>
  <c r="B9" i="76"/>
  <c r="M6" i="67"/>
  <c r="D2" i="35"/>
  <c r="F16" i="15"/>
  <c r="D2" i="21"/>
  <c r="M22" i="15"/>
  <c r="F35" i="67"/>
  <c r="C76" i="67"/>
  <c r="F8" i="67"/>
  <c r="AO12" i="1"/>
  <c r="M23" i="67"/>
  <c r="D2" i="37"/>
  <c r="M29" i="67"/>
  <c r="B7" i="76"/>
  <c r="F42" i="15"/>
  <c r="F43" i="67"/>
  <c r="F41" i="15"/>
  <c r="E2" i="69"/>
  <c r="B12" i="76"/>
  <c r="D7" i="73"/>
  <c r="F9" i="15"/>
  <c r="F7" i="73"/>
  <c r="M8" i="67"/>
  <c r="M27" i="67"/>
  <c r="AO7" i="1"/>
  <c r="M9" i="67"/>
  <c r="F35" i="15"/>
  <c r="AO13" i="1"/>
  <c r="F20" i="31"/>
  <c r="M23" i="15"/>
  <c r="D2" i="36"/>
  <c r="F36" i="15"/>
  <c r="F8" i="15"/>
  <c r="E13" i="76"/>
  <c r="AO6" i="1"/>
  <c r="F26" i="15"/>
  <c r="D4" i="73"/>
  <c r="E10" i="76"/>
  <c r="B13" i="76"/>
  <c r="F26" i="67"/>
  <c r="D2" i="34"/>
  <c r="B11" i="76"/>
  <c r="M26" i="67"/>
  <c r="D35" i="9"/>
  <c r="C76" i="15"/>
  <c r="E8" i="76"/>
  <c r="F6" i="15"/>
  <c r="M27" i="15"/>
  <c r="L48" i="15"/>
  <c r="F42" i="67"/>
  <c r="E7" i="76"/>
  <c r="F3" i="73"/>
  <c r="D6" i="73"/>
  <c r="L47" i="15"/>
  <c r="F37" i="15"/>
  <c r="E12" i="76"/>
  <c r="L47" i="67"/>
  <c r="F6" i="73"/>
  <c r="M28" i="15"/>
  <c r="D3" i="73"/>
  <c r="F40" i="67"/>
  <c r="B8" i="76"/>
  <c r="M22" i="67"/>
  <c r="D2" i="33"/>
  <c r="B10" i="76"/>
  <c r="J15" i="15"/>
  <c r="M26" i="15"/>
  <c r="M21" i="67"/>
  <c r="F37" i="67"/>
  <c r="E11" i="76"/>
  <c r="M21" i="15"/>
  <c r="F43" i="15"/>
  <c r="M8" i="15"/>
  <c r="AO9" i="1"/>
  <c r="F7" i="15"/>
  <c r="F13" i="15"/>
  <c r="M9" i="15"/>
  <c r="F6" i="67"/>
  <c r="L48" i="67"/>
  <c r="F40" i="15"/>
  <c r="F41" i="67"/>
  <c r="F9" i="67"/>
  <c r="M24" i="15"/>
  <c r="F5" i="73"/>
  <c r="F38" i="67"/>
  <c r="B77" i="43" l="1"/>
  <c r="B9" i="49"/>
  <c r="B56" i="43"/>
  <c r="C25" i="39"/>
  <c r="C15" i="39"/>
  <c r="T14" i="43"/>
  <c r="V14" i="43" s="1"/>
  <c r="E9" i="49"/>
  <c r="B4" i="49"/>
  <c r="E8" i="49"/>
  <c r="B14" i="49"/>
  <c r="E11" i="49"/>
  <c r="B11" i="49"/>
  <c r="B8" i="49"/>
  <c r="E14" i="49"/>
  <c r="E22" i="49"/>
  <c r="E21" i="49"/>
  <c r="E4" i="49"/>
  <c r="B13" i="49"/>
  <c r="E7" i="49"/>
  <c r="B6" i="49"/>
  <c r="C4" i="4" s="1"/>
  <c r="B4" i="62" s="1"/>
  <c r="B71" i="72" s="1"/>
  <c r="B10" i="49"/>
  <c r="E4" i="4" s="1"/>
  <c r="B5" i="62" s="1"/>
  <c r="B73" i="72" s="1"/>
  <c r="E13" i="49"/>
  <c r="B22" i="49"/>
  <c r="E6" i="49"/>
  <c r="E10" i="49"/>
  <c r="D3" i="21"/>
  <c r="D19" i="11"/>
  <c r="C19" i="11" s="1"/>
  <c r="D37" i="11"/>
  <c r="D14" i="12"/>
  <c r="D17" i="12" s="1"/>
  <c r="C17" i="12" s="1"/>
  <c r="D3" i="34"/>
  <c r="D3" i="33"/>
  <c r="C17" i="4"/>
  <c r="B4" i="52" s="1"/>
  <c r="B43" i="72" s="1"/>
  <c r="D3" i="37"/>
  <c r="F27" i="69"/>
  <c r="C47" i="69" s="1"/>
  <c r="D45" i="69" s="1"/>
  <c r="F27" i="68"/>
  <c r="C47" i="68" s="1"/>
  <c r="D45" i="68" s="1"/>
  <c r="F27" i="11"/>
  <c r="C47" i="11" s="1"/>
  <c r="D45" i="11" s="1"/>
  <c r="F28" i="12"/>
  <c r="C29" i="12" s="1"/>
  <c r="D28" i="12" s="1"/>
  <c r="C37" i="11"/>
  <c r="T7" i="1"/>
  <c r="K14" i="1"/>
  <c r="K16" i="1" s="1"/>
  <c r="E59" i="40"/>
  <c r="AR7" i="1"/>
  <c r="L19" i="6"/>
  <c r="L27" i="6" s="1"/>
  <c r="C36" i="11"/>
  <c r="E180" i="3"/>
  <c r="E221" i="3"/>
  <c r="E91" i="3"/>
  <c r="E254" i="3"/>
  <c r="E134" i="3"/>
  <c r="E130" i="3"/>
  <c r="E189" i="3"/>
  <c r="E172" i="3"/>
  <c r="E260" i="3"/>
  <c r="E445" i="3"/>
  <c r="E550" i="3"/>
  <c r="E535" i="3"/>
  <c r="E329" i="3"/>
  <c r="E539" i="3"/>
  <c r="E545" i="3"/>
  <c r="E567" i="3"/>
  <c r="E510" i="3"/>
  <c r="E461" i="3"/>
  <c r="E352" i="3"/>
  <c r="E227" i="3"/>
  <c r="E205" i="3"/>
  <c r="E165" i="3"/>
  <c r="E128" i="3"/>
  <c r="E270" i="3"/>
  <c r="E390" i="3"/>
  <c r="E533" i="3"/>
  <c r="S6" i="3"/>
  <c r="AR6" i="3"/>
  <c r="E523" i="3"/>
  <c r="E561"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E213" i="3"/>
  <c r="E361" i="3"/>
  <c r="E17" i="3"/>
  <c r="E503" i="3"/>
  <c r="E302" i="3"/>
  <c r="AY6" i="3"/>
  <c r="E347" i="3"/>
  <c r="E583" i="3"/>
  <c r="AA6" i="3"/>
  <c r="X6" i="3"/>
  <c r="E399" i="3"/>
  <c r="E336" i="3"/>
  <c r="E280" i="3"/>
  <c r="E246" i="3"/>
  <c r="E124" i="3"/>
  <c r="E293" i="3"/>
  <c r="E311" i="3"/>
  <c r="E358" i="3"/>
  <c r="E514" i="3"/>
  <c r="E559" i="3"/>
  <c r="E570" i="3"/>
  <c r="E551" i="3"/>
  <c r="M6" i="3"/>
  <c r="E506" i="3"/>
  <c r="V6" i="3"/>
  <c r="E538" i="3"/>
  <c r="AB6" i="3"/>
  <c r="E418" i="3"/>
  <c r="E407" i="3"/>
  <c r="E439" i="3"/>
  <c r="E387" i="3"/>
  <c r="E338" i="3"/>
  <c r="E320" i="3"/>
  <c r="E380" i="3"/>
  <c r="E335" i="3"/>
  <c r="E321" i="3"/>
  <c r="E294" i="3"/>
  <c r="E231" i="3"/>
  <c r="E215" i="3"/>
  <c r="E298" i="3"/>
  <c r="F27" i="6"/>
  <c r="F31" i="6" s="1"/>
  <c r="E56" i="39"/>
  <c r="E51" i="40"/>
  <c r="E12" i="6"/>
  <c r="E16" i="6" s="1"/>
  <c r="C36" i="69"/>
  <c r="F22" i="43"/>
  <c r="B113" i="43"/>
  <c r="C101" i="43"/>
  <c r="N104" i="46"/>
  <c r="L101" i="43"/>
  <c r="D101" i="43"/>
  <c r="M101" i="43"/>
  <c r="I101" i="43"/>
  <c r="E101" i="43"/>
  <c r="AH11" i="43"/>
  <c r="AH13" i="43" s="1"/>
  <c r="AD11" i="43"/>
  <c r="AD13" i="43" s="1"/>
  <c r="Z11" i="43"/>
  <c r="Z13" i="43" s="1"/>
  <c r="AG11" i="43"/>
  <c r="AG13" i="43" s="1"/>
  <c r="AC11" i="43"/>
  <c r="AC13" i="43" s="1"/>
  <c r="Y11" i="43"/>
  <c r="Y13" i="43" s="1"/>
  <c r="G101" i="43"/>
  <c r="J101" i="43"/>
  <c r="H22" i="43"/>
  <c r="H101" i="43"/>
  <c r="G22" i="43"/>
  <c r="AJ11" i="43"/>
  <c r="AJ13" i="43" s="1"/>
  <c r="AF11" i="43"/>
  <c r="AF13" i="43" s="1"/>
  <c r="AB11" i="43"/>
  <c r="AB13" i="43" s="1"/>
  <c r="Z7" i="43"/>
  <c r="AI11" i="43"/>
  <c r="AI13" i="43" s="1"/>
  <c r="AE11" i="43"/>
  <c r="AE13" i="43" s="1"/>
  <c r="AA11" i="43"/>
  <c r="AA13" i="43" s="1"/>
  <c r="J22" i="43"/>
  <c r="D19" i="12"/>
  <c r="C19" i="12" s="1"/>
  <c r="E6" i="6"/>
  <c r="D9" i="69"/>
  <c r="C9" i="69" s="1"/>
  <c r="C20" i="11"/>
  <c r="C28" i="11" s="1"/>
  <c r="C27" i="11" s="1"/>
  <c r="O11" i="1"/>
  <c r="P11" i="1"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69" i="3"/>
  <c r="E237" i="3"/>
  <c r="E114" i="3"/>
  <c r="E261" i="3"/>
  <c r="E278" i="3"/>
  <c r="E304" i="3"/>
  <c r="E415" i="3"/>
  <c r="E528" i="3"/>
  <c r="E563" i="3"/>
  <c r="E565" i="3"/>
  <c r="E395" i="3"/>
  <c r="E183" i="3"/>
  <c r="E56" i="40"/>
  <c r="O9" i="1"/>
  <c r="P9" i="1" s="1"/>
  <c r="O8" i="1"/>
  <c r="P8" i="1"/>
  <c r="C29" i="11"/>
  <c r="D27" i="11" s="1"/>
  <c r="E22" i="43"/>
  <c r="N101" i="43"/>
  <c r="F101" i="43"/>
  <c r="K101" i="43"/>
  <c r="AC21" i="21"/>
  <c r="W44" i="21"/>
  <c r="F123" i="21"/>
  <c r="G123" i="21" s="1"/>
  <c r="H123" i="21" s="1"/>
  <c r="I123" i="21" s="1"/>
  <c r="J123" i="21" s="1"/>
  <c r="K123" i="21" s="1"/>
  <c r="L123" i="21" s="1"/>
  <c r="M123" i="21" s="1"/>
  <c r="H42" i="21"/>
  <c r="AB38" i="21"/>
  <c r="U32" i="21"/>
  <c r="AC29" i="21"/>
  <c r="W29" i="21"/>
  <c r="F69" i="21"/>
  <c r="G69" i="21" s="1"/>
  <c r="H69" i="21" s="1"/>
  <c r="I69" i="21" s="1"/>
  <c r="J69" i="21" s="1"/>
  <c r="K69" i="21" s="1"/>
  <c r="L69" i="21" s="1"/>
  <c r="M69" i="21" s="1"/>
  <c r="F11" i="21"/>
  <c r="S21" i="21"/>
  <c r="U10" i="21"/>
  <c r="U43" i="21"/>
  <c r="S40" i="21"/>
  <c r="H113" i="21"/>
  <c r="F37" i="21"/>
  <c r="J37" i="21"/>
  <c r="H37" i="21"/>
  <c r="U35" i="21"/>
  <c r="AB45" i="21"/>
  <c r="U34" i="21"/>
  <c r="S32" i="21"/>
  <c r="D7" i="74"/>
  <c r="D8" i="74"/>
  <c r="C8" i="74"/>
  <c r="C7" i="74"/>
  <c r="S42" i="21"/>
  <c r="AA25" i="21"/>
  <c r="U26" i="21"/>
  <c r="AA23" i="21"/>
  <c r="W17" i="21"/>
  <c r="G16" i="1"/>
  <c r="F10" i="40" s="1"/>
  <c r="C34" i="43"/>
  <c r="T10" i="43"/>
  <c r="V10" i="43" s="1"/>
  <c r="C33" i="43"/>
  <c r="T16" i="43"/>
  <c r="V16" i="43" s="1"/>
  <c r="T13" i="43"/>
  <c r="V13" i="43" s="1"/>
  <c r="T8" i="43"/>
  <c r="V8" i="43" s="1"/>
  <c r="C39" i="43"/>
  <c r="T11" i="43"/>
  <c r="V11" i="43" s="1"/>
  <c r="T12" i="43"/>
  <c r="V12" i="43" s="1"/>
  <c r="T9" i="43"/>
  <c r="V9" i="43" s="1"/>
  <c r="T15" i="43"/>
  <c r="V15" i="43" s="1"/>
  <c r="C37" i="43"/>
  <c r="E37" i="43" s="1"/>
  <c r="C35" i="43"/>
  <c r="E35" i="43" s="1"/>
  <c r="C36" i="43"/>
  <c r="E36" i="43" s="1"/>
  <c r="C38" i="43"/>
  <c r="H7" i="40"/>
  <c r="J7" i="40"/>
  <c r="F7" i="40"/>
  <c r="J70" i="39"/>
  <c r="K68" i="39"/>
  <c r="H58" i="21"/>
  <c r="I58" i="21" s="1"/>
  <c r="J58" i="21" s="1"/>
  <c r="K58" i="21" s="1"/>
  <c r="L58" i="21" s="1"/>
  <c r="M58" i="21" s="1"/>
  <c r="N58" i="21" s="1"/>
  <c r="O58" i="21" s="1"/>
  <c r="H7" i="21"/>
  <c r="I52" i="33"/>
  <c r="J52" i="33" s="1"/>
  <c r="F59" i="34"/>
  <c r="S7" i="33"/>
  <c r="AA7" i="33"/>
  <c r="R48" i="33" s="1"/>
  <c r="C9" i="68"/>
  <c r="D46" i="36"/>
  <c r="F7" i="21"/>
  <c r="J7" i="21"/>
  <c r="AB7" i="33"/>
  <c r="T48" i="33" s="1"/>
  <c r="G48" i="33" s="1"/>
  <c r="U7" i="33"/>
  <c r="E48" i="35"/>
  <c r="D52" i="37"/>
  <c r="K1" i="73"/>
  <c r="C6" i="15"/>
  <c r="F69" i="67"/>
  <c r="E20" i="43"/>
  <c r="F66" i="67"/>
  <c r="B10" i="70"/>
  <c r="B11" i="70"/>
  <c r="N59" i="15"/>
  <c r="L59" i="15"/>
  <c r="L58" i="15"/>
  <c r="M59" i="15"/>
  <c r="B8" i="70"/>
  <c r="F66" i="15"/>
  <c r="Q71" i="67"/>
  <c r="Q71" i="15"/>
  <c r="F64" i="15"/>
  <c r="F70" i="67"/>
  <c r="C6" i="67"/>
  <c r="F63" i="15"/>
  <c r="C62" i="15" s="1"/>
  <c r="C34" i="15"/>
  <c r="B6" i="70"/>
  <c r="B20" i="31"/>
  <c r="C27" i="67"/>
  <c r="J57" i="15"/>
  <c r="J55" i="15" s="1"/>
  <c r="J58" i="15" s="1"/>
  <c r="Q50" i="15" s="1"/>
  <c r="I54" i="15"/>
  <c r="J53" i="15"/>
  <c r="F71" i="67"/>
  <c r="C27" i="15"/>
  <c r="I1" i="73"/>
  <c r="B39" i="1" s="1"/>
  <c r="F51" i="67"/>
  <c r="F69" i="15"/>
  <c r="F65" i="15"/>
  <c r="F65" i="67"/>
  <c r="B9" i="70"/>
  <c r="M59" i="67"/>
  <c r="N59" i="67"/>
  <c r="L59" i="67"/>
  <c r="L58" i="67"/>
  <c r="F50" i="15"/>
  <c r="M7" i="15"/>
  <c r="B13" i="70"/>
  <c r="M7" i="67"/>
  <c r="F50" i="67"/>
  <c r="F63" i="67"/>
  <c r="C62" i="67" s="1"/>
  <c r="C34" i="67"/>
  <c r="J20" i="67"/>
  <c r="F68" i="67"/>
  <c r="F51" i="15"/>
  <c r="B12" i="70"/>
  <c r="F64" i="67"/>
  <c r="F71" i="15"/>
  <c r="J20" i="15"/>
  <c r="B7" i="70"/>
  <c r="F68" i="15"/>
  <c r="J53" i="67"/>
  <c r="I54" i="67"/>
  <c r="L56" i="67"/>
  <c r="J57" i="67"/>
  <c r="J55" i="67" s="1"/>
  <c r="J58" i="67" s="1"/>
  <c r="Q50" i="67" s="1"/>
  <c r="F59" i="15"/>
  <c r="F59" i="67"/>
  <c r="M17" i="15"/>
  <c r="M17" i="67"/>
  <c r="C17" i="67"/>
  <c r="C16" i="15"/>
  <c r="C14" i="67"/>
  <c r="C17" i="15"/>
  <c r="C14" i="15"/>
  <c r="G1" i="73"/>
  <c r="C16" i="67"/>
  <c r="G35" i="43" l="1"/>
  <c r="I35" i="43" s="1"/>
  <c r="C29" i="68"/>
  <c r="D27" i="68" s="1"/>
  <c r="K4" i="4"/>
  <c r="B46" i="48" s="1"/>
  <c r="B4" i="72" s="1"/>
  <c r="C14" i="12"/>
  <c r="C29" i="69"/>
  <c r="D27" i="69" s="1"/>
  <c r="E27" i="6"/>
  <c r="M14" i="1"/>
  <c r="C34" i="69"/>
  <c r="H10"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10" i="39"/>
  <c r="E57" i="40"/>
  <c r="E62" i="39"/>
  <c r="E66" i="39" s="1"/>
  <c r="D12" i="6"/>
  <c r="D22" i="43"/>
  <c r="H107" i="43"/>
  <c r="H106" i="43"/>
  <c r="H105" i="43"/>
  <c r="H109" i="43"/>
  <c r="H102" i="43"/>
  <c r="H103" i="43"/>
  <c r="H104" i="43"/>
  <c r="J104" i="43"/>
  <c r="J105" i="43"/>
  <c r="J107" i="43"/>
  <c r="J102" i="43"/>
  <c r="J106" i="43"/>
  <c r="J109" i="43"/>
  <c r="J103" i="43"/>
  <c r="E104" i="43"/>
  <c r="E107" i="43"/>
  <c r="E105" i="43"/>
  <c r="E102" i="43"/>
  <c r="E106" i="43"/>
  <c r="E103" i="43"/>
  <c r="E109" i="43"/>
  <c r="M104" i="43"/>
  <c r="M107" i="43"/>
  <c r="M105" i="43"/>
  <c r="M109" i="43"/>
  <c r="M102" i="43"/>
  <c r="M106" i="43"/>
  <c r="M103" i="43"/>
  <c r="L109" i="43"/>
  <c r="L106" i="43"/>
  <c r="L107" i="43"/>
  <c r="L103" i="43"/>
  <c r="L102" i="43"/>
  <c r="L105" i="43"/>
  <c r="L104" i="43"/>
  <c r="C104" i="43"/>
  <c r="C105" i="43"/>
  <c r="C102" i="43"/>
  <c r="C106" i="43"/>
  <c r="C107" i="43"/>
  <c r="C103" i="43"/>
  <c r="C109" i="43"/>
  <c r="G105" i="43"/>
  <c r="G102" i="43"/>
  <c r="G107" i="43"/>
  <c r="G104" i="43"/>
  <c r="G103" i="43"/>
  <c r="G106" i="43"/>
  <c r="G109" i="43"/>
  <c r="I104" i="43"/>
  <c r="I107" i="43"/>
  <c r="I105" i="43"/>
  <c r="I109" i="43"/>
  <c r="I102" i="43"/>
  <c r="I106" i="43"/>
  <c r="I103" i="43"/>
  <c r="D105" i="43"/>
  <c r="D106" i="43"/>
  <c r="D102" i="43"/>
  <c r="D109" i="43"/>
  <c r="D103" i="43"/>
  <c r="D104" i="43"/>
  <c r="D107"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0" i="11"/>
  <c r="C10" i="11" s="1"/>
  <c r="D20" i="12"/>
  <c r="C20" i="12" s="1"/>
  <c r="C18" i="12" s="1"/>
  <c r="D6" i="6"/>
  <c r="D10" i="69"/>
  <c r="D10" i="68"/>
  <c r="AC6" i="3"/>
  <c r="E6" i="3" s="1"/>
  <c r="C15" i="15"/>
  <c r="C18" i="15"/>
  <c r="K103" i="43"/>
  <c r="K107" i="43"/>
  <c r="K104" i="43"/>
  <c r="K106" i="43"/>
  <c r="K102" i="43"/>
  <c r="K105" i="43"/>
  <c r="K109" i="43"/>
  <c r="N102" i="43"/>
  <c r="N103" i="43"/>
  <c r="N106" i="43"/>
  <c r="N107" i="43"/>
  <c r="N105" i="43"/>
  <c r="N104" i="43"/>
  <c r="N109" i="43"/>
  <c r="F104" i="43"/>
  <c r="F107" i="43"/>
  <c r="F106" i="43"/>
  <c r="F103" i="43"/>
  <c r="F102" i="43"/>
  <c r="F105" i="43"/>
  <c r="F109" i="43"/>
  <c r="U42" i="21"/>
  <c r="AB42" i="21"/>
  <c r="S11" i="21"/>
  <c r="AA11" i="21"/>
  <c r="U37" i="21"/>
  <c r="AB37" i="21"/>
  <c r="S37" i="21"/>
  <c r="AA37" i="21"/>
  <c r="AC37" i="21"/>
  <c r="W37" i="21"/>
  <c r="G36" i="43"/>
  <c r="I36" i="43" s="1"/>
  <c r="G37" i="43"/>
  <c r="I37" i="43" s="1"/>
  <c r="J10" i="39"/>
  <c r="J10" i="40"/>
  <c r="H10" i="39"/>
  <c r="G38" i="43"/>
  <c r="I38" i="43" s="1"/>
  <c r="E38" i="43"/>
  <c r="E39" i="43"/>
  <c r="G39" i="43"/>
  <c r="I39" i="43" s="1"/>
  <c r="E33" i="43"/>
  <c r="G33" i="43"/>
  <c r="I33" i="43" s="1"/>
  <c r="E34" i="43"/>
  <c r="G34" i="43"/>
  <c r="I34" i="43" s="1"/>
  <c r="E52" i="37"/>
  <c r="C49" i="15"/>
  <c r="AB10" i="40"/>
  <c r="U10" i="40"/>
  <c r="AA10" i="39"/>
  <c r="S10" i="39"/>
  <c r="F48" i="35"/>
  <c r="G52" i="33"/>
  <c r="H52" i="33" s="1"/>
  <c r="G53" i="33"/>
  <c r="H53" i="33" s="1"/>
  <c r="S7" i="21"/>
  <c r="AA7" i="21"/>
  <c r="R48" i="21" s="1"/>
  <c r="E46" i="36"/>
  <c r="AC7" i="40"/>
  <c r="V42" i="40" s="1"/>
  <c r="I42" i="40" s="1"/>
  <c r="W7" i="40"/>
  <c r="S10" i="40"/>
  <c r="AA10" i="40"/>
  <c r="W7" i="21"/>
  <c r="AC7" i="21"/>
  <c r="V48" i="21" s="1"/>
  <c r="I48" i="21" s="1"/>
  <c r="R49" i="33"/>
  <c r="E48" i="33"/>
  <c r="G59" i="34"/>
  <c r="H59" i="34" s="1"/>
  <c r="I59" i="34" s="1"/>
  <c r="J59" i="34" s="1"/>
  <c r="K59" i="34" s="1"/>
  <c r="L59" i="34" s="1"/>
  <c r="M59" i="34" s="1"/>
  <c r="N59" i="34" s="1"/>
  <c r="O59" i="34" s="1"/>
  <c r="H7" i="34"/>
  <c r="AB7" i="21"/>
  <c r="T48" i="21" s="1"/>
  <c r="G48" i="21" s="1"/>
  <c r="U7" i="21"/>
  <c r="K70" i="39"/>
  <c r="L68" i="39"/>
  <c r="AA7" i="40"/>
  <c r="R42" i="40" s="1"/>
  <c r="S7" i="40"/>
  <c r="U7" i="40"/>
  <c r="AB7" i="40"/>
  <c r="T42" i="40" s="1"/>
  <c r="G42" i="40" s="1"/>
  <c r="C15" i="67"/>
  <c r="C18" i="67"/>
  <c r="B40" i="1"/>
  <c r="Q60" i="67"/>
  <c r="Q73" i="67"/>
  <c r="J6" i="15"/>
  <c r="J6" i="67"/>
  <c r="Q60" i="15"/>
  <c r="Q73" i="15"/>
  <c r="C32" i="15"/>
  <c r="F1" i="67"/>
  <c r="Q52" i="67"/>
  <c r="Q61" i="67"/>
  <c r="Q74" i="67"/>
  <c r="C49" i="67"/>
  <c r="M11" i="67"/>
  <c r="J10" i="67" s="1"/>
  <c r="M11" i="15"/>
  <c r="F11" i="67"/>
  <c r="F11" i="15"/>
  <c r="F1" i="15"/>
  <c r="Q52" i="15"/>
  <c r="L56" i="15"/>
  <c r="B2" i="70"/>
  <c r="B3" i="70" s="1"/>
  <c r="C32" i="67"/>
  <c r="Q74" i="15"/>
  <c r="Q61" i="15"/>
  <c r="M28" i="43"/>
  <c r="P28" i="43"/>
  <c r="N28" i="43"/>
  <c r="O28" i="43"/>
  <c r="C19" i="15" l="1"/>
  <c r="C20" i="15" s="1"/>
  <c r="C26" i="15" s="1"/>
  <c r="O14" i="1"/>
  <c r="M16" i="1"/>
  <c r="C38" i="69"/>
  <c r="C35" i="69"/>
  <c r="K24" i="6"/>
  <c r="M24" i="6" s="1"/>
  <c r="I24" i="6" s="1"/>
  <c r="S24" i="6" s="1"/>
  <c r="K22" i="6"/>
  <c r="M22" i="6" s="1"/>
  <c r="I22" i="6" s="1"/>
  <c r="S22" i="6" s="1"/>
  <c r="K25" i="6"/>
  <c r="M25" i="6" s="1"/>
  <c r="I25" i="6" s="1"/>
  <c r="S25" i="6" s="1"/>
  <c r="K23" i="6"/>
  <c r="M23" i="6" s="1"/>
  <c r="I23" i="6" s="1"/>
  <c r="S23" i="6" s="1"/>
  <c r="K26" i="6"/>
  <c r="M26" i="6" s="1"/>
  <c r="I26" i="6" s="1"/>
  <c r="S26" i="6" s="1"/>
  <c r="E31" i="6"/>
  <c r="K19" i="6"/>
  <c r="K20" i="6"/>
  <c r="M20" i="6" s="1"/>
  <c r="I20" i="6" s="1"/>
  <c r="S20" i="6" s="1"/>
  <c r="K21" i="6"/>
  <c r="M21" i="6" s="1"/>
  <c r="I21" i="6" s="1"/>
  <c r="D19" i="6"/>
  <c r="D15" i="6"/>
  <c r="D21" i="6"/>
  <c r="D20" i="6"/>
  <c r="D11" i="6"/>
  <c r="D29" i="6"/>
  <c r="D25" i="6"/>
  <c r="D22" i="6"/>
  <c r="D24" i="6"/>
  <c r="D28" i="6"/>
  <c r="D30" i="6" s="1"/>
  <c r="D9" i="6"/>
  <c r="D23" i="6"/>
  <c r="C18" i="4"/>
  <c r="D5" i="6"/>
  <c r="D10" i="6"/>
  <c r="H22" i="6"/>
  <c r="R22" i="6" s="1"/>
  <c r="E61" i="40"/>
  <c r="D13" i="6"/>
  <c r="D14" i="6"/>
  <c r="D8" i="6"/>
  <c r="D26" i="6"/>
  <c r="H23" i="6"/>
  <c r="R23" i="6" s="1"/>
  <c r="H25" i="6"/>
  <c r="R25" i="6" s="1"/>
  <c r="H26" i="6"/>
  <c r="H24" i="6"/>
  <c r="R24" i="6" s="1"/>
  <c r="H20" i="6"/>
  <c r="R20" i="6" s="1"/>
  <c r="S4" i="43"/>
  <c r="T4" i="43" s="1"/>
  <c r="V4" i="43" s="1"/>
  <c r="S5" i="43"/>
  <c r="T5" i="43" s="1"/>
  <c r="V5" i="43" s="1"/>
  <c r="S6" i="43"/>
  <c r="T6" i="43" s="1"/>
  <c r="V6" i="43" s="1"/>
  <c r="S7" i="43"/>
  <c r="T7" i="43" s="1"/>
  <c r="V7" i="43" s="1"/>
  <c r="S2" i="43"/>
  <c r="T2" i="43" s="1"/>
  <c r="V2" i="43" s="1"/>
  <c r="C23" i="43"/>
  <c r="C21" i="43" s="1"/>
  <c r="C29" i="43" s="1"/>
  <c r="S3" i="43"/>
  <c r="T3" i="43" s="1"/>
  <c r="V3" i="43" s="1"/>
  <c r="C115" i="43"/>
  <c r="D113" i="43"/>
  <c r="C10" i="69"/>
  <c r="C8" i="69" s="1"/>
  <c r="C5" i="69" s="1"/>
  <c r="D19" i="69"/>
  <c r="C10" i="68"/>
  <c r="D19" i="68"/>
  <c r="AB10" i="39"/>
  <c r="U10" i="39"/>
  <c r="AC10" i="39"/>
  <c r="W10" i="39"/>
  <c r="AC10" i="40"/>
  <c r="W10" i="40"/>
  <c r="G47" i="40"/>
  <c r="H47" i="40" s="1"/>
  <c r="G46" i="40"/>
  <c r="H46" i="40" s="1"/>
  <c r="L70" i="39"/>
  <c r="M68" i="39"/>
  <c r="C19" i="67"/>
  <c r="C20" i="67" s="1"/>
  <c r="C26" i="67" s="1"/>
  <c r="E42" i="40"/>
  <c r="I47" i="40" s="1"/>
  <c r="J47" i="40" s="1"/>
  <c r="R43" i="40"/>
  <c r="G52" i="21"/>
  <c r="H52" i="21" s="1"/>
  <c r="G53" i="21"/>
  <c r="H53" i="21" s="1"/>
  <c r="F7" i="34"/>
  <c r="E53" i="33"/>
  <c r="F53" i="33" s="1"/>
  <c r="E52" i="33"/>
  <c r="F52" i="33" s="1"/>
  <c r="I53" i="33"/>
  <c r="J53" i="33" s="1"/>
  <c r="I52" i="21"/>
  <c r="J52" i="21" s="1"/>
  <c r="I46" i="40"/>
  <c r="J46" i="40" s="1"/>
  <c r="F46" i="36"/>
  <c r="G48" i="35"/>
  <c r="F52" i="37"/>
  <c r="AB7" i="34"/>
  <c r="T49" i="34" s="1"/>
  <c r="G49" i="34" s="1"/>
  <c r="U7" i="34"/>
  <c r="C49" i="33"/>
  <c r="B2" i="33" s="1"/>
  <c r="B3" i="33" s="1"/>
  <c r="C48" i="33"/>
  <c r="E48" i="21"/>
  <c r="R49" i="21"/>
  <c r="J7" i="34"/>
  <c r="C53" i="15"/>
  <c r="C48" i="15" s="1"/>
  <c r="C10" i="15"/>
  <c r="C5" i="15" s="1"/>
  <c r="J10" i="15"/>
  <c r="J5" i="15" s="1"/>
  <c r="J18" i="15"/>
  <c r="C10" i="67"/>
  <c r="C5" i="67" s="1"/>
  <c r="C53" i="67"/>
  <c r="C48" i="67" s="1"/>
  <c r="J5" i="67"/>
  <c r="J18" i="67"/>
  <c r="F24" i="67"/>
  <c r="C24" i="67" s="1"/>
  <c r="F25" i="12"/>
  <c r="F22" i="11"/>
  <c r="F24" i="15"/>
  <c r="C24" i="15" s="1"/>
  <c r="F22" i="68"/>
  <c r="F22" i="69"/>
  <c r="D27" i="6" l="1"/>
  <c r="C34" i="68"/>
  <c r="C34" i="11"/>
  <c r="L16" i="1"/>
  <c r="N16" i="1"/>
  <c r="D16" i="6"/>
  <c r="D31" i="6"/>
  <c r="I5" i="6" s="1"/>
  <c r="S21" i="6"/>
  <c r="H21" i="6"/>
  <c r="R21" i="6" s="1"/>
  <c r="S6" i="1"/>
  <c r="K27" i="6"/>
  <c r="M19" i="6"/>
  <c r="P14" i="1"/>
  <c r="P16" i="1" s="1"/>
  <c r="C11" i="12" s="1"/>
  <c r="O16" i="1"/>
  <c r="A7" i="51"/>
  <c r="B7" i="72" s="1"/>
  <c r="A10" i="51"/>
  <c r="B9" i="72" s="1"/>
  <c r="C4" i="52"/>
  <c r="B45" i="72" s="1"/>
  <c r="R26" i="6"/>
  <c r="I6" i="6"/>
  <c r="C30" i="43"/>
  <c r="E30" i="43" s="1"/>
  <c r="C27" i="43" s="1"/>
  <c r="E29" i="43"/>
  <c r="C26" i="43" s="1"/>
  <c r="C19" i="68"/>
  <c r="C20" i="68" s="1"/>
  <c r="C28" i="68" s="1"/>
  <c r="C27" i="68" s="1"/>
  <c r="D37" i="68"/>
  <c r="C37" i="68" s="1"/>
  <c r="D37" i="69"/>
  <c r="C37" i="69" s="1"/>
  <c r="C33" i="69" s="1"/>
  <c r="C42" i="69" s="1"/>
  <c r="C41" i="69" s="1"/>
  <c r="C19" i="69"/>
  <c r="C20" i="69" s="1"/>
  <c r="C49" i="21"/>
  <c r="C48" i="21"/>
  <c r="W7" i="34"/>
  <c r="AC7" i="34"/>
  <c r="V49" i="34" s="1"/>
  <c r="I49" i="34" s="1"/>
  <c r="E52" i="21"/>
  <c r="F52" i="21" s="1"/>
  <c r="E53" i="21"/>
  <c r="F53" i="21" s="1"/>
  <c r="H48" i="35"/>
  <c r="G46" i="36"/>
  <c r="E47" i="40"/>
  <c r="F47" i="40" s="1"/>
  <c r="E46" i="40"/>
  <c r="F46" i="40" s="1"/>
  <c r="M70" i="39"/>
  <c r="N68" i="39"/>
  <c r="G53" i="34"/>
  <c r="H53" i="34" s="1"/>
  <c r="G54" i="34"/>
  <c r="H54" i="34" s="1"/>
  <c r="G52" i="37"/>
  <c r="H52" i="37" s="1"/>
  <c r="I52" i="37" s="1"/>
  <c r="J52" i="37" s="1"/>
  <c r="K52" i="37" s="1"/>
  <c r="L52" i="37" s="1"/>
  <c r="M52" i="37" s="1"/>
  <c r="N52" i="37" s="1"/>
  <c r="O52" i="37" s="1"/>
  <c r="J7" i="37"/>
  <c r="F7" i="37"/>
  <c r="I53" i="21"/>
  <c r="J53" i="21" s="1"/>
  <c r="S7" i="34"/>
  <c r="AA7" i="34"/>
  <c r="R49" i="34" s="1"/>
  <c r="C42" i="40"/>
  <c r="C43" i="40"/>
  <c r="C60" i="67"/>
  <c r="C66" i="67"/>
  <c r="J26" i="15"/>
  <c r="J29" i="15" s="1"/>
  <c r="J24" i="15"/>
  <c r="C38" i="67"/>
  <c r="C23" i="15"/>
  <c r="C29" i="15" s="1"/>
  <c r="C38" i="15"/>
  <c r="C23" i="67"/>
  <c r="C29" i="67" s="1"/>
  <c r="C44" i="69"/>
  <c r="D41" i="69" s="1"/>
  <c r="C26" i="69"/>
  <c r="D22" i="69" s="1"/>
  <c r="C23" i="69"/>
  <c r="C26" i="12"/>
  <c r="D25" i="12" s="1"/>
  <c r="J24" i="67"/>
  <c r="J26" i="67"/>
  <c r="J29" i="67" s="1"/>
  <c r="C44" i="68"/>
  <c r="D41" i="68" s="1"/>
  <c r="C26" i="68"/>
  <c r="D22" i="68" s="1"/>
  <c r="C23" i="68"/>
  <c r="C44" i="11"/>
  <c r="D41" i="11" s="1"/>
  <c r="C26" i="11"/>
  <c r="D22" i="11" s="1"/>
  <c r="C23" i="11"/>
  <c r="C24" i="11"/>
  <c r="C25" i="11"/>
  <c r="C60" i="15"/>
  <c r="C66" i="15"/>
  <c r="E6" i="76"/>
  <c r="C25" i="68" l="1"/>
  <c r="B2" i="21"/>
  <c r="K25" i="9"/>
  <c r="K26" i="9" s="1"/>
  <c r="C24" i="68"/>
  <c r="C12" i="12"/>
  <c r="C15" i="12"/>
  <c r="F50" i="11"/>
  <c r="F50" i="69"/>
  <c r="F50" i="68"/>
  <c r="C38" i="11"/>
  <c r="C35" i="11"/>
  <c r="C33" i="11"/>
  <c r="M27" i="6"/>
  <c r="I19" i="6"/>
  <c r="S16" i="1"/>
  <c r="AQ6" i="1"/>
  <c r="AR6" i="1"/>
  <c r="T6" i="1"/>
  <c r="T16" i="1" s="1"/>
  <c r="C35" i="68"/>
  <c r="C38" i="68"/>
  <c r="C24" i="69"/>
  <c r="E2" i="76"/>
  <c r="B2" i="43"/>
  <c r="C28" i="69"/>
  <c r="C27" i="69" s="1"/>
  <c r="C25" i="69"/>
  <c r="C39" i="69"/>
  <c r="C43" i="69" s="1"/>
  <c r="B3" i="21"/>
  <c r="W7" i="37"/>
  <c r="AC7" i="37"/>
  <c r="V42" i="37" s="1"/>
  <c r="I42" i="37" s="1"/>
  <c r="O68" i="39"/>
  <c r="O70" i="39" s="1"/>
  <c r="N70" i="39"/>
  <c r="I53" i="34"/>
  <c r="J53" i="34" s="1"/>
  <c r="I54" i="34"/>
  <c r="J54" i="34" s="1"/>
  <c r="H7" i="37"/>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E49" i="34"/>
  <c r="R50" i="34"/>
  <c r="S7" i="37"/>
  <c r="AA7" i="37"/>
  <c r="R42" i="37" s="1"/>
  <c r="H7" i="39"/>
  <c r="F7" i="39"/>
  <c r="J7" i="39"/>
  <c r="H46" i="36"/>
  <c r="I48" i="35"/>
  <c r="C22" i="11"/>
  <c r="C31" i="11" s="1"/>
  <c r="C22" i="68"/>
  <c r="C31" i="68" s="1"/>
  <c r="C22" i="69"/>
  <c r="J14" i="15"/>
  <c r="C33" i="15"/>
  <c r="C31" i="15" s="1"/>
  <c r="C57" i="15"/>
  <c r="C36" i="15"/>
  <c r="J19" i="15"/>
  <c r="J17" i="15" s="1"/>
  <c r="Q49" i="15"/>
  <c r="C13" i="15"/>
  <c r="J59" i="15"/>
  <c r="J60" i="15" s="1"/>
  <c r="C57" i="67"/>
  <c r="C36" i="67"/>
  <c r="J19" i="67"/>
  <c r="J17" i="67" s="1"/>
  <c r="C13" i="67"/>
  <c r="J14" i="67"/>
  <c r="Q49" i="67"/>
  <c r="C33" i="67"/>
  <c r="C31" i="67" s="1"/>
  <c r="J59" i="67"/>
  <c r="J60" i="67" s="1"/>
  <c r="D19" i="9"/>
  <c r="C19" i="9"/>
  <c r="D20" i="9"/>
  <c r="C20" i="9"/>
  <c r="B6" i="76"/>
  <c r="D102" i="9" l="1"/>
  <c r="D21" i="9"/>
  <c r="D22" i="9"/>
  <c r="G19" i="9"/>
  <c r="G21" i="9" s="1"/>
  <c r="C102" i="9"/>
  <c r="C21" i="9"/>
  <c r="D103" i="9"/>
  <c r="C16" i="12"/>
  <c r="C21" i="12" s="1"/>
  <c r="C22" i="12" s="1"/>
  <c r="C27" i="12" s="1"/>
  <c r="C25" i="12" s="1"/>
  <c r="C31" i="69"/>
  <c r="C33" i="68"/>
  <c r="C39" i="68" s="1"/>
  <c r="I27" i="6"/>
  <c r="H19" i="6"/>
  <c r="S19" i="6"/>
  <c r="S27" i="6" s="1"/>
  <c r="C39" i="11"/>
  <c r="C42" i="11"/>
  <c r="C41" i="11" s="1"/>
  <c r="B2" i="76"/>
  <c r="B3" i="76" s="1"/>
  <c r="B3" i="43"/>
  <c r="C46" i="69"/>
  <c r="C45" i="69" s="1"/>
  <c r="C49" i="69" s="1"/>
  <c r="C51" i="69" s="1"/>
  <c r="C103" i="9"/>
  <c r="G20" i="9"/>
  <c r="AC7" i="39"/>
  <c r="V47" i="39" s="1"/>
  <c r="I47" i="39" s="1"/>
  <c r="W7" i="39"/>
  <c r="AB7" i="39"/>
  <c r="T47" i="39" s="1"/>
  <c r="G47" i="39" s="1"/>
  <c r="U7" i="39"/>
  <c r="C49" i="34"/>
  <c r="C50" i="34"/>
  <c r="B2" i="34" s="1"/>
  <c r="B3" i="34" s="1"/>
  <c r="I46" i="37"/>
  <c r="J46" i="37" s="1"/>
  <c r="J48" i="35"/>
  <c r="I46" i="36"/>
  <c r="S7" i="39"/>
  <c r="AA7" i="39"/>
  <c r="R47" i="39" s="1"/>
  <c r="R43" i="37"/>
  <c r="E42" i="37"/>
  <c r="E54" i="34"/>
  <c r="F54" i="34" s="1"/>
  <c r="E53" i="34"/>
  <c r="F53" i="34" s="1"/>
  <c r="U7" i="37"/>
  <c r="AB7" i="37"/>
  <c r="T42" i="37" s="1"/>
  <c r="G42" i="37" s="1"/>
  <c r="Q48" i="67"/>
  <c r="L46" i="67"/>
  <c r="C56" i="67"/>
  <c r="C65" i="67" s="1"/>
  <c r="C37" i="67"/>
  <c r="C30" i="67" s="1"/>
  <c r="C39" i="67" s="1"/>
  <c r="Q70" i="67"/>
  <c r="C75" i="67"/>
  <c r="Q48" i="15"/>
  <c r="L46" i="15"/>
  <c r="J13" i="67"/>
  <c r="J23" i="67" s="1"/>
  <c r="J22" i="67"/>
  <c r="C61" i="67"/>
  <c r="C59" i="67" s="1"/>
  <c r="C64" i="67"/>
  <c r="C75" i="15"/>
  <c r="C56" i="15"/>
  <c r="C65" i="15" s="1"/>
  <c r="C37" i="15"/>
  <c r="C30" i="15" s="1"/>
  <c r="C39" i="15" s="1"/>
  <c r="Q70" i="15"/>
  <c r="C61" i="15"/>
  <c r="C59" i="15" s="1"/>
  <c r="C64" i="15"/>
  <c r="J22" i="15"/>
  <c r="J13" i="15"/>
  <c r="J23" i="15" s="1"/>
  <c r="C32" i="9" l="1"/>
  <c r="H118" i="9" s="1"/>
  <c r="C52" i="69"/>
  <c r="C57" i="69" s="1"/>
  <c r="C56" i="69" s="1"/>
  <c r="C42" i="68"/>
  <c r="C41" i="68" s="1"/>
  <c r="C30" i="12"/>
  <c r="C28" i="12" s="1"/>
  <c r="C32" i="12" s="1"/>
  <c r="B2" i="12" s="1"/>
  <c r="B3" i="12" s="1"/>
  <c r="C46" i="11"/>
  <c r="C45" i="11" s="1"/>
  <c r="C49" i="11" s="1"/>
  <c r="C51" i="11" s="1"/>
  <c r="C43" i="11"/>
  <c r="R19" i="6"/>
  <c r="H27" i="6"/>
  <c r="C46" i="68"/>
  <c r="C45" i="68" s="1"/>
  <c r="C43" i="68"/>
  <c r="J16" i="15"/>
  <c r="J25" i="15" s="1"/>
  <c r="C58" i="15"/>
  <c r="C67" i="15" s="1"/>
  <c r="C68" i="15" s="1"/>
  <c r="C71" i="15" s="1"/>
  <c r="C43" i="37"/>
  <c r="B2" i="37" s="1"/>
  <c r="B3" i="37" s="1"/>
  <c r="C42" i="37"/>
  <c r="J16" i="67"/>
  <c r="J25" i="67" s="1"/>
  <c r="G46" i="37"/>
  <c r="H46" i="37" s="1"/>
  <c r="G47" i="37"/>
  <c r="H47" i="37" s="1"/>
  <c r="E47" i="37"/>
  <c r="F47" i="37" s="1"/>
  <c r="E46" i="37"/>
  <c r="F46" i="37" s="1"/>
  <c r="R48" i="39"/>
  <c r="E47" i="39"/>
  <c r="J46" i="36"/>
  <c r="K48" i="35"/>
  <c r="I47" i="37"/>
  <c r="J47" i="37" s="1"/>
  <c r="G51" i="39"/>
  <c r="H51" i="39" s="1"/>
  <c r="G52" i="39"/>
  <c r="H52" i="39" s="1"/>
  <c r="I52" i="39"/>
  <c r="J52" i="39" s="1"/>
  <c r="I51" i="39"/>
  <c r="J51" i="39" s="1"/>
  <c r="Q69" i="15"/>
  <c r="Q68" i="15" s="1"/>
  <c r="C40" i="15"/>
  <c r="C80" i="67"/>
  <c r="C79" i="67" s="1"/>
  <c r="C80" i="15"/>
  <c r="C79" i="15" s="1"/>
  <c r="C58" i="67"/>
  <c r="C67" i="67" s="1"/>
  <c r="C68" i="67" s="1"/>
  <c r="Q69" i="67"/>
  <c r="Q68" i="67" s="1"/>
  <c r="C40" i="67"/>
  <c r="L51" i="15"/>
  <c r="L51" i="67"/>
  <c r="B2" i="69" l="1"/>
  <c r="B3" i="69" s="1"/>
  <c r="C35" i="9"/>
  <c r="F118" i="9" s="1"/>
  <c r="F4" i="52" s="1"/>
  <c r="B51" i="72" s="1"/>
  <c r="C46" i="15"/>
  <c r="C49" i="68"/>
  <c r="C51" i="68" s="1"/>
  <c r="C52" i="68" s="1"/>
  <c r="B2" i="68" s="1"/>
  <c r="B3" i="68" s="1"/>
  <c r="C52" i="11"/>
  <c r="B2" i="11" s="1"/>
  <c r="B3" i="11" s="1"/>
  <c r="R6" i="1"/>
  <c r="R16" i="1" s="1"/>
  <c r="R27" i="6"/>
  <c r="C104" i="9"/>
  <c r="H119" i="9"/>
  <c r="H5" i="52" s="1"/>
  <c r="H101" i="9"/>
  <c r="I118" i="9"/>
  <c r="H4" i="52"/>
  <c r="D14" i="74"/>
  <c r="E52" i="39"/>
  <c r="F52" i="39" s="1"/>
  <c r="E51" i="39"/>
  <c r="F51" i="39" s="1"/>
  <c r="L48" i="35"/>
  <c r="K46" i="36"/>
  <c r="C48" i="39"/>
  <c r="C47" i="39"/>
  <c r="Q67" i="67"/>
  <c r="L57" i="67"/>
  <c r="L60" i="67" s="1"/>
  <c r="Q67" i="15"/>
  <c r="L57" i="15"/>
  <c r="L60" i="15" s="1"/>
  <c r="C43" i="67"/>
  <c r="D2" i="67"/>
  <c r="Q56" i="67"/>
  <c r="Q47" i="67"/>
  <c r="Q53" i="67" s="1"/>
  <c r="Q65" i="67"/>
  <c r="C83" i="67"/>
  <c r="C82" i="67" s="1"/>
  <c r="C45" i="67"/>
  <c r="C46" i="67" s="1"/>
  <c r="C71" i="67"/>
  <c r="B2" i="15"/>
  <c r="B3" i="15" s="1"/>
  <c r="Q65" i="15"/>
  <c r="C43" i="15"/>
  <c r="Q47" i="15"/>
  <c r="Q53" i="15" s="1"/>
  <c r="Q56" i="15"/>
  <c r="C83" i="15"/>
  <c r="C82" i="15" s="1"/>
  <c r="F119" i="9" l="1"/>
  <c r="F5" i="52" s="1"/>
  <c r="B53" i="72" s="1"/>
  <c r="G118" i="9"/>
  <c r="G4" i="52" s="1"/>
  <c r="B52" i="72" s="1"/>
  <c r="C34" i="9"/>
  <c r="D118" i="9" s="1"/>
  <c r="C56" i="11"/>
  <c r="C57" i="11" s="1"/>
  <c r="C57" i="68"/>
  <c r="C56" i="68" s="1"/>
  <c r="D45" i="9"/>
  <c r="M48" i="9"/>
  <c r="D5" i="53"/>
  <c r="H107" i="9"/>
  <c r="E14" i="74"/>
  <c r="F14" i="74"/>
  <c r="B5" i="74"/>
  <c r="H102" i="9"/>
  <c r="D7" i="53" s="1"/>
  <c r="B21" i="72" s="1"/>
  <c r="C105" i="9"/>
  <c r="I4" i="52"/>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L46" i="36"/>
  <c r="M48" i="35"/>
  <c r="B2" i="67"/>
  <c r="B3" i="67"/>
  <c r="Q66" i="15"/>
  <c r="Q75" i="15" s="1"/>
  <c r="Q57" i="15"/>
  <c r="Q62" i="15" s="1"/>
  <c r="Q66" i="67"/>
  <c r="Q75" i="67" s="1"/>
  <c r="Q57" i="67"/>
  <c r="Q62" i="67" s="1"/>
  <c r="E118" i="9" l="1"/>
  <c r="E4" i="52" s="1"/>
  <c r="B48" i="72" s="1"/>
  <c r="D119" i="9"/>
  <c r="D5" i="52" s="1"/>
  <c r="B49" i="72" s="1"/>
  <c r="D4" i="52"/>
  <c r="B47" i="72" s="1"/>
  <c r="D122" i="9"/>
  <c r="D13" i="53"/>
  <c r="H108" i="9"/>
  <c r="D15" i="53" s="1"/>
  <c r="B31" i="72" s="1"/>
  <c r="C5" i="74"/>
  <c r="D5" i="74"/>
  <c r="D6" i="53"/>
  <c r="B22" i="72" s="1"/>
  <c r="B20" i="72"/>
  <c r="C85" i="9"/>
  <c r="D55" i="9"/>
  <c r="M53" i="9" s="1"/>
  <c r="D52" i="9"/>
  <c r="C72" i="9"/>
  <c r="C78" i="9"/>
  <c r="C73" i="9" s="1"/>
  <c r="D53" i="9"/>
  <c r="C93" i="9"/>
  <c r="C86" i="9" s="1"/>
  <c r="C64" i="9"/>
  <c r="C63" i="9" s="1"/>
  <c r="C67" i="9" s="1"/>
  <c r="C68" i="9" s="1"/>
  <c r="D54" i="9" s="1"/>
  <c r="N48" i="35"/>
  <c r="O48" i="35" s="1"/>
  <c r="H7" i="35"/>
  <c r="M46" i="36"/>
  <c r="N46" i="36" s="1"/>
  <c r="O46" i="36" s="1"/>
  <c r="H7" i="36" s="1"/>
  <c r="F7" i="36"/>
  <c r="J7" i="36"/>
  <c r="C95" i="9" l="1"/>
  <c r="D14" i="53"/>
  <c r="B32" i="72" s="1"/>
  <c r="B30" i="72"/>
  <c r="C79" i="9"/>
  <c r="G14" i="74"/>
  <c r="B6" i="74" s="1"/>
  <c r="D8" i="52"/>
  <c r="D123" i="9"/>
  <c r="D9" i="52" s="1"/>
  <c r="AA7" i="36"/>
  <c r="R36" i="36" s="1"/>
  <c r="S7" i="36"/>
  <c r="AB7" i="35"/>
  <c r="T38" i="35" s="1"/>
  <c r="G38" i="35" s="1"/>
  <c r="U7" i="35"/>
  <c r="W7" i="36"/>
  <c r="AC7" i="36"/>
  <c r="V36" i="36" s="1"/>
  <c r="I36" i="36" s="1"/>
  <c r="U7" i="36"/>
  <c r="AB7" i="36"/>
  <c r="T36" i="36" s="1"/>
  <c r="G36" i="36" s="1"/>
  <c r="F7" i="35"/>
  <c r="J7" i="35"/>
  <c r="C80" i="9" l="1"/>
  <c r="E80" i="9" s="1"/>
  <c r="E81" i="9" s="1"/>
  <c r="C6" i="74"/>
  <c r="D6" i="74"/>
  <c r="C96" i="9"/>
  <c r="E96" i="9" s="1"/>
  <c r="E97" i="9" s="1"/>
  <c r="AC7" i="35"/>
  <c r="V38" i="35" s="1"/>
  <c r="I38" i="35" s="1"/>
  <c r="W7" i="35"/>
  <c r="G41" i="36"/>
  <c r="H41" i="36" s="1"/>
  <c r="G40" i="36"/>
  <c r="H40" i="36" s="1"/>
  <c r="I40" i="36"/>
  <c r="J40" i="36" s="1"/>
  <c r="AA7" i="35"/>
  <c r="R38" i="35" s="1"/>
  <c r="S7" i="35"/>
  <c r="G43" i="35"/>
  <c r="H43" i="35" s="1"/>
  <c r="G42" i="35"/>
  <c r="H42" i="35" s="1"/>
  <c r="R37" i="36"/>
  <c r="E36" i="36"/>
  <c r="C97" i="9" l="1"/>
  <c r="D58" i="9" s="1"/>
  <c r="D56" i="9" s="1"/>
  <c r="M54" i="9" s="1"/>
  <c r="N57" i="9" s="1"/>
  <c r="P57" i="9" s="1"/>
  <c r="C81" i="9"/>
  <c r="C37" i="36"/>
  <c r="B2" i="36" s="1"/>
  <c r="B3" i="36" s="1"/>
  <c r="C36" i="36"/>
  <c r="E38" i="35"/>
  <c r="R39" i="35"/>
  <c r="E41" i="36"/>
  <c r="F41" i="36" s="1"/>
  <c r="E40" i="36"/>
  <c r="F40" i="36" s="1"/>
  <c r="I41" i="36"/>
  <c r="J41" i="36" s="1"/>
  <c r="I42" i="35"/>
  <c r="J42" i="35" s="1"/>
  <c r="I43" i="35"/>
  <c r="J43" i="35" s="1"/>
  <c r="N59" i="9" l="1"/>
  <c r="N60" i="9" s="1"/>
  <c r="N58" i="9"/>
  <c r="C38" i="35"/>
  <c r="C39" i="35"/>
  <c r="B2" i="35" s="1"/>
  <c r="B3" i="35" s="1"/>
  <c r="E43" i="35"/>
  <c r="F43" i="35" s="1"/>
  <c r="E42" i="35"/>
  <c r="F42" i="35"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<sst xmlns="http://schemas.openxmlformats.org/spreadsheetml/2006/main" count="7388" uniqueCount="3144">
  <si>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</si>
  <si>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</si>
  <si>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</si>
  <si>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</si>
  <si>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</si>
  <si>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</si>
  <si>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</si>
  <si>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</si>
  <si>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</si>
  <si>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</si>
  <si>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</si>
  <si>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</si>
  <si>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</si>
  <si>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</si>
  <si>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</si>
  <si>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</si>
  <si>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</si>
  <si>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</si>
  <si>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</si>
  <si>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</si>
  <si>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</si>
  <si>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</si>
  <si>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</si>
  <si>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</si>
  <si>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</si>
  <si>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</si>
  <si>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</si>
  <si>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</si>
  <si>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</si>
  <si>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</si>
  <si>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</si>
  <si>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</si>
  <si>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</si>
  <si>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</si>
  <si>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</si>
  <si>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</si>
  <si>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</si>
  <si>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</si>
  <si>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</si>
  <si>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</si>
  <si>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</si>
  <si>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</si>
  <si>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</si>
  <si>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</si>
  <si>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</si>
  <si>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</si>
  <si>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</si>
  <si>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</si>
  <si>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</si>
  <si>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</si>
  <si>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</si>
  <si>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</si>
  <si>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</si>
  <si>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</si>
  <si>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</si>
  <si>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</si>
  <si>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</si>
  <si>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</si>
  <si>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</si>
  <si>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</si>
  <si>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</si>
  <si>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</si>
  <si>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</si>
  <si>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</si>
  <si>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</si>
  <si>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</si>
  <si>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</si>
  <si>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</si>
  <si>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</si>
  <si>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</si>
  <si>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</si>
  <si>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</si>
  <si>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</si>
  <si>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</si>
  <si>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</si>
  <si>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</si>
  <si>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</si>
  <si>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</si>
  <si>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</si>
  <si>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</si>
  <si>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</si>
  <si>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</si>
  <si>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</si>
  <si>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</si>
  <si>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</si>
  <si>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</si>
  <si>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</si>
  <si>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</si>
  <si>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</si>
  <si>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</si>
  <si>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</si>
  <si>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</si>
  <si>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</si>
  <si>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</si>
  <si>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</si>
  <si>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</si>
  <si>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</si>
  <si>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</si>
  <si>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</si>
  <si>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</si>
  <si>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</si>
  <si>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</si>
  <si>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</si>
  <si>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</si>
  <si>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</si>
  <si>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</si>
  <si>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</si>
  <si>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</si>
  <si>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</si>
  <si>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</si>
  <si>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</si>
  <si>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</si>
  <si>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</si>
  <si>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</si>
  <si>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</si>
  <si>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</si>
  <si>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</si>
  <si>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</si>
  <si>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</si>
  <si>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</si>
  <si>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</si>
  <si>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</si>
  <si>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</si>
  <si>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</si>
  <si>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</si>
  <si>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</si>
  <si>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</si>
  <si>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</si>
  <si>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</si>
  <si>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</si>
  <si>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</si>
  <si>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</si>
  <si>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</si>
  <si>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</si>
  <si>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</si>
  <si>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</si>
  <si>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</si>
  <si>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</si>
  <si>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</si>
  <si>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</si>
  <si>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</si>
  <si>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</si>
  <si>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</si>
  <si>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</si>
  <si>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</si>
  <si>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</si>
  <si>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</si>
  <si>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</si>
  <si>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</si>
  <si>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</si>
  <si>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</si>
  <si>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</si>
  <si>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</si>
  <si>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</si>
  <si>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</si>
  <si>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</si>
  <si>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</si>
  <si>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</si>
  <si>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</si>
  <si>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</si>
  <si>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</si>
  <si>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</si>
  <si>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</si>
  <si>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</si>
  <si>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</si>
  <si>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</si>
  <si>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</si>
  <si>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</si>
  <si>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</si>
  <si>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</si>
  <si>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</si>
  <si>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</si>
  <si>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</si>
  <si>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</si>
  <si>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</si>
  <si>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</si>
  <si>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</si>
  <si>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</si>
  <si>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</si>
  <si>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</si>
  <si>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</si>
  <si>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</si>
  <si>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</si>
  <si>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</si>
  <si>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</si>
  <si>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</si>
  <si>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</si>
  <si>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</si>
  <si>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</si>
  <si>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</si>
  <si>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</si>
  <si>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</si>
  <si>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</si>
  <si>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</si>
  <si>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</si>
  <si>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</si>
  <si>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</si>
  <si>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</si>
  <si>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</si>
  <si>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</si>
  <si>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</si>
  <si>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</si>
  <si>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</si>
  <si>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</si>
  <si>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</si>
  <si>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</si>
  <si>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</si>
  <si>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</si>
  <si>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</si>
  <si>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</si>
  <si>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</si>
  <si>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</si>
  <si>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</si>
  <si>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</si>
  <si>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</si>
  <si>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</si>
  <si>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</si>
  <si>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</si>
  <si>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</si>
  <si>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</si>
  <si>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</si>
  <si>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</si>
  <si>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</si>
  <si>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</si>
  <si>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</si>
  <si>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</si>
  <si>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</si>
  <si>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</si>
  <si>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</si>
  <si>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</si>
  <si>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</si>
  <si>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</si>
  <si>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</si>
  <si>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</si>
  <si>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</si>
  <si>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</si>
  <si>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</si>
  <si>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</si>
  <si>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</si>
  <si>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</si>
  <si>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</si>
  <si>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</si>
  <si>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</si>
  <si>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</si>
  <si>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</si>
  <si>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</si>
  <si>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</si>
  <si>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</si>
  <si>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</si>
  <si>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</si>
  <si>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</si>
  <si>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</si>
  <si>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</si>
  <si>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</si>
  <si>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</si>
  <si>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</si>
  <si>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</si>
  <si>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</si>
  <si>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</si>
  <si>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</si>
  <si>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</si>
  <si>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</si>
  <si>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</si>
  <si>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</si>
  <si>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</si>
  <si>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</si>
  <si>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</si>
  <si>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</si>
  <si>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</si>
  <si>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</si>
  <si>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</si>
  <si>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</si>
  <si>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</si>
  <si>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</si>
  <si>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</si>
  <si>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</si>
  <si>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</si>
  <si>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</si>
  <si>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</si>
  <si>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</si>
  <si>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</si>
  <si>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</si>
  <si>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</si>
  <si>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</si>
  <si>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</si>
  <si>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</si>
  <si>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</si>
  <si>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</si>
  <si>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</si>
  <si>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</si>
  <si>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</si>
  <si>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</si>
  <si>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</si>
  <si>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</si>
  <si>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</si>
  <si>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</si>
  <si>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</si>
  <si>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</si>
  <si>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</si>
  <si>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</si>
  <si>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</si>
  <si>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</si>
  <si>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</si>
  <si>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</si>
  <si>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</si>
  <si>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</si>
  <si>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</si>
  <si>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</si>
  <si>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</si>
  <si>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</si>
  <si>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</si>
  <si>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</si>
  <si>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</si>
  <si>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</si>
  <si>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</si>
  <si>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</si>
  <si>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</si>
  <si>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</si>
  <si>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</si>
  <si>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</si>
  <si>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</si>
  <si>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</si>
  <si>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</si>
  <si>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</si>
  <si>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</si>
  <si>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</si>
  <si>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</si>
  <si>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</si>
  <si>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</si>
  <si>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</si>
  <si>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</si>
  <si>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</si>
  <si>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</si>
  <si>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</si>
  <si>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</si>
  <si>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</si>
  <si>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</si>
  <si>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</si>
  <si>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</si>
  <si>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</si>
  <si>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</si>
  <si>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</si>
  <si>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</si>
  <si>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</si>
  <si>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</si>
  <si>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</si>
  <si>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</si>
  <si>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</si>
  <si>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</si>
  <si>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</si>
  <si>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</si>
  <si>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</si>
  <si>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</si>
  <si>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</si>
  <si>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</si>
  <si>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</si>
  <si>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</si>
  <si>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</si>
  <si>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</si>
  <si>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</si>
  <si>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</si>
  <si>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</si>
  <si>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</si>
  <si>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</si>
  <si>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</si>
  <si>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</si>
  <si>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</si>
  <si>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</si>
  <si>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</si>
  <si>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</si>
  <si>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</si>
  <si>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</si>
  <si>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</si>
  <si>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</si>
  <si>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</si>
  <si>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</si>
  <si>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</si>
  <si>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</si>
  <si>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</si>
  <si>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</si>
  <si>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</si>
  <si>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</si>
  <si>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</si>
  <si>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</si>
  <si>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</si>
  <si>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</si>
  <si>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</si>
  <si>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</si>
  <si>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</si>
  <si>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</si>
  <si>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</si>
  <si>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</si>
  <si>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</si>
  <si>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</si>
  <si>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</si>
  <si>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</si>
  <si>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</si>
  <si>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</si>
  <si>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</si>
  <si>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</si>
  <si>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</si>
  <si>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</si>
  <si>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</si>
  <si>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</si>
  <si>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</si>
  <si>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</si>
  <si>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</si>
  <si>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</si>
  <si>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</si>
  <si>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</si>
  <si>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</si>
  <si>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</si>
  <si>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</si>
  <si>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</si>
  <si>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</si>
  <si>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</si>
  <si>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</si>
  <si>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</si>
  <si>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</si>
  <si>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</si>
  <si>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</si>
  <si>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</si>
  <si>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</si>
  <si>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</si>
  <si>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</si>
  <si>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</si>
  <si>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</si>
  <si>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</si>
  <si>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</si>
  <si>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</si>
  <si>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</si>
  <si>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</si>
  <si>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</si>
  <si>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</si>
  <si>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</si>
  <si>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</si>
  <si>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</si>
  <si>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</si>
  <si>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</si>
  <si>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</si>
  <si>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</si>
  <si>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</si>
  <si>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</si>
  <si>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</si>
  <si>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</si>
  <si>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</si>
  <si>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</si>
  <si>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</si>
  <si>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</si>
  <si>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</si>
  <si>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</si>
  <si>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</si>
  <si>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</si>
  <si>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</si>
  <si>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</si>
  <si>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</si>
  <si>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</si>
  <si>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</si>
  <si>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</si>
  <si>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</si>
  <si>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</si>
  <si>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</si>
  <si>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</si>
  <si>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</si>
  <si>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</si>
  <si>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</si>
  <si>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</si>
  <si>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</si>
  <si>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</si>
  <si>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</si>
  <si>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</si>
  <si>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</si>
  <si>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</si>
  <si>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</si>
  <si>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</si>
  <si>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</si>
  <si>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</si>
  <si>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</si>
  <si>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</si>
  <si>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</si>
  <si>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</si>
  <si>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</si>
  <si>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</si>
  <si>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</si>
  <si>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</si>
  <si>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</si>
  <si>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</si>
  <si>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</si>
  <si>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</si>
  <si>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</si>
  <si>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</si>
  <si>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</si>
  <si>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</si>
  <si>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</si>
  <si>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</si>
  <si>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</si>
  <si>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</si>
  <si>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</si>
  <si>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</si>
  <si>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</si>
  <si>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</si>
  <si>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</si>
  <si>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</si>
  <si>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</si>
  <si>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</si>
  <si>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</si>
  <si>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</si>
  <si>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</si>
  <si>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</si>
  <si>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</si>
  <si>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</si>
  <si>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</si>
  <si>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</si>
  <si>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</si>
  <si>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</si>
  <si>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</si>
  <si>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</si>
  <si>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</si>
  <si>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</si>
  <si>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</si>
  <si>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</si>
  <si>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</si>
  <si>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</si>
  <si>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</si>
  <si>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</si>
  <si>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</si>
  <si>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</si>
  <si>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</si>
  <si>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</si>
  <si>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</si>
  <si>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</si>
  <si>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</si>
  <si>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</si>
  <si>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</si>
  <si>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</si>
  <si>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</si>
  <si>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</si>
  <si>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</si>
  <si>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</si>
  <si>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</si>
  <si>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</si>
  <si>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</si>
  <si>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</si>
  <si>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</si>
  <si>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</si>
  <si>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</si>
  <si>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</si>
  <si>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</si>
  <si>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</si>
  <si>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</si>
  <si>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</si>
  <si>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</si>
  <si>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</si>
  <si>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</si>
  <si>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</si>
  <si>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</si>
  <si>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</si>
  <si>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</si>
  <si>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</si>
  <si>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</si>
  <si>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</si>
  <si>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</si>
  <si>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</si>
  <si>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</si>
  <si>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</si>
  <si>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</si>
  <si>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</si>
  <si>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</si>
  <si>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</si>
  <si>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</si>
  <si>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</si>
  <si>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</si>
  <si>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</si>
  <si>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</si>
  <si>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</si>
  <si>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</si>
  <si>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</si>
  <si>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</si>
  <si>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</si>
  <si>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</si>
  <si>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</si>
  <si>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</si>
  <si>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</si>
  <si>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</si>
  <si>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</si>
  <si>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</si>
  <si>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</si>
  <si>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</si>
  <si>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</si>
  <si>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</si>
  <si>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</si>
  <si>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</si>
  <si>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</si>
  <si>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</si>
  <si>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</si>
  <si>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</si>
  <si>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</si>
  <si>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</si>
  <si>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</si>
  <si>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</si>
  <si>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</si>
  <si>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</si>
  <si>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</si>
  <si>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</si>
  <si>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</si>
  <si>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</si>
  <si>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</si>
  <si>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</si>
  <si>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</si>
  <si>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</si>
  <si>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</si>
  <si>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</si>
  <si>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</si>
  <si>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</si>
  <si>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</si>
  <si>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</si>
  <si>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</si>
  <si>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</si>
  <si>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</si>
  <si>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</si>
  <si>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</si>
  <si>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</si>
  <si>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</si>
  <si>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</si>
  <si>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</si>
  <si>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</si>
  <si>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</si>
  <si>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</si>
  <si>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</si>
  <si>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</si>
  <si>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</si>
  <si>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</si>
  <si>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</si>
  <si>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</si>
  <si>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</si>
  <si>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</si>
  <si>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</si>
  <si>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</si>
  <si>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</si>
  <si>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</si>
  <si>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</si>
  <si>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</si>
  <si>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</si>
  <si>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</si>
  <si>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</si>
  <si>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</si>
  <si>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</si>
  <si>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</si>
  <si>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</si>
  <si>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</si>
  <si>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</si>
  <si>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</si>
  <si>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</si>
  <si>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</si>
  <si>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</si>
  <si>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</si>
  <si>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</si>
  <si>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</si>
  <si>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</si>
  <si>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</si>
  <si>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</si>
  <si>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</si>
  <si>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</si>
  <si>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</si>
  <si>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</si>
  <si>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</si>
  <si>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</si>
  <si>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</si>
  <si>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</si>
  <si>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</si>
  <si>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</si>
  <si>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</si>
  <si>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</si>
  <si>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</si>
  <si>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</si>
  <si>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</si>
  <si>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</si>
  <si>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</si>
  <si>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</si>
  <si>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</si>
  <si>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</si>
  <si>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</si>
  <si>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</si>
  <si>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</si>
  <si>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</si>
  <si>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</si>
  <si>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</si>
  <si>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</si>
  <si>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</si>
  <si>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</si>
  <si>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</si>
  <si>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</si>
  <si>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</si>
  <si>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</si>
  <si>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</si>
  <si>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</si>
  <si>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</si>
  <si>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</si>
  <si>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</si>
  <si>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</si>
  <si>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</si>
  <si>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</si>
  <si>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</si>
  <si>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</si>
  <si>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</si>
  <si>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</si>
  <si>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</si>
  <si>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</si>
  <si>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</si>
  <si>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</si>
  <si>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</si>
  <si>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</si>
  <si>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</si>
  <si>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</si>
  <si>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</si>
  <si>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</si>
  <si>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</si>
  <si>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</si>
  <si>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</si>
  <si>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</si>
  <si>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</si>
  <si>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</si>
  <si>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</si>
  <si>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</si>
  <si>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</si>
  <si>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</si>
  <si>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</si>
  <si>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</si>
  <si>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</si>
  <si>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</si>
  <si>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</si>
  <si>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</si>
  <si>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</si>
  <si>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</si>
  <si>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</si>
  <si>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</si>
  <si>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</si>
  <si>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</si>
  <si>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</si>
  <si>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</si>
  <si>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</si>
  <si>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</si>
  <si>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</si>
  <si>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</si>
  <si>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</si>
  <si>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</si>
  <si>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</si>
  <si>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</si>
  <si>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</si>
  <si>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</si>
  <si>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</si>
  <si>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</si>
  <si>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</si>
  <si>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</si>
  <si>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</si>
  <si>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</si>
  <si>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</si>
  <si>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</si>
  <si>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</si>
  <si>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</si>
  <si>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</si>
  <si>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</si>
  <si>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</si>
  <si>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</si>
  <si>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</si>
  <si>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</si>
  <si>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</si>
  <si>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</si>
  <si>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</si>
  <si>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</si>
  <si>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</si>
  <si>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</si>
  <si>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</si>
  <si>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</si>
  <si>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</si>
  <si>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</si>
  <si>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</si>
  <si>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</si>
  <si>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</si>
  <si>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</si>
  <si>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</si>
  <si>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</si>
  <si>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</si>
  <si>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</si>
  <si>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</si>
  <si>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</si>
  <si>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</si>
  <si>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</si>
  <si>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</si>
  <si>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</si>
  <si>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</si>
  <si>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</si>
  <si>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</si>
  <si>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</si>
  <si>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</si>
  <si>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</si>
  <si>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</si>
  <si>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</si>
  <si>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</si>
  <si>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</si>
  <si>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</si>
  <si>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</si>
  <si>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</si>
  <si>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</si>
  <si>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</si>
  <si>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</si>
  <si>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</si>
  <si>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</si>
  <si>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</si>
  <si>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</si>
  <si>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</si>
  <si>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</si>
  <si>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</si>
  <si>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</si>
  <si>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</si>
  <si>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</si>
  <si>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</si>
  <si>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</si>
  <si>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</si>
  <si>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</si>
  <si>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</si>
  <si>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</si>
  <si>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</si>
  <si>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</si>
  <si>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</si>
  <si>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</si>
  <si>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</si>
  <si>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</si>
  <si>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</si>
  <si>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</si>
  <si>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</si>
  <si>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</si>
  <si>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</si>
  <si>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</si>
  <si>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</si>
  <si>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</si>
  <si>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</si>
  <si>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</si>
  <si>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</si>
  <si>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</si>
  <si>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</si>
  <si>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</si>
  <si>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</si>
  <si>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</si>
  <si>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</si>
  <si>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</si>
  <si>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</si>
  <si>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</si>
  <si>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</si>
  <si>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</si>
  <si>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</si>
  <si>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</si>
  <si>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</si>
  <si>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</si>
  <si>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</si>
  <si>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</si>
  <si>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</si>
  <si>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</si>
  <si>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</si>
  <si>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</si>
  <si>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</si>
  <si>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</si>
  <si>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</si>
  <si>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</si>
  <si>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</si>
  <si>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</si>
  <si>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</si>
  <si>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</si>
  <si>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</si>
  <si>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</si>
  <si>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</si>
  <si>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</si>
  <si>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</si>
  <si>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</si>
  <si>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</si>
  <si>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</si>
  <si>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</si>
  <si>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</si>
  <si>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</si>
  <si>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</si>
  <si>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</si>
  <si>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</si>
  <si>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</si>
  <si>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</si>
  <si>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</si>
  <si>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</si>
  <si>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</si>
  <si>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</si>
  <si>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</si>
  <si>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</si>
  <si>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</si>
  <si>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</si>
  <si>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</si>
  <si>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</si>
  <si>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</si>
  <si>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</si>
  <si>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</si>
  <si>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</si>
  <si>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</si>
  <si>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</si>
  <si>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</si>
  <si>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</si>
  <si>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</si>
  <si>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</si>
  <si>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</si>
  <si>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</si>
  <si>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</si>
  <si>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</si>
  <si>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</si>
  <si>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</si>
  <si>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</si>
  <si>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</si>
  <si>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</si>
  <si>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</si>
  <si>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</si>
  <si>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</si>
  <si>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</si>
  <si>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</si>
  <si>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</si>
  <si>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</si>
  <si>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</si>
  <si>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</si>
  <si>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</si>
  <si>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</si>
  <si>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</si>
  <si>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</si>
  <si>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</si>
  <si>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</si>
  <si>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</si>
  <si>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</si>
  <si>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</si>
  <si>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</si>
  <si>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</si>
  <si>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</si>
  <si>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</si>
  <si>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</si>
  <si>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</si>
  <si>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</si>
  <si>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</si>
  <si>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</si>
  <si>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</si>
  <si>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</si>
  <si>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</si>
  <si>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</si>
  <si>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</si>
  <si>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</si>
  <si>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</si>
  <si>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</si>
  <si>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</si>
  <si>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</si>
  <si>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</si>
  <si>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</si>
  <si>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</si>
  <si>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</si>
  <si>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</si>
  <si>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</si>
  <si>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</si>
  <si>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</si>
  <si>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</si>
  <si>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</si>
  <si>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</si>
  <si>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</si>
  <si>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</si>
  <si>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</si>
  <si>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</si>
  <si>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</si>
  <si>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</si>
  <si>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</si>
  <si>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</si>
  <si>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</si>
  <si>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</si>
  <si>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</si>
  <si>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</si>
  <si>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</si>
  <si>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</si>
  <si>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</si>
  <si>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</si>
  <si>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</si>
  <si>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</si>
  <si>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</si>
  <si>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</si>
  <si>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</si>
  <si>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</si>
  <si>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</si>
  <si>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</si>
  <si>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</si>
  <si>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</si>
  <si>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</si>
  <si>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</si>
  <si>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</si>
  <si>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</si>
  <si>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</si>
  <si>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</si>
  <si>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</si>
  <si>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</si>
  <si>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</si>
  <si>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</si>
  <si>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</si>
  <si>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</si>
  <si>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</si>
  <si>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</si>
  <si>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</si>
  <si>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</si>
  <si>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</si>
  <si>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</si>
  <si>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</si>
  <si>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</si>
  <si>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</si>
  <si>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</si>
  <si>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</si>
  <si>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</si>
  <si>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</si>
  <si>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</si>
  <si>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</si>
  <si>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</si>
  <si>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</si>
  <si>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</si>
  <si>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</si>
  <si>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</si>
  <si>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</si>
  <si>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</si>
  <si>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</si>
  <si>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</si>
  <si>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</si>
  <si>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</si>
  <si>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</si>
  <si>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</si>
  <si>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</si>
  <si>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</si>
  <si>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</si>
  <si>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</si>
  <si>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</si>
  <si>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</si>
  <si>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</si>
  <si>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</si>
  <si>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</si>
  <si>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</si>
  <si>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</si>
  <si>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</si>
  <si>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</si>
  <si>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</si>
  <si>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</si>
  <si>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</si>
  <si>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</si>
  <si>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</si>
  <si>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</si>
  <si>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</si>
  <si>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</si>
  <si>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</si>
  <si>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</si>
  <si>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</si>
  <si>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</si>
  <si>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</si>
  <si>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</si>
  <si>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</si>
  <si>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</si>
  <si>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</si>
  <si>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</si>
  <si>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</si>
  <si>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</si>
  <si>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</si>
  <si>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</si>
  <si>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</si>
  <si>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</si>
  <si>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</si>
  <si>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</si>
  <si>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</si>
  <si>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</si>
  <si>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</si>
  <si>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</si>
  <si>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</si>
  <si>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</si>
  <si>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</si>
  <si>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</si>
  <si>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</si>
  <si>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</si>
  <si>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</si>
  <si>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</si>
  <si>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</si>
  <si>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</si>
  <si>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</si>
  <si>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</si>
  <si>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</si>
  <si>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</si>
  <si>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</si>
  <si>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</si>
  <si>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</si>
  <si>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</si>
  <si>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</si>
  <si>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</si>
  <si>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</si>
  <si>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</si>
  <si>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</si>
  <si>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</si>
  <si>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</si>
  <si>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</si>
  <si>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</si>
  <si>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</si>
  <si>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</si>
  <si>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</si>
  <si>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</si>
  <si>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</si>
  <si>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</si>
  <si>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</si>
  <si>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</si>
  <si>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</si>
  <si>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</si>
  <si>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</si>
  <si>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</si>
  <si>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</si>
  <si>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</si>
  <si>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</si>
  <si>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</si>
  <si>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</si>
  <si>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</si>
  <si>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</si>
  <si>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</si>
  <si>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</si>
  <si>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</si>
  <si>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</si>
  <si>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</si>
  <si>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</si>
  <si>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</si>
  <si>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</si>
  <si>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</si>
  <si>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</si>
  <si>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</si>
  <si>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</si>
  <si>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</si>
  <si>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</si>
  <si>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</si>
  <si>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</si>
  <si>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</si>
  <si>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</si>
  <si>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</si>
  <si>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</si>
  <si>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</si>
  <si>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</si>
  <si>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</si>
  <si>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</si>
  <si>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</si>
  <si>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</si>
  <si>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</si>
  <si>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</si>
  <si>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</si>
  <si>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</si>
  <si>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</si>
  <si>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</si>
  <si>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</si>
  <si>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</si>
  <si>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</si>
  <si>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</si>
  <si>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</si>
  <si>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</si>
  <si>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</si>
  <si>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</si>
  <si>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</si>
  <si>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</si>
  <si>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</si>
  <si>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</si>
  <si>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</si>
  <si>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</si>
  <si>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</si>
  <si>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</si>
  <si>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</si>
  <si>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</si>
  <si>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</si>
  <si>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</si>
  <si>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</si>
  <si>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</si>
  <si>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</si>
  <si>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</si>
  <si>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</si>
  <si>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</si>
  <si>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</si>
  <si>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</si>
  <si>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</si>
  <si>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</si>
  <si>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</si>
  <si>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</si>
  <si>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</si>
  <si>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</si>
  <si>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</si>
  <si>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</si>
  <si>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</si>
  <si>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</si>
  <si>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</si>
  <si>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</si>
  <si>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</si>
  <si>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</si>
  <si>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</si>
  <si>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</si>
  <si>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</si>
  <si>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</si>
  <si>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</si>
  <si>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</si>
  <si>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</si>
  <si>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</si>
  <si>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</si>
  <si>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</si>
  <si>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</si>
  <si>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</si>
  <si>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</si>
  <si>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</si>
  <si>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</si>
  <si>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</si>
  <si>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</si>
  <si>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</si>
  <si>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</si>
  <si>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</si>
  <si>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</si>
  <si>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</si>
  <si>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</si>
  <si>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</si>
  <si>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</si>
  <si>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</si>
  <si>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</si>
  <si>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</si>
  <si>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</si>
  <si>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</si>
  <si>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</si>
  <si>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</si>
  <si>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</si>
  <si>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</si>
  <si>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</si>
  <si>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</si>
  <si>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</si>
  <si>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</si>
  <si>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</si>
  <si>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</si>
  <si>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</si>
  <si>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</si>
  <si>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</si>
  <si>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</si>
  <si>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</si>
  <si>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</si>
  <si>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</si>
  <si>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</si>
  <si>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</si>
  <si>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</si>
  <si>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</si>
  <si>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</si>
  <si>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</si>
  <si>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</si>
  <si>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</si>
  <si>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</si>
  <si>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</si>
  <si>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</si>
  <si>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</si>
  <si>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</si>
  <si>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</si>
  <si>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</si>
  <si>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</si>
  <si>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</si>
  <si>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</si>
  <si>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</si>
  <si>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</si>
  <si>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</si>
  <si>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</si>
  <si>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</si>
  <si>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</si>
  <si>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</si>
  <si>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</si>
  <si>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</si>
  <si>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</si>
  <si>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</si>
  <si>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</si>
  <si>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</si>
  <si>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</si>
  <si>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</si>
  <si>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</si>
  <si>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</si>
  <si>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</si>
  <si>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</si>
  <si>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</si>
  <si>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</si>
  <si>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</si>
  <si>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</si>
  <si>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</si>
  <si>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</si>
  <si>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</si>
  <si>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</si>
  <si>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</si>
  <si>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</si>
  <si>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</si>
  <si>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</si>
  <si>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</si>
  <si>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</si>
  <si>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</si>
  <si>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</si>
  <si>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</si>
  <si>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</si>
  <si>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</si>
  <si>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</si>
  <si>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</si>
  <si>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</si>
  <si>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</si>
  <si>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</si>
  <si>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</si>
  <si>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</si>
  <si>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</si>
  <si>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</si>
  <si>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</si>
  <si>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</si>
  <si>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</si>
  <si>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</si>
  <si>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</si>
  <si>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</si>
  <si>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</si>
  <si>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</si>
  <si>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</si>
  <si>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</si>
  <si>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</si>
  <si>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</si>
  <si>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</si>
  <si>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</si>
  <si>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</si>
  <si>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</si>
  <si>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</si>
  <si>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</si>
  <si>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</si>
  <si>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</si>
  <si>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</si>
  <si>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</si>
  <si>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</si>
  <si>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</si>
  <si>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</si>
  <si>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</si>
  <si>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</si>
  <si>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</si>
  <si>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</si>
  <si>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</si>
  <si>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</si>
  <si>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</si>
  <si>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</si>
  <si>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</si>
  <si>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</si>
  <si>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</si>
  <si>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</si>
  <si>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</si>
  <si>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</si>
  <si>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</si>
  <si>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</si>
  <si>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</si>
  <si>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</si>
  <si>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</si>
  <si>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</si>
  <si>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</si>
  <si>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</si>
  <si>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</si>
  <si>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</si>
  <si>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</si>
  <si>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</si>
  <si>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</si>
  <si>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</si>
  <si>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</si>
  <si>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</si>
  <si>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</si>
  <si>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</si>
  <si>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</si>
  <si>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</si>
  <si>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</si>
  <si>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</si>
  <si>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</si>
  <si>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</si>
  <si>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</si>
  <si>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</si>
  <si>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</si>
  <si>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</si>
  <si>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</si>
  <si>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</si>
  <si>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</si>
  <si>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</si>
  <si>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</si>
  <si>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</si>
  <si>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</si>
  <si>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</si>
  <si>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</si>
  <si>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</si>
  <si>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</si>
  <si>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</si>
  <si>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</si>
  <si>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</si>
  <si>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</si>
  <si>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</si>
  <si>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</si>
  <si>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</si>
  <si>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</si>
  <si>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</si>
  <si>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</si>
  <si>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</si>
  <si>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</si>
  <si>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</si>
  <si>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</si>
  <si>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</si>
  <si>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</si>
  <si>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</si>
  <si>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</si>
  <si>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</si>
  <si>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</si>
  <si>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</si>
  <si>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</si>
  <si>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</si>
  <si>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</si>
  <si>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</si>
  <si>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</si>
  <si>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</si>
  <si>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</si>
  <si>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</si>
  <si>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</si>
  <si>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</si>
  <si>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</si>
  <si>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</si>
  <si>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</si>
  <si>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</si>
  <si>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</si>
  <si>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</si>
  <si>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</si>
  <si>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</si>
  <si>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</si>
  <si>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</si>
  <si>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</si>
  <si>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</si>
  <si>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</si>
  <si>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</si>
  <si>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</si>
  <si>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</si>
  <si>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</si>
  <si>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</si>
  <si>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</si>
  <si>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</si>
  <si>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</si>
  <si>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</si>
  <si>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</si>
  <si>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</si>
  <si>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</si>
  <si>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</si>
  <si>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</si>
  <si>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</si>
  <si>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</si>
  <si>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</si>
  <si>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</si>
  <si>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</si>
  <si>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</si>
  <si>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</si>
  <si>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</si>
  <si>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</si>
  <si>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</si>
  <si>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</si>
  <si>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</si>
  <si>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</si>
  <si>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</si>
  <si>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</si>
  <si>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</si>
  <si>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</si>
  <si>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</si>
  <si>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</si>
  <si>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</si>
  <si>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</si>
  <si>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</si>
  <si>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</si>
  <si>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</si>
  <si>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</si>
  <si>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</si>
  <si>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</si>
  <si>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</si>
  <si>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</si>
  <si>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</si>
  <si>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</si>
  <si>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</si>
  <si>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</si>
  <si>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</si>
  <si>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</si>
  <si>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</si>
  <si>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</si>
  <si>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</si>
  <si>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</si>
  <si>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</si>
  <si>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</si>
  <si>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</si>
  <si>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</si>
  <si>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</si>
  <si>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</si>
  <si>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</si>
  <si>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</si>
  <si>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</si>
  <si>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</si>
  <si>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</si>
  <si>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</si>
  <si>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</si>
  <si>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</si>
  <si>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</si>
  <si>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</si>
  <si>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</si>
  <si>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</si>
  <si>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</si>
  <si>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</si>
  <si>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</si>
  <si>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</si>
  <si>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</si>
  <si>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</si>
  <si>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</si>
  <si>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</si>
  <si>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</si>
  <si>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</si>
  <si>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</si>
  <si>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</si>
  <si>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</si>
  <si>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</si>
  <si>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</si>
  <si>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</si>
  <si>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</si>
  <si>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</si>
  <si>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</si>
  <si>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</si>
  <si>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</si>
  <si>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</si>
  <si>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</si>
  <si>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</si>
  <si>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</si>
  <si>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</si>
  <si>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</si>
  <si>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</si>
  <si>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</si>
  <si>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</si>
  <si>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</si>
  <si>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</si>
  <si>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</si>
  <si>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</si>
  <si>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</si>
  <si>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</si>
  <si>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</si>
  <si>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</si>
  <si>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</si>
  <si>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</si>
  <si>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</si>
  <si>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</si>
  <si>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</si>
  <si>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</si>
  <si>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</si>
  <si>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</si>
  <si>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</si>
  <si>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</si>
  <si>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</si>
  <si>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</si>
  <si>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</si>
  <si>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</si>
  <si>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</si>
  <si>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</si>
  <si>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</si>
  <si>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</si>
  <si>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</si>
  <si>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</si>
  <si>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</si>
  <si>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</si>
  <si>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</si>
  <si>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</si>
  <si>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</si>
  <si>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</si>
  <si>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</si>
  <si>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</si>
  <si>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</si>
  <si>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</si>
  <si>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</si>
  <si>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</si>
  <si>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</si>
  <si>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</si>
  <si>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</si>
  <si>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</si>
  <si>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</si>
  <si>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</si>
  <si>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</si>
  <si>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</si>
  <si>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</si>
  <si>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</si>
  <si>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</si>
  <si>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</si>
  <si>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</si>
  <si>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</si>
  <si>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</si>
  <si>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</si>
  <si>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</si>
  <si>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</si>
  <si>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</si>
  <si>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</si>
  <si>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</si>
  <si>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</si>
  <si>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</si>
  <si>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</si>
  <si>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</si>
  <si>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</si>
  <si>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</si>
  <si>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</si>
  <si>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</si>
  <si>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</si>
  <si>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</si>
  <si>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</si>
  <si>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</si>
  <si>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</si>
  <si>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</si>
  <si>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</si>
  <si>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</si>
  <si>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</si>
  <si>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</si>
  <si>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</si>
  <si>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</si>
  <si>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</si>
  <si>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</si>
  <si>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</si>
  <si>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</si>
  <si>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</si>
  <si>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</si>
  <si>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</si>
  <si>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</si>
  <si>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</si>
  <si>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</si>
  <si>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</si>
  <si>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</si>
  <si>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</si>
  <si>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</si>
  <si>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</si>
  <si>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</si>
  <si>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</si>
  <si>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</si>
  <si>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</si>
  <si>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</si>
  <si>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</si>
  <si>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</si>
  <si>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</si>
  <si>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</si>
  <si>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</si>
  <si>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</si>
  <si>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</si>
  <si>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</si>
  <si>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</si>
  <si>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</si>
  <si>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</si>
  <si>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</si>
  <si>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</si>
  <si>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</si>
  <si>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</si>
  <si>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</si>
  <si>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</si>
  <si>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</si>
  <si>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</si>
  <si>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</si>
  <si>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</si>
  <si>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</si>
  <si>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</si>
  <si>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</si>
  <si>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</si>
  <si>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</si>
  <si>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</si>
  <si>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</si>
  <si>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</si>
  <si>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</si>
  <si>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</si>
  <si>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</si>
  <si>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</si>
  <si>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</si>
  <si>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</si>
  <si>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</si>
  <si>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</si>
  <si>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</si>
  <si>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</si>
  <si>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</si>
  <si>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</si>
  <si>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</si>
  <si>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</si>
  <si>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</si>
  <si>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</si>
  <si>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</si>
  <si>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</si>
  <si>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</si>
  <si>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</si>
  <si>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</si>
  <si>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</si>
  <si>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</si>
  <si>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</si>
  <si>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</si>
  <si>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</si>
  <si>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</si>
  <si>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</si>
  <si>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</si>
  <si>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</si>
  <si>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</si>
  <si>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</si>
  <si>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</si>
  <si>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</si>
  <si>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</si>
  <si>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</si>
  <si>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</si>
  <si>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</si>
  <si>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</si>
  <si>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</si>
  <si>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</si>
  <si>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</si>
  <si>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</si>
  <si>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</si>
  <si>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</si>
  <si>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</si>
  <si>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</si>
  <si>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</si>
  <si>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</si>
  <si>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</si>
  <si>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</si>
  <si>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</si>
  <si>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</si>
  <si>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</si>
  <si>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</si>
  <si>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</si>
  <si>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</si>
  <si>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</si>
  <si>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</si>
  <si>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</si>
  <si>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</si>
  <si>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</si>
  <si>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</si>
  <si>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</si>
  <si>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</si>
  <si>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</si>
  <si>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</si>
  <si>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</si>
  <si>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</si>
  <si>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</si>
  <si>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</si>
  <si>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</si>
  <si>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</si>
  <si>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</si>
  <si>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</si>
  <si>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</si>
  <si>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</si>
  <si>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</si>
  <si>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</si>
  <si>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</si>
  <si>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</si>
  <si>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</si>
  <si>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</si>
  <si>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</si>
  <si>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</si>
  <si>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</si>
  <si>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</si>
  <si>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</si>
  <si>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</si>
  <si>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</si>
  <si>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</si>
  <si>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</si>
  <si>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</si>
  <si>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</si>
  <si>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</si>
  <si>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</si>
  <si>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</si>
  <si>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</si>
  <si>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</si>
  <si>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</si>
  <si>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</si>
  <si>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</si>
  <si>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</si>
  <si>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</si>
  <si>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</si>
  <si>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</si>
  <si>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</si>
  <si>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</si>
  <si>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</si>
  <si>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</si>
  <si>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</si>
  <si>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</si>
  <si>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</si>
  <si>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</si>
  <si>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</si>
  <si>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</si>
  <si>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</si>
  <si>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</si>
  <si>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</si>
  <si>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</si>
  <si>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</si>
  <si>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</si>
  <si>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</si>
  <si>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</si>
  <si>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</si>
  <si>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</si>
  <si>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</si>
  <si>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</si>
  <si>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</si>
  <si>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</si>
  <si>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</si>
  <si>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</si>
  <si>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</si>
  <si>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</si>
  <si>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</si>
  <si>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</si>
  <si>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</si>
  <si>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</si>
  <si>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</si>
  <si>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</si>
  <si>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</si>
  <si>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</si>
  <si>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</si>
  <si>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</si>
  <si>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</si>
  <si>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</si>
  <si>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</si>
  <si>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</si>
  <si>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</si>
  <si>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</si>
  <si>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</si>
  <si>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</si>
  <si>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</si>
  <si>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</si>
  <si>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</si>
  <si>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</si>
  <si>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</si>
  <si>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</si>
  <si>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</si>
  <si>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</si>
  <si>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</si>
  <si>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</si>
  <si>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</si>
  <si>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</si>
  <si>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</si>
  <si>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</si>
  <si>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</si>
  <si>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</si>
  <si>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</si>
  <si>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</si>
  <si>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</si>
  <si>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</si>
  <si>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</si>
  <si>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</si>
  <si>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</si>
  <si>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</si>
  <si>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</si>
  <si>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</si>
  <si>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</si>
  <si>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</si>
  <si>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</si>
  <si>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</si>
  <si>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</si>
  <si>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</si>
  <si>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</si>
  <si>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</si>
  <si>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</si>
  <si>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</si>
  <si>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</si>
  <si>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</si>
  <si>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</si>
  <si>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</si>
  <si>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</si>
  <si>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</si>
  <si>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</si>
  <si>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</si>
  <si>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</si>
  <si>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</si>
  <si>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</si>
  <si>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</si>
  <si>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</si>
  <si>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</si>
  <si>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</si>
  <si>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</si>
  <si>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</si>
  <si>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</si>
  <si>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</si>
  <si>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</si>
  <si>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</si>
  <si>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</si>
  <si>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</si>
  <si>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</si>
  <si>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</si>
  <si>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</si>
  <si>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</si>
  <si>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</si>
  <si>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</si>
  <si>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</si>
  <si>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</si>
  <si>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</si>
  <si>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</si>
  <si>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</si>
  <si>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</si>
  <si>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</si>
  <si>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</si>
  <si>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</si>
  <si>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</si>
  <si>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</si>
  <si>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</si>
  <si>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</si>
  <si>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</si>
  <si>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</si>
  <si>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</si>
  <si>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</si>
  <si>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</si>
  <si>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</si>
  <si>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</si>
  <si>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</si>
  <si>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</si>
  <si>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</si>
  <si>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</si>
  <si>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</si>
  <si>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</si>
  <si>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</si>
  <si>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</si>
  <si>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</si>
  <si>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</si>
  <si>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</si>
  <si>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</si>
  <si>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</si>
  <si>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</si>
  <si>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</si>
  <si>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</si>
  <si>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</si>
  <si>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</si>
  <si>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</si>
  <si>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</si>
  <si>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</si>
  <si>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</si>
  <si>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</si>
  <si>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</si>
  <si>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</si>
  <si>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</si>
  <si>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</si>
  <si>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</si>
  <si>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</si>
  <si>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</si>
  <si>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</si>
  <si>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</si>
  <si>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</si>
  <si>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</si>
  <si>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</si>
  <si>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</si>
  <si>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</si>
  <si>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</si>
  <si>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</si>
  <si>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</si>
  <si>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</si>
  <si>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</si>
  <si>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</si>
  <si>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</si>
  <si>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</si>
  <si>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</si>
  <si>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</si>
  <si>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</si>
  <si>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</si>
  <si>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</si>
  <si>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</si>
  <si>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</si>
  <si>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</si>
  <si>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</si>
  <si>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</si>
  <si>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</si>
  <si>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</si>
  <si>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</si>
  <si>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</si>
  <si>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</si>
  <si>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</si>
  <si>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</si>
  <si>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</si>
  <si>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</si>
  <si>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</si>
  <si>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</si>
  <si>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</si>
  <si>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</si>
  <si>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</si>
  <si>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</si>
  <si>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</si>
  <si>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</si>
  <si>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</si>
  <si>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</si>
  <si>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</si>
  <si>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</si>
  <si>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</si>
  <si>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</si>
  <si>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</si>
  <si>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</si>
  <si>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</si>
  <si>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</si>
  <si>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</si>
  <si>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</si>
  <si>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</si>
  <si>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</si>
  <si>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</si>
  <si>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</si>
  <si>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</si>
  <si>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</si>
  <si>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</si>
  <si>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</si>
  <si>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</si>
  <si>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</si>
  <si>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</si>
  <si>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</si>
  <si>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</si>
  <si>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</si>
  <si>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</si>
  <si>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</si>
  <si>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</si>
  <si>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</si>
  <si>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</si>
  <si>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</si>
  <si>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</si>
  <si>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</si>
  <si>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</si>
  <si>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</si>
  <si>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</si>
  <si>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</si>
  <si>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</si>
  <si>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</si>
  <si>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</si>
  <si>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</si>
  <si>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</si>
  <si>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</si>
  <si>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</si>
  <si>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</si>
  <si>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</si>
  <si>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</si>
  <si>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</si>
  <si>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</si>
  <si>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</si>
  <si>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</si>
  <si>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</si>
  <si>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</si>
  <si>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</si>
  <si>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</si>
  <si>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</si>
  <si>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</si>
  <si>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</si>
  <si>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</si>
  <si>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</si>
  <si>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</si>
  <si>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</si>
  <si>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</si>
  <si>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</si>
  <si>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</si>
  <si>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</si>
  <si>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</si>
  <si>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</si>
  <si>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</si>
  <si>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</si>
  <si>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</si>
  <si>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</si>
  <si>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</si>
  <si>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</si>
  <si>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</si>
  <si>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</si>
  <si>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</si>
  <si>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</si>
  <si>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</si>
  <si>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</si>
  <si>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</si>
  <si>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</si>
  <si>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</si>
  <si>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</si>
  <si>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</si>
  <si>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</si>
  <si>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</si>
  <si>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</si>
  <si>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</si>
  <si>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</si>
  <si>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</si>
  <si>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</si>
  <si>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</si>
  <si>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</si>
  <si>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</si>
  <si>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</si>
  <si>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</si>
  <si>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</si>
  <si>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</si>
  <si>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</si>
  <si>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</si>
  <si>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</si>
  <si>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</si>
  <si>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</si>
  <si>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</si>
  <si>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</si>
  <si>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</si>
  <si>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</si>
  <si>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</si>
  <si>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</si>
  <si>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</si>
  <si>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</si>
  <si>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</si>
  <si>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</si>
  <si>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</si>
  <si>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</si>
  <si>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</si>
  <si>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</si>
  <si>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</si>
  <si>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</si>
  <si>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</si>
  <si>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</si>
  <si>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</si>
  <si>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</si>
  <si>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</si>
  <si>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</si>
  <si>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</si>
  <si>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</si>
  <si>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</si>
  <si>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</si>
  <si>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</si>
  <si>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</si>
  <si>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</si>
  <si>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</si>
  <si>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</si>
  <si>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</si>
  <si>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</si>
  <si>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</si>
  <si>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</si>
  <si>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</si>
  <si>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</si>
  <si>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</si>
  <si>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</si>
  <si>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</si>
  <si>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</si>
  <si>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</si>
  <si>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</si>
  <si>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</si>
  <si>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</si>
  <si>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</si>
  <si>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</si>
  <si>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</si>
  <si>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</si>
  <si>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</si>
  <si>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</si>
  <si>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</si>
  <si>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</si>
  <si>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</si>
  <si>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</si>
  <si>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</si>
  <si>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</si>
  <si>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</si>
  <si>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</si>
  <si>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</si>
  <si>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</si>
  <si>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</si>
  <si>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</si>
  <si>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</si>
  <si>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</si>
  <si>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</si>
  <si>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</si>
  <si>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</si>
  <si>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</si>
  <si>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</si>
  <si>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</si>
  <si>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</si>
  <si>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</si>
  <si>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</si>
  <si>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</si>
  <si>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</si>
  <si>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</si>
  <si>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</si>
  <si>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</si>
  <si>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</si>
  <si>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</si>
  <si>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</si>
  <si>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</si>
  <si>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</si>
  <si>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</si>
  <si>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</si>
  <si>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</si>
  <si>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</si>
  <si>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</si>
  <si>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</si>
  <si>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</si>
  <si>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</si>
  <si>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</si>
  <si>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</si>
  <si>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</si>
  <si>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</si>
  <si>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</si>
  <si>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</si>
  <si>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</si>
  <si>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</si>
  <si>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</si>
  <si>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</si>
  <si>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</si>
  <si>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</si>
  <si>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</si>
  <si>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</si>
  <si>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</si>
  <si>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</si>
  <si>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</si>
  <si>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</si>
  <si>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</si>
  <si>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</si>
  <si>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</si>
  <si>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</si>
  <si>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</si>
  <si>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</si>
  <si>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</si>
  <si>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</si>
  <si>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</si>
  <si>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</si>
  <si>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</si>
  <si>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</si>
  <si>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</si>
  <si>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</si>
  <si>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</si>
  <si>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</si>
  <si>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</si>
  <si>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</si>
  <si>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</si>
  <si>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</si>
  <si>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</si>
  <si>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</si>
  <si>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</si>
  <si>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</si>
  <si>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</si>
  <si>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</si>
  <si>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</si>
  <si>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</si>
  <si>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</si>
  <si>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</si>
  <si>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</si>
  <si>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</si>
  <si>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</si>
  <si>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</si>
  <si>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</si>
  <si>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</si>
  <si>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</si>
  <si>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</si>
  <si>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</si>
  <si>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</si>
  <si>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</si>
  <si>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</si>
  <si>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</si>
  <si>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</si>
  <si>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</si>
  <si>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</si>
  <si>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</si>
  <si>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</si>
  <si>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</si>
  <si>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</si>
  <si>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</si>
  <si>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</si>
  <si>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</si>
  <si>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</si>
  <si>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</si>
  <si>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</si>
  <si>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</si>
  <si>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</si>
  <si>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</si>
  <si>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</si>
  <si>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</si>
  <si>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</si>
  <si>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</si>
  <si>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</si>
  <si>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</si>
  <si>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</si>
  <si>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</si>
  <si>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</si>
  <si>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</si>
  <si>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</si>
  <si>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</si>
  <si>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</si>
  <si>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</si>
  <si>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</si>
  <si>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</si>
  <si>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</si>
  <si>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</si>
  <si>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</si>
  <si>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</si>
  <si>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</si>
  <si>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</si>
  <si>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</si>
  <si>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</si>
  <si>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</si>
  <si>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</si>
  <si>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</si>
  <si>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</si>
  <si>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</si>
  <si>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</si>
  <si>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</si>
  <si>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</si>
  <si>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</si>
  <si>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</si>
  <si>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</si>
  <si>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</si>
  <si>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</si>
  <si>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</si>
  <si>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</si>
  <si>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</si>
  <si>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</si>
  <si>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</si>
  <si>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</si>
  <si>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</si>
  <si>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</si>
  <si>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</si>
  <si>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</si>
  <si>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</si>
  <si>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</si>
  <si>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</si>
  <si>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</si>
  <si>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</si>
  <si>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</si>
  <si>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</si>
  <si>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</si>
  <si>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</si>
  <si>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</si>
  <si>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</si>
  <si>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</si>
  <si>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</si>
  <si>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</si>
  <si>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</si>
  <si>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</si>
  <si>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</si>
  <si>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</si>
  <si>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</si>
  <si>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</si>
  <si>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</si>
  <si>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</si>
  <si>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</si>
  <si>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</si>
  <si>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</si>
  <si>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</si>
  <si>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</si>
  <si>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</si>
  <si>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</si>
  <si>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</si>
  <si>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</si>
  <si>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</si>
  <si>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</si>
  <si>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</si>
  <si>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</si>
  <si>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</si>
  <si>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</si>
  <si>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</si>
  <si>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</si>
  <si>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</si>
  <si>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</si>
  <si>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</si>
  <si>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</si>
  <si>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</si>
  <si>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</si>
  <si>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</si>
  <si>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</si>
  <si>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</si>
  <si>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</si>
  <si>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</si>
  <si>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</si>
  <si>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</si>
  <si>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</si>
  <si>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</si>
  <si>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</si>
  <si>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</si>
  <si>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</si>
  <si>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</si>
  <si>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</si>
  <si>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</si>
  <si>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</si>
  <si>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</si>
  <si>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</si>
  <si>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</si>
  <si>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</si>
  <si>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</si>
  <si>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</si>
  <si>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</si>
  <si>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</si>
  <si>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</si>
  <si>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</si>
  <si>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</si>
  <si>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</si>
  <si>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</si>
  <si>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</si>
  <si>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</si>
  <si>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</si>
  <si>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</si>
  <si>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</si>
  <si>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</si>
  <si>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</si>
  <si>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</si>
  <si>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</si>
  <si>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</si>
  <si>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</si>
  <si>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</si>
  <si>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</si>
  <si>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</si>
  <si>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</si>
  <si>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</si>
  <si>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</si>
  <si>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</si>
  <si>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</si>
  <si>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</si>
  <si>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</si>
  <si>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</si>
  <si>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</si>
  <si>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</si>
  <si>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</si>
  <si>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</si>
  <si>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</si>
  <si>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</si>
  <si>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</si>
  <si>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</si>
  <si>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</si>
  <si>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</si>
  <si>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</si>
  <si>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</si>
  <si>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</si>
  <si>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</si>
  <si>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</si>
  <si>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</si>
  <si>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</si>
  <si>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</si>
  <si>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</si>
  <si>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</si>
  <si>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</si>
  <si>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</si>
  <si>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</si>
  <si>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</si>
  <si>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</si>
  <si>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</si>
  <si>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</si>
  <si>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</si>
  <si>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</si>
  <si>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</si>
  <si>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</si>
  <si>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</si>
  <si>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</si>
  <si>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</si>
  <si>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</si>
  <si>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</si>
  <si>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</si>
  <si>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</si>
  <si>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</si>
  <si>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</si>
  <si>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</si>
  <si>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</si>
  <si>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</si>
  <si>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</si>
  <si>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</si>
  <si>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</si>
  <si>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</si>
  <si>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</si>
  <si>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</si>
  <si>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</si>
  <si>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</si>
  <si>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</si>
  <si>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</si>
  <si>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</si>
  <si>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</si>
  <si>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</si>
  <si>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</si>
  <si>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</si>
  <si>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</si>
  <si>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</si>
  <si>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</si>
  <si>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</si>
  <si>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</si>
  <si>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</si>
  <si>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</si>
  <si>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</si>
  <si>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</si>
  <si>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</si>
  <si>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</si>
  <si>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</si>
  <si>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</si>
  <si>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</si>
  <si>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</si>
  <si>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</si>
  <si>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</si>
  <si>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</si>
  <si>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</si>
  <si>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</si>
  <si>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</si>
  <si>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</si>
  <si>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</si>
  <si>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</si>
  <si>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</si>
  <si>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</si>
  <si>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</si>
  <si>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</si>
  <si>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</si>
  <si>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</si>
  <si>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</si>
  <si>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</si>
  <si>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</si>
  <si>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</si>
  <si>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</si>
  <si>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</si>
  <si>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</si>
  <si>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</si>
  <si>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</si>
  <si>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</si>
  <si>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</si>
  <si>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</si>
  <si>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</si>
  <si>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</si>
  <si>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</si>
  <si>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</si>
  <si>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</si>
  <si>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</si>
  <si>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</si>
  <si>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</si>
  <si>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</si>
  <si>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</si>
  <si>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</si>
  <si>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</si>
  <si>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</si>
  <si>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</si>
  <si>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</si>
  <si>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</si>
  <si>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</si>
  <si>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</si>
  <si>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</si>
  <si>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</si>
  <si>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</si>
  <si>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</si>
  <si>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</si>
  <si>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</si>
  <si>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</si>
  <si>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</si>
  <si>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</si>
  <si>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</si>
  <si>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</si>
  <si>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</si>
  <si>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</si>
  <si>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</si>
  <si>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</si>
  <si>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</si>
  <si>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</si>
  <si>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</si>
  <si>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</si>
  <si>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</si>
  <si>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</si>
  <si>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</si>
  <si>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</si>
  <si>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</si>
  <si>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</si>
  <si>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</si>
  <si>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</si>
  <si>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</si>
  <si>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</si>
  <si>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</si>
  <si>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</si>
  <si>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</si>
  <si>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</si>
  <si>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</si>
  <si>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</si>
  <si>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</si>
  <si>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</si>
  <si>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</si>
  <si>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</si>
  <si>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</si>
  <si>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</si>
  <si>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</si>
  <si>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</si>
  <si>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</si>
  <si>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</si>
  <si>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</si>
  <si>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</si>
  <si>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</si>
  <si>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</si>
  <si>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</si>
  <si>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</si>
  <si>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</si>
  <si>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</si>
  <si>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</si>
  <si>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</si>
  <si>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</si>
  <si>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</si>
  <si>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</si>
  <si>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</si>
  <si>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</si>
  <si>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</si>
  <si>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</si>
  <si>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</si>
  <si>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</si>
  <si>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</si>
  <si>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</si>
  <si>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</si>
  <si>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</si>
  <si>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</si>
  <si>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</si>
  <si>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</si>
  <si>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</si>
  <si>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</si>
  <si>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</si>
  <si>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</si>
  <si>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</si>
  <si>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</si>
  <si>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</si>
  <si>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</si>
  <si>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</si>
  <si>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</si>
  <si>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</si>
  <si>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</si>
  <si>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</si>
  <si>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</si>
  <si>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</si>
  <si>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</si>
  <si>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</si>
  <si>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</si>
  <si>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</si>
  <si>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</si>
  <si>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</si>
  <si>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</si>
  <si>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</si>
  <si>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</si>
  <si>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</si>
  <si>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</si>
  <si>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</si>
  <si>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</si>
  <si>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</si>
  <si>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</si>
  <si>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</si>
  <si>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</si>
  <si>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</si>
  <si>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</si>
  <si>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</si>
  <si>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</si>
  <si>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</si>
  <si>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</si>
  <si>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</si>
  <si>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</si>
  <si>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</si>
  <si>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</si>
  <si>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</si>
  <si>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</si>
  <si>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</si>
  <si>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</si>
  <si>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</si>
  <si>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</si>
  <si>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</si>
  <si>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</si>
  <si>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</si>
  <si>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</si>
  <si>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</si>
  <si>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</si>
  <si>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</si>
  <si>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</si>
  <si>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</si>
  <si>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</si>
  <si>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</si>
  <si>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</si>
  <si>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</si>
  <si>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</si>
  <si>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</si>
  <si>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</si>
  <si>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</si>
  <si>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</si>
  <si>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</si>
  <si>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</si>
  <si>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</si>
  <si>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</si>
  <si>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</si>
  <si>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</si>
  <si>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</si>
  <si>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</si>
  <si>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</si>
  <si>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</si>
  <si>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</si>
  <si>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</si>
  <si>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</si>
  <si>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</si>
  <si>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</si>
  <si>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</si>
  <si>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</si>
  <si>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</si>
  <si>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</si>
  <si>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</si>
  <si>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</si>
  <si>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</si>
  <si>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</si>
  <si>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</si>
  <si>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</si>
  <si>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</si>
  <si>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</si>
  <si>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</si>
  <si>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</si>
  <si>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</si>
  <si>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</si>
  <si>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</si>
  <si>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</si>
  <si>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</si>
  <si>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</si>
  <si>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</si>
  <si>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</si>
  <si>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</si>
  <si>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</si>
  <si>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</si>
  <si>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</si>
  <si>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</si>
  <si>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</si>
  <si>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</si>
  <si>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</si>
  <si>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</si>
  <si>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</si>
  <si>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</si>
  <si>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</si>
  <si>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</si>
  <si>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</si>
  <si>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</si>
  <si>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</si>
  <si>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</si>
  <si>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</si>
  <si>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</si>
  <si>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</si>
  <si>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</si>
  <si>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</si>
  <si>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</si>
  <si>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</si>
  <si>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</si>
  <si>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</si>
  <si>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</si>
  <si>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</si>
  <si>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</si>
  <si>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</si>
  <si>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</si>
  <si>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</si>
  <si>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</si>
  <si>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</si>
  <si>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</si>
  <si>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</si>
  <si>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</si>
  <si>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</si>
  <si>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</si>
  <si>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</si>
  <si>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</si>
  <si>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</si>
  <si>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</si>
  <si>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</si>
  <si>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</si>
  <si>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</si>
  <si>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</si>
  <si>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</si>
  <si>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</si>
  <si>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</si>
  <si>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</si>
  <si>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</si>
  <si>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</si>
  <si>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</si>
  <si>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</si>
  <si>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</si>
  <si>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</si>
  <si>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</si>
  <si>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</si>
  <si>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</si>
  <si>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</si>
  <si>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</si>
  <si>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</si>
  <si>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</si>
  <si>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</si>
  <si>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</si>
  <si>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</si>
  <si>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</si>
  <si>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</si>
  <si>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</si>
  <si>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</si>
  <si>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</si>
  <si>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</si>
  <si>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</si>
  <si>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</si>
  <si>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</si>
  <si>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</si>
  <si>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</si>
  <si>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</si>
  <si>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</si>
  <si>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</si>
  <si>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</si>
  <si>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</si>
  <si>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</si>
  <si>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</si>
  <si>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</si>
  <si>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</si>
  <si>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</si>
  <si>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</si>
  <si>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</si>
  <si>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</si>
  <si>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</si>
  <si>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</si>
  <si>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</si>
  <si>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</si>
  <si>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</si>
  <si>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</si>
  <si>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</si>
  <si>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</si>
  <si>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</si>
  <si>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</si>
  <si>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</si>
  <si>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</si>
  <si>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</si>
  <si>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</si>
  <si>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</si>
  <si>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</si>
  <si>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</si>
  <si>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</si>
  <si>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</si>
  <si>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</si>
  <si>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</si>
  <si>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</si>
  <si>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</si>
  <si>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</si>
  <si>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</si>
  <si>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</si>
  <si>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</si>
  <si>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</si>
  <si>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</si>
  <si>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</si>
  <si>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</si>
  <si>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</si>
  <si>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</si>
  <si>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</si>
  <si>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</si>
  <si>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</si>
  <si>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</si>
  <si>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</si>
  <si>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</si>
  <si>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</si>
  <si>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</si>
  <si>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</si>
  <si>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</si>
  <si>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</si>
  <si>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</si>
  <si>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</si>
  <si>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</si>
  <si>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</si>
  <si>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</si>
  <si>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</si>
  <si>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</si>
  <si>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</si>
  <si>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</si>
  <si>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</si>
  <si>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</si>
  <si>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</si>
  <si>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</si>
  <si>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</si>
  <si>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</si>
  <si>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</si>
  <si>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</si>
  <si>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</si>
  <si>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</si>
  <si>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</si>
  <si>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</si>
  <si>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</si>
  <si>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</si>
  <si>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</si>
  <si>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</si>
  <si>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</si>
  <si>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</si>
  <si>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</si>
  <si>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</si>
  <si>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</si>
  <si>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</si>
  <si>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</si>
  <si>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</si>
  <si>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</si>
  <si>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</si>
  <si>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</si>
  <si>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</si>
  <si>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</si>
  <si>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</si>
  <si>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</si>
  <si>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</si>
  <si>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</si>
  <si>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</si>
  <si>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</si>
  <si>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</si>
  <si>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</si>
  <si>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</si>
  <si>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</si>
  <si>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</si>
  <si>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</si>
  <si>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</si>
  <si>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</si>
  <si>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</si>
  <si>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</si>
  <si>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</si>
  <si>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</si>
  <si>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</si>
  <si>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</si>
  <si>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</si>
  <si>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</si>
  <si>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</si>
  <si>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</si>
  <si>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</si>
  <si>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</si>
  <si>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</si>
  <si>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</si>
  <si>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</si>
  <si>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</si>
  <si>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</si>
  <si>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</si>
  <si>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</si>
  <si>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</si>
  <si>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</si>
  <si>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</si>
  <si>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</si>
  <si>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</si>
  <si>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</si>
  <si>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</si>
  <si>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</si>
  <si>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</si>
  <si>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</si>
  <si>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</si>
  <si>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</si>
  <si>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</si>
  <si>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</si>
  <si>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</si>
  <si>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</si>
  <si>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</si>
  <si>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</si>
  <si>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</si>
  <si>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</si>
  <si>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</si>
  <si>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</si>
  <si>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</si>
  <si>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</si>
  <si>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</si>
  <si>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</si>
  <si>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</si>
  <si>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</si>
  <si>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</si>
  <si>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</si>
  <si>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</si>
  <si>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</si>
  <si>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</si>
  <si>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</si>
  <si>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</si>
  <si>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</si>
  <si>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</si>
  <si>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</si>
  <si>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</si>
  <si>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</si>
  <si>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</si>
  <si>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</si>
  <si>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</si>
  <si>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</si>
  <si>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</si>
  <si>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</si>
  <si>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</si>
  <si>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</si>
  <si>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</si>
  <si>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</si>
  <si>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</si>
  <si>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</si>
  <si>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</si>
  <si>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</si>
  <si>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</si>
  <si>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</si>
  <si>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</si>
  <si>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</si>
  <si>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</si>
  <si>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</si>
  <si>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</si>
  <si>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</si>
  <si>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</si>
  <si>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</si>
  <si>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</si>
  <si>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</si>
  <si>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</si>
  <si>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</si>
  <si>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</si>
  <si>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</si>
  <si>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</si>
  <si>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</si>
  <si>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</si>
  <si>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</si>
  <si>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</si>
  <si>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</si>
  <si>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</si>
  <si>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</si>
  <si>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</si>
  <si>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</si>
  <si>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</si>
  <si>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</si>
  <si>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</si>
  <si>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</si>
  <si>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</si>
  <si>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</si>
  <si>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</si>
  <si>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</si>
  <si>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</si>
  <si>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</si>
  <si>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</si>
  <si>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</si>
  <si>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</si>
  <si>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</si>
  <si>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</si>
  <si>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</si>
  <si>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</si>
  <si>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</si>
  <si>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</si>
  <si>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</si>
  <si>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</si>
  <si>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</si>
  <si>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</si>
  <si>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</si>
  <si>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</si>
  <si>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</si>
  <si>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</si>
  <si>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</si>
  <si>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</si>
  <si>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</si>
  <si>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</si>
  <si>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</si>
  <si>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</si>
  <si>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</si>
  <si>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</si>
  <si>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</si>
  <si>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</si>
  <si>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</si>
  <si>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</si>
  <si>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</si>
  <si>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</si>
  <si>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</si>
  <si>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</si>
  <si>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</si>
  <si>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</si>
  <si>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</si>
  <si>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</si>
  <si>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</si>
  <si>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</si>
  <si>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</si>
  <si>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</si>
  <si>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</si>
  <si>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</si>
  <si>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</si>
  <si>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</si>
  <si>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</si>
  <si>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</si>
  <si>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</si>
  <si>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</si>
  <si>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</si>
  <si>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</si>
  <si>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</si>
  <si>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</si>
  <si>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</si>
  <si>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</si>
  <si>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</si>
  <si>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</si>
  <si>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</si>
  <si>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</si>
  <si>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</si>
  <si>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</si>
  <si>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</si>
  <si>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</si>
  <si>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</si>
  <si>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</si>
  <si>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</si>
  <si>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</si>
  <si>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</si>
  <si>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</si>
  <si>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</si>
  <si>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</si>
  <si>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</si>
  <si>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</si>
  <si>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</si>
  <si>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</si>
  <si>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</si>
  <si>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</si>
  <si>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</si>
  <si>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</si>
  <si>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</si>
  <si>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</si>
  <si>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</si>
  <si>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</si>
  <si>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</si>
  <si>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</si>
  <si>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</si>
  <si>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</si>
  <si>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</si>
  <si>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</si>
  <si>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叶凌</t>
  </si>
  <si>
    <t>陈颖</t>
  </si>
  <si>
    <t>核定资产</t>
  </si>
  <si>
    <t>房地产市场价值</t>
  </si>
  <si>
    <t>北京博大新元房地产开发有限公司</t>
    <phoneticPr fontId="6" type="noConversion"/>
  </si>
  <si>
    <t>企业</t>
  </si>
  <si>
    <t>出让</t>
  </si>
  <si>
    <t>住宅</t>
  </si>
  <si>
    <t>住宅</t>
    <phoneticPr fontId="25" type="noConversion"/>
  </si>
  <si>
    <t>60-70（含）</t>
  </si>
  <si>
    <t>较好</t>
  </si>
  <si>
    <t>一般</t>
  </si>
  <si>
    <t>七通</t>
  </si>
  <si>
    <t>高层板楼</t>
  </si>
  <si>
    <t>小高层板楼</t>
  </si>
  <si>
    <t>80-90</t>
    <phoneticPr fontId="25" type="noConversion"/>
  </si>
  <si>
    <t>普通装修</t>
  </si>
  <si>
    <t>半装修</t>
  </si>
  <si>
    <t>半装修</t>
    <phoneticPr fontId="25" type="noConversion"/>
  </si>
  <si>
    <t>全装修</t>
  </si>
  <si>
    <t>全装修</t>
    <phoneticPr fontId="25" type="noConversion"/>
  </si>
  <si>
    <t>毛坯</t>
  </si>
  <si>
    <t>毛坯</t>
    <phoneticPr fontId="25" type="noConversion"/>
  </si>
  <si>
    <t>交房时间</t>
    <phoneticPr fontId="25" type="noConversion"/>
  </si>
  <si>
    <r>
      <rPr>
        <sz val="12"/>
        <color theme="9" tint="-0.249977111117893"/>
        <rFont val="宋体"/>
        <family val="3"/>
        <charset val="134"/>
      </rPr>
      <t>北京经济技术开发区河西区</t>
    </r>
    <r>
      <rPr>
        <sz val="12"/>
        <color theme="9" tint="-0.249977111117893"/>
        <rFont val="Arial"/>
        <family val="2"/>
      </rPr>
      <t>X90R1</t>
    </r>
    <r>
      <rPr>
        <sz val="12"/>
        <color theme="9" tint="-0.249977111117893"/>
        <rFont val="宋体"/>
        <family val="3"/>
        <charset val="134"/>
      </rPr>
      <t>、</t>
    </r>
    <r>
      <rPr>
        <sz val="12"/>
        <color theme="9" tint="-0.249977111117893"/>
        <rFont val="Arial"/>
        <family val="2"/>
      </rPr>
      <t>X90S1</t>
    </r>
    <r>
      <rPr>
        <sz val="12"/>
        <color theme="9" tint="-0.249977111117893"/>
        <rFont val="宋体"/>
        <family val="3"/>
        <charset val="134"/>
      </rPr>
      <t>地块</t>
    </r>
    <phoneticPr fontId="6" type="noConversion"/>
  </si>
  <si>
    <t>估价对象周边居住用地比例较高、居住小区规模较大但大部分社区正在发展完善中，周边已建成项目有南海家园社区、金茂悦、海梓府等，在建项目有金隅学府、和悦华锦、中铁国际公馆等，综合评价居住社区成熟度较好。</t>
    <phoneticPr fontId="41" type="noConversion"/>
  </si>
  <si>
    <t>估价对象所在区域公共配套设施齐备情况一般</t>
    <phoneticPr fontId="41" type="noConversion"/>
  </si>
  <si>
    <t>七通</t>
    <phoneticPr fontId="25" type="noConversion"/>
  </si>
  <si>
    <t>城市次干道——兴海路</t>
    <phoneticPr fontId="25" type="noConversion"/>
  </si>
  <si>
    <t>项目类型</t>
  </si>
  <si>
    <t>比较法-住宅</t>
  </si>
  <si>
    <t>钢混</t>
  </si>
  <si>
    <t>钢混</t>
    <phoneticPr fontId="25" type="noConversion"/>
  </si>
  <si>
    <t>梯户比</t>
    <phoneticPr fontId="25" type="noConversion"/>
  </si>
  <si>
    <t>南北</t>
  </si>
  <si>
    <t>南北</t>
    <phoneticPr fontId="25" type="noConversion"/>
  </si>
  <si>
    <t>临路状况</t>
    <phoneticPr fontId="25" type="noConversion"/>
  </si>
  <si>
    <t>城市次干道——兴海路</t>
    <phoneticPr fontId="25" type="noConversion"/>
  </si>
  <si>
    <t>城市次干道——博兴八路</t>
    <phoneticPr fontId="25" type="noConversion"/>
  </si>
  <si>
    <t>普通装修</t>
    <phoneticPr fontId="25" type="noConversion"/>
  </si>
  <si>
    <t>物业公司管理</t>
  </si>
  <si>
    <t>物业公司管理</t>
    <phoneticPr fontId="25" type="noConversion"/>
  </si>
  <si>
    <t>七通</t>
    <phoneticPr fontId="25" type="noConversion"/>
  </si>
  <si>
    <t>平层</t>
  </si>
  <si>
    <t>平层</t>
    <phoneticPr fontId="25" type="noConversion"/>
  </si>
  <si>
    <t>一梯多户</t>
    <phoneticPr fontId="25" type="noConversion"/>
  </si>
  <si>
    <t>正常</t>
  </si>
  <si>
    <t>城市次干道——博兴十路</t>
    <phoneticPr fontId="25" type="noConversion"/>
  </si>
  <si>
    <t xml:space="preserve"> </t>
    <phoneticPr fontId="143" type="noConversion"/>
  </si>
  <si>
    <t>小高层板楼</t>
    <phoneticPr fontId="25" type="noConversion"/>
  </si>
  <si>
    <t>高层板楼</t>
    <phoneticPr fontId="25" type="noConversion"/>
  </si>
  <si>
    <t>一梯多户</t>
    <phoneticPr fontId="25" type="noConversion"/>
  </si>
  <si>
    <t>名称</t>
    <phoneticPr fontId="3" type="noConversion"/>
  </si>
  <si>
    <r>
      <t>X</t>
    </r>
    <r>
      <rPr>
        <sz val="10"/>
        <rFont val="宋体"/>
        <family val="3"/>
        <charset val="134"/>
      </rPr>
      <t>90</t>
    </r>
    <r>
      <rPr>
        <sz val="10"/>
        <rFont val="宋体"/>
        <family val="3"/>
        <charset val="134"/>
      </rPr>
      <t>地块</t>
    </r>
    <phoneticPr fontId="3" type="noConversion"/>
  </si>
  <si>
    <t>销售均价</t>
    <phoneticPr fontId="3" type="noConversion"/>
  </si>
  <si>
    <t>元/㎡</t>
    <phoneticPr fontId="3" type="noConversion"/>
  </si>
  <si>
    <t>价值时点</t>
    <phoneticPr fontId="3" type="noConversion"/>
  </si>
  <si>
    <t>评估单价</t>
    <phoneticPr fontId="3" type="noConversion"/>
  </si>
  <si>
    <t>份额</t>
    <phoneticPr fontId="3" type="noConversion"/>
  </si>
  <si>
    <t>否</t>
  </si>
  <si>
    <t>地上</t>
  </si>
  <si>
    <t>平层住宅</t>
  </si>
  <si>
    <t>住宅</t>
    <phoneticPr fontId="7" type="noConversion"/>
  </si>
  <si>
    <t>是</t>
  </si>
  <si>
    <t>亦城亦禧</t>
    <phoneticPr fontId="3" type="noConversion"/>
  </si>
  <si>
    <t>中国铁建·国际公馆</t>
    <phoneticPr fontId="3" type="noConversion"/>
  </si>
  <si>
    <t>金隅学府</t>
    <phoneticPr fontId="3" type="noConversion"/>
  </si>
  <si>
    <t>和悦华锦</t>
    <phoneticPr fontId="3" type="noConversion"/>
  </si>
  <si>
    <t>预售</t>
    <phoneticPr fontId="25" type="noConversion"/>
  </si>
  <si>
    <t>楼号</t>
  </si>
  <si>
    <t>楼号</t>
    <phoneticPr fontId="143" type="noConversion"/>
  </si>
  <si>
    <t>面积</t>
    <phoneticPr fontId="143" type="noConversion"/>
  </si>
  <si>
    <t>地上</t>
    <phoneticPr fontId="143" type="noConversion"/>
  </si>
  <si>
    <t>地下</t>
  </si>
  <si>
    <t>地下</t>
    <phoneticPr fontId="143" type="noConversion"/>
  </si>
  <si>
    <t>地块号</t>
  </si>
  <si>
    <t>房屋总层数</t>
  </si>
  <si>
    <t>建筑高（米）</t>
  </si>
  <si>
    <t>估价对象所属楼宇规划建筑面积</t>
  </si>
  <si>
    <t>估价对象规划建筑面积</t>
  </si>
  <si>
    <t>估价对象套数</t>
  </si>
  <si>
    <t>（平方米）</t>
  </si>
  <si>
    <r>
      <t xml:space="preserve"> </t>
    </r>
    <r>
      <rPr>
        <b/>
        <sz val="10.5"/>
        <color rgb="FF000000"/>
        <rFont val="宋体"/>
        <family val="3"/>
        <charset val="134"/>
      </rPr>
      <t>（套）</t>
    </r>
  </si>
  <si>
    <r>
      <t>X90R1</t>
    </r>
    <r>
      <rPr>
        <sz val="10.5"/>
        <color rgb="FF000000"/>
        <rFont val="宋体"/>
        <family val="3"/>
        <charset val="134"/>
      </rPr>
      <t>　</t>
    </r>
  </si>
  <si>
    <t>估价对象周边有开发区3路、快速直达专线181路、578路多条公交线路，距地铁8号线（瀛海站）约4公里，综合评价交通便捷度一般。</t>
    <phoneticPr fontId="41" type="noConversion"/>
  </si>
  <si>
    <t>区域自然环境：体育公园、南海子公园、凉水河；人文环境：北京电子科技职业学院(亦庄校区)；综合评价环境状况一般</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</si>
</sst>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5"/>
      <color rgb="FF000000"/>
      <name val="宋体"/>
      <family val="3"/>
      <charset val="134"/>
    </font>
    <font>
      <b/>
      <sz val="10.5"/>
      <color rgb="FF000000"/>
      <name val="Arial"/>
      <family val="2"/>
    </font>
    <font>
      <sz val="10.5"/>
      <color theme="1"/>
      <name val="Arial"/>
      <family val="2"/>
    </font>
    <font>
      <sz val="10.5"/>
      <color rgb="FF000000"/>
      <name val="宋体"/>
      <family val="3"/>
      <charset val="134"/>
    </font>
    <font>
      <sz val="10.5"/>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197" fontId="47" fillId="0"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2" fontId="47"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78" xfId="0" applyNumberFormat="1"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84" fillId="0" borderId="1" xfId="0" applyFont="1" applyBorder="1" applyAlignment="1" applyProtection="1">
      <alignment horizontal="left" vertical="center"/>
      <protection locked="0"/>
    </xf>
    <xf numFmtId="0" fontId="19" fillId="2" borderId="5" xfId="0" applyFont="1" applyFill="1" applyBorder="1" applyAlignment="1" applyProtection="1">
      <alignment vertical="center"/>
      <protection locked="0"/>
    </xf>
    <xf numFmtId="0" fontId="19" fillId="2" borderId="54" xfId="0" applyFont="1" applyFill="1" applyBorder="1" applyAlignment="1" applyProtection="1">
      <alignment vertical="center"/>
      <protection locked="0"/>
    </xf>
    <xf numFmtId="0" fontId="19" fillId="2" borderId="3" xfId="0" applyFont="1" applyFill="1" applyBorder="1" applyAlignment="1" applyProtection="1">
      <alignment vertical="center"/>
      <protection locked="0"/>
    </xf>
    <xf numFmtId="0" fontId="19" fillId="2" borderId="1" xfId="0" applyFont="1" applyFill="1" applyBorder="1" applyAlignment="1" applyProtection="1">
      <alignment horizontal="center" vertical="center"/>
      <protection locked="0"/>
    </xf>
    <xf numFmtId="0" fontId="84" fillId="0" borderId="1" xfId="0" applyFont="1" applyFill="1" applyBorder="1" applyAlignment="1" applyProtection="1">
      <alignment horizontal="left" vertical="center"/>
      <protection locked="0"/>
    </xf>
    <xf numFmtId="0" fontId="19" fillId="0" borderId="5" xfId="0" applyFont="1" applyFill="1" applyBorder="1" applyAlignment="1" applyProtection="1">
      <alignment vertical="center"/>
      <protection locked="0"/>
    </xf>
    <xf numFmtId="0" fontId="19" fillId="0" borderId="54" xfId="0" applyFont="1" applyFill="1" applyBorder="1" applyAlignment="1" applyProtection="1">
      <alignment vertical="center"/>
      <protection locked="0"/>
    </xf>
    <xf numFmtId="0" fontId="19" fillId="0" borderId="3"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 xfId="0" applyNumberFormat="1" applyFont="1" applyFill="1" applyBorder="1" applyAlignment="1" applyProtection="1">
      <alignment horizontal="center" vertical="center" wrapText="1"/>
      <protection locked="0"/>
    </xf>
    <xf numFmtId="0" fontId="254" fillId="0" borderId="65" xfId="0" applyFont="1" applyBorder="1" applyAlignment="1">
      <alignment horizontal="center" vertical="center" wrapText="1"/>
    </xf>
    <xf numFmtId="0" fontId="254" fillId="0" borderId="43" xfId="0" applyFont="1" applyBorder="1" applyAlignment="1">
      <alignment horizontal="center" vertical="center"/>
    </xf>
    <xf numFmtId="0" fontId="254" fillId="0" borderId="47" xfId="0" applyFont="1" applyBorder="1" applyAlignment="1">
      <alignment horizontal="center" vertical="center"/>
    </xf>
    <xf numFmtId="0" fontId="254" fillId="0" borderId="42" xfId="0" applyFont="1" applyBorder="1" applyAlignment="1">
      <alignment horizontal="center" vertical="center" wrapText="1"/>
    </xf>
    <xf numFmtId="0" fontId="255" fillId="0" borderId="81" xfId="0" applyFont="1" applyBorder="1" applyAlignment="1">
      <alignment horizontal="center" vertical="center" wrapText="1"/>
    </xf>
    <xf numFmtId="0" fontId="258" fillId="0" borderId="43" xfId="0" applyFont="1" applyBorder="1" applyAlignment="1">
      <alignment horizontal="center" vertical="center"/>
    </xf>
    <xf numFmtId="0" fontId="258"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43" xfId="0" applyFont="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00" fillId="2" borderId="5" xfId="0" applyFont="1" applyFill="1" applyBorder="1" applyAlignment="1" applyProtection="1">
      <alignment horizontal="center" vertical="center"/>
      <protection locked="0"/>
    </xf>
    <xf numFmtId="0" fontId="200" fillId="2" borderId="54" xfId="0" applyFont="1" applyFill="1" applyBorder="1" applyAlignment="1" applyProtection="1">
      <alignment horizontal="center" vertical="center"/>
      <protection locked="0"/>
    </xf>
    <xf numFmtId="10" fontId="67" fillId="0" borderId="5" xfId="0" applyNumberFormat="1" applyFont="1" applyBorder="1" applyAlignment="1" applyProtection="1">
      <alignment horizontal="center" vertical="center"/>
      <protection locked="0"/>
    </xf>
    <xf numFmtId="10" fontId="67" fillId="0" borderId="54" xfId="0" applyNumberFormat="1" applyFont="1" applyBorder="1" applyAlignment="1" applyProtection="1">
      <alignment horizontal="center" vertical="center"/>
      <protection locked="0"/>
    </xf>
    <xf numFmtId="10" fontId="67" fillId="0" borderId="3" xfId="0" applyNumberFormat="1" applyFont="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5" xfId="0" applyFont="1" applyBorder="1" applyAlignment="1">
      <alignment horizontal="center" vertical="center"/>
    </xf>
    <xf numFmtId="0" fontId="254" fillId="0" borderId="63" xfId="0" applyFont="1" applyBorder="1" applyAlignment="1">
      <alignment horizontal="justify" vertical="center"/>
    </xf>
    <xf numFmtId="0" fontId="254" fillId="0" borderId="65" xfId="0" applyFont="1" applyBorder="1" applyAlignment="1">
      <alignment horizontal="justify" vertical="center"/>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81" xfId="0" applyFont="1" applyBorder="1" applyAlignment="1">
      <alignment horizontal="center" vertical="center"/>
    </xf>
    <xf numFmtId="0" fontId="254" fillId="0" borderId="64"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9</xdr:row>
      <xdr:rowOff>161712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00001" cy="1704762"/>
        </a:xfrm>
        <a:prstGeom prst="rect">
          <a:avLst/>
        </a:prstGeom>
      </xdr:spPr>
    </xdr:pic>
    <xdr:clientData/>
  </xdr:twoCellAnchor>
  <xdr:twoCellAnchor editAs="oneCell">
    <xdr:from>
      <xdr:col>0</xdr:col>
      <xdr:colOff>0</xdr:colOff>
      <xdr:row>10</xdr:row>
      <xdr:rowOff>0</xdr:rowOff>
    </xdr:from>
    <xdr:to>
      <xdr:col>16</xdr:col>
      <xdr:colOff>379582</xdr:colOff>
      <xdr:row>21</xdr:row>
      <xdr:rowOff>18812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11352382" cy="1904762"/>
        </a:xfrm>
        <a:prstGeom prst="rect">
          <a:avLst/>
        </a:prstGeom>
      </xdr:spPr>
    </xdr:pic>
    <xdr:clientData/>
  </xdr:twoCellAnchor>
  <xdr:twoCellAnchor editAs="oneCell">
    <xdr:from>
      <xdr:col>0</xdr:col>
      <xdr:colOff>0</xdr:colOff>
      <xdr:row>22</xdr:row>
      <xdr:rowOff>0</xdr:rowOff>
    </xdr:from>
    <xdr:to>
      <xdr:col>12</xdr:col>
      <xdr:colOff>170401</xdr:colOff>
      <xdr:row>31</xdr:row>
      <xdr:rowOff>171236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8400001" cy="1714286"/>
        </a:xfrm>
        <a:prstGeom prst="rect">
          <a:avLst/>
        </a:prstGeom>
      </xdr:spPr>
    </xdr:pic>
    <xdr:clientData/>
  </xdr:twoCellAnchor>
  <xdr:twoCellAnchor editAs="oneCell">
    <xdr:from>
      <xdr:col>0</xdr:col>
      <xdr:colOff>0</xdr:colOff>
      <xdr:row>32</xdr:row>
      <xdr:rowOff>0</xdr:rowOff>
    </xdr:from>
    <xdr:to>
      <xdr:col>15</xdr:col>
      <xdr:colOff>617763</xdr:colOff>
      <xdr:row>42</xdr:row>
      <xdr:rowOff>142643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10904763" cy="1857143"/>
        </a:xfrm>
        <a:prstGeom prst="rect">
          <a:avLst/>
        </a:prstGeom>
      </xdr:spPr>
    </xdr:pic>
    <xdr:clientData/>
  </xdr:twoCellAnchor>
  <xdr:twoCellAnchor editAs="oneCell">
    <xdr:from>
      <xdr:col>0</xdr:col>
      <xdr:colOff>0</xdr:colOff>
      <xdr:row>43</xdr:row>
      <xdr:rowOff>0</xdr:rowOff>
    </xdr:from>
    <xdr:to>
      <xdr:col>12</xdr:col>
      <xdr:colOff>237067</xdr:colOff>
      <xdr:row>52</xdr:row>
      <xdr:rowOff>85522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8466667" cy="1628572"/>
        </a:xfrm>
        <a:prstGeom prst="rect">
          <a:avLst/>
        </a:prstGeom>
      </xdr:spPr>
    </xdr:pic>
    <xdr:clientData/>
  </xdr:twoCellAnchor>
  <xdr:twoCellAnchor editAs="oneCell">
    <xdr:from>
      <xdr:col>0</xdr:col>
      <xdr:colOff>0</xdr:colOff>
      <xdr:row>53</xdr:row>
      <xdr:rowOff>0</xdr:rowOff>
    </xdr:from>
    <xdr:to>
      <xdr:col>16</xdr:col>
      <xdr:colOff>341486</xdr:colOff>
      <xdr:row>84</xdr:row>
      <xdr:rowOff>85050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086850"/>
          <a:ext cx="11314286" cy="54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5" sqref="C1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北京市北京经济技术开发区河西区X90R1、X90S1地块出让国有建设用地使用权及在建建筑物房地产市场价值预评估</v>
      </c>
    </row>
    <row r="3" spans="1:2" s="1593" customFormat="1">
      <c r="A3" s="1591" t="s">
        <v>1216</v>
      </c>
      <c r="B3" s="1592" t="str">
        <f>'预评函-封皮'!B40</f>
        <v>北京博大新元房地产开发有限公司</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受贵公司委托，我公司对北京市北京经济技术开发区河西区X90R1、X90S1地块出让国有建设用地使用权及在建建筑物房地产抵押价值进行了预评估。</v>
      </c>
    </row>
    <row r="7" spans="1:2" s="1593" customFormat="1">
      <c r="A7" s="1591" t="s">
        <v>1259</v>
      </c>
      <c r="B7" s="1592" t="str">
        <f>'预评函-1'!A7</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2020年1月17日（评估专业人员实地查勘之日）</v>
      </c>
    </row>
    <row r="13" spans="1:2" s="1593" customFormat="1">
      <c r="A13" s="1591" t="s">
        <v>1222</v>
      </c>
      <c r="B13" s="1592" t="str">
        <f>'预评函-1'!A18</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本次评估采用的主估价方法为比较法和比较法。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417245</v>
      </c>
    </row>
    <row r="21" spans="1:2" s="1593" customFormat="1">
      <c r="A21" s="1591" t="s">
        <v>1230</v>
      </c>
      <c r="B21" s="1592" t="e">
        <f ca="1">'预评函-2'!D7</f>
        <v>#DIV/0!</v>
      </c>
    </row>
    <row r="22" spans="1:2" s="1593" customFormat="1">
      <c r="A22" s="1591" t="s">
        <v>1231</v>
      </c>
      <c r="B22" s="1592" t="str">
        <f ca="1">'预评函-2'!D6</f>
        <v>肆拾壹亿柒仟贰佰肆拾伍万元整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417245</v>
      </c>
    </row>
    <row r="31" spans="1:2" s="1593" customFormat="1">
      <c r="A31" s="1591" t="s">
        <v>1269</v>
      </c>
      <c r="B31" s="1592">
        <f ca="1">'预评函-2'!D15</f>
        <v>47975</v>
      </c>
    </row>
    <row r="32" spans="1:2" s="1593" customFormat="1">
      <c r="A32" s="1591" t="s">
        <v>1236</v>
      </c>
      <c r="B32" s="1592" t="str">
        <f ca="1">'预评函-2'!D14</f>
        <v>肆拾壹亿柒仟贰佰肆拾伍万元整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北京市北京经济技术开发区河西区X90R1、X90S1地块出让国有建设用地使用权及在建建筑物房地产</v>
      </c>
    </row>
    <row r="42" spans="1:2" s="1593" customFormat="1">
      <c r="A42" s="1591" t="s">
        <v>1283</v>
      </c>
      <c r="B42" s="1592" t="str">
        <f>'预评函-3'!B2</f>
        <v>建筑面积</v>
      </c>
    </row>
    <row r="43" spans="1:2" s="1593" customFormat="1">
      <c r="A43" s="1591" t="s">
        <v>1284</v>
      </c>
      <c r="B43" s="1592">
        <f>'预评函-3'!B4</f>
        <v>86971.4</v>
      </c>
    </row>
    <row r="44" spans="1:2" s="1593" customFormat="1">
      <c r="A44" s="1591" t="s">
        <v>1268</v>
      </c>
      <c r="B44" s="1592" t="str">
        <f>'预评函-3'!C2</f>
        <v>(分摊)土地面积</v>
      </c>
    </row>
    <row r="45" spans="1:2" s="1593" customFormat="1">
      <c r="A45" s="1591" t="s">
        <v>1240</v>
      </c>
      <c r="B45" s="1592">
        <f>'预评函-3'!C4</f>
        <v>43648.1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#DIV/0!</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河西区X90R1、X90S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3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21" t="s">
        <v>860</v>
      </c>
      <c r="C54" s="2018" t="s">
        <v>1276</v>
      </c>
    </row>
    <row r="55" spans="1:4">
      <c r="A55" s="3031"/>
      <c r="B55" s="2021" t="s">
        <v>861</v>
      </c>
      <c r="C55" s="2018" t="s">
        <v>1277</v>
      </c>
    </row>
    <row r="56" spans="1:4">
      <c r="A56" s="3031"/>
      <c r="B56" s="2021" t="s">
        <v>862</v>
      </c>
      <c r="C56" s="2018" t="s">
        <v>1281</v>
      </c>
    </row>
    <row r="57" spans="1:4">
      <c r="A57" s="303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32" t="str">
        <f>IF(B10="北京市","北京市",C10)&amp;F10&amp;IF(结果表!G1="在建","出让国有建设用地使用权及在建建筑物",IF(结果表!G1="土地","出让国有建设用地使用权",))&amp;B9&amp;"预评估"</f>
        <v>北京市北京经济技术开发区河西区X90R1、X90S1地块出让国有建设用地使用权及在建建筑物房地产市场价值预评估</v>
      </c>
      <c r="C1" s="3033"/>
      <c r="D1" s="3033"/>
      <c r="E1" s="3033"/>
      <c r="F1" s="3033"/>
      <c r="G1" s="3033"/>
      <c r="H1" s="3033"/>
      <c r="I1" s="303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北京市北京经济技术开发区河西区X90R1、X90S1地块出让国有建设用地使用权及在建建筑物房地产抵押价值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北京市北京经济技术开发区河西区X90R1、X90S1地块出让国有建设用地使用权及在建建筑物房地产</v>
      </c>
    </row>
    <row r="3" spans="1:19" ht="18" customHeight="1">
      <c r="A3" s="2034" t="s">
        <v>1772</v>
      </c>
      <c r="B3" s="2035">
        <v>43847</v>
      </c>
      <c r="C3" s="2036" t="s">
        <v>1773</v>
      </c>
      <c r="D3" s="2035">
        <f>B3</f>
        <v>43847</v>
      </c>
      <c r="E3" s="2025"/>
      <c r="F3" s="2025"/>
      <c r="G3" s="2025"/>
      <c r="H3" s="2025"/>
      <c r="I3" s="2025"/>
      <c r="J3" s="2025"/>
      <c r="K3" s="2026"/>
      <c r="L3" s="2027"/>
      <c r="M3" s="2027"/>
      <c r="N3" s="2028"/>
      <c r="O3" s="2029"/>
      <c r="P3" s="2028"/>
      <c r="Q3" s="2028"/>
      <c r="R3" s="2028"/>
      <c r="S3" s="2030"/>
    </row>
    <row r="4" spans="1:19" ht="18" customHeight="1" thickBot="1">
      <c r="A4" s="2037" t="s">
        <v>1774</v>
      </c>
      <c r="B4" s="2038" t="s">
        <v>3058</v>
      </c>
      <c r="C4" s="1037">
        <f ca="1">SUMIF(注册房地产估价师,B4,估价师及机构信息!B3:B24)</f>
        <v>1119970111</v>
      </c>
      <c r="D4" s="2038" t="s">
        <v>3059</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951" t="s">
        <v>3062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t="s">
        <v>3060</v>
      </c>
      <c r="C8" s="2054"/>
      <c r="D8" s="3035" t="s">
        <v>1779</v>
      </c>
      <c r="E8" s="2055"/>
      <c r="F8" s="2056"/>
      <c r="G8" s="2025"/>
      <c r="H8" s="2025"/>
      <c r="I8" s="2025"/>
      <c r="J8" s="2041"/>
      <c r="K8" s="2042"/>
      <c r="L8" s="2027"/>
      <c r="M8" s="2027"/>
      <c r="N8" s="2028"/>
      <c r="O8" s="2029"/>
      <c r="P8" s="2028"/>
      <c r="Q8" s="2028"/>
      <c r="R8" s="2028"/>
    </row>
    <row r="9" spans="1:19" ht="18" customHeight="1" thickBot="1">
      <c r="A9" s="2039" t="s">
        <v>1780</v>
      </c>
      <c r="B9" s="2057" t="s">
        <v>3061</v>
      </c>
      <c r="C9" s="2058"/>
      <c r="D9" s="3036"/>
      <c r="E9" s="2057"/>
      <c r="F9" s="2059"/>
      <c r="G9" s="2060"/>
      <c r="H9" s="2060"/>
      <c r="I9" s="2060"/>
      <c r="J9" s="2041"/>
      <c r="K9" s="2052"/>
      <c r="L9" s="2027"/>
      <c r="M9" s="2027"/>
      <c r="N9" s="2028"/>
      <c r="O9" s="2029"/>
      <c r="P9" s="2028"/>
      <c r="Q9" s="2028"/>
      <c r="R9" s="2028"/>
    </row>
    <row r="10" spans="1:19" ht="18" customHeight="1" thickTop="1">
      <c r="A10" s="2061" t="s">
        <v>1781</v>
      </c>
      <c r="B10" s="2062" t="s">
        <v>3057</v>
      </c>
      <c r="C10" s="2063"/>
      <c r="D10" s="2045"/>
      <c r="E10" s="2064" t="s">
        <v>1782</v>
      </c>
      <c r="F10" s="2065" t="s">
        <v>3082</v>
      </c>
      <c r="G10" s="2066"/>
      <c r="H10" s="2067"/>
      <c r="I10" s="2045"/>
      <c r="J10" s="2041"/>
      <c r="K10" s="2052"/>
      <c r="L10" s="2027"/>
      <c r="M10" s="2027"/>
      <c r="N10" s="2028"/>
      <c r="O10" s="2029"/>
      <c r="P10" s="2028"/>
      <c r="Q10" s="2028"/>
      <c r="R10" s="2028"/>
    </row>
    <row r="11" spans="1:19" ht="18" customHeight="1">
      <c r="A11" s="2068" t="s">
        <v>1783</v>
      </c>
      <c r="B11" s="2069" t="s">
        <v>3063</v>
      </c>
      <c r="C11" s="2952" t="s">
        <v>3062</v>
      </c>
      <c r="D11" s="2070"/>
      <c r="E11" s="2041"/>
      <c r="F11" s="2041"/>
      <c r="G11" s="2041"/>
      <c r="H11" s="2041"/>
      <c r="I11" s="2041"/>
      <c r="J11" s="2041"/>
      <c r="K11" s="2052"/>
      <c r="L11" s="2027"/>
      <c r="M11" s="2027"/>
      <c r="N11" s="2028"/>
      <c r="O11" s="2029"/>
      <c r="P11" s="2028"/>
      <c r="Q11" s="2028"/>
      <c r="R11" s="2028"/>
    </row>
    <row r="12" spans="1:19" ht="18" customHeight="1">
      <c r="A12" s="2071" t="s">
        <v>1784</v>
      </c>
      <c r="B12" s="2069" t="s">
        <v>3064</v>
      </c>
      <c r="C12" s="2072" t="s">
        <v>1785</v>
      </c>
      <c r="D12" s="2073" t="s">
        <v>1786</v>
      </c>
      <c r="E12" s="2073" t="s">
        <v>1787</v>
      </c>
      <c r="F12" s="2073" t="s">
        <v>1788</v>
      </c>
      <c r="G12" s="2073" t="s">
        <v>1789</v>
      </c>
      <c r="H12" s="2073" t="s">
        <v>1790</v>
      </c>
      <c r="I12" s="2073" t="s">
        <v>1791</v>
      </c>
      <c r="J12" s="2041"/>
      <c r="K12" s="2052"/>
      <c r="L12" s="2027"/>
      <c r="M12" s="2027"/>
      <c r="N12" s="2028"/>
      <c r="O12" s="2029"/>
      <c r="P12" s="2028"/>
      <c r="Q12" s="2028"/>
      <c r="R12" s="2028"/>
    </row>
    <row r="13" spans="1:19" ht="18" customHeight="1">
      <c r="A13" s="2074"/>
      <c r="B13" s="2075"/>
      <c r="C13" s="2076" t="s">
        <v>1792</v>
      </c>
      <c r="D13" s="2077">
        <v>68613</v>
      </c>
      <c r="E13" s="2077"/>
      <c r="F13" s="2077"/>
      <c r="G13" s="2077"/>
      <c r="H13" s="2077"/>
      <c r="I13" s="1047"/>
      <c r="J13" s="2041"/>
      <c r="K13" s="2052"/>
      <c r="L13" s="2027"/>
      <c r="M13" s="2027"/>
      <c r="N13" s="2028"/>
      <c r="O13" s="2029"/>
      <c r="P13" s="2028"/>
      <c r="Q13" s="2028"/>
      <c r="R13" s="2028"/>
    </row>
    <row r="14" spans="1:19" ht="18" customHeight="1">
      <c r="A14" s="2074"/>
      <c r="B14" s="2075"/>
      <c r="C14" s="2076" t="s">
        <v>1793</v>
      </c>
      <c r="D14" s="1050">
        <v>70</v>
      </c>
      <c r="E14" s="1050"/>
      <c r="F14" s="1050"/>
      <c r="G14" s="1050"/>
      <c r="H14" s="1050"/>
      <c r="I14" s="1050"/>
      <c r="J14" s="2041"/>
      <c r="K14" s="2078"/>
      <c r="L14" s="2027"/>
      <c r="M14" s="2027"/>
      <c r="N14" s="2028"/>
      <c r="O14" s="2029"/>
      <c r="P14" s="2028"/>
      <c r="Q14" s="2028"/>
      <c r="R14" s="2028"/>
    </row>
    <row r="15" spans="1:19" ht="18" customHeight="1">
      <c r="A15" s="2061"/>
      <c r="B15" s="2079"/>
      <c r="C15" s="2076" t="s">
        <v>1794</v>
      </c>
      <c r="D15" s="1049">
        <f>IF(B12="出让",IF(D13="","",ROUNDDOWN(MIN((D13-$D$3)/365,D14),2)),D14)</f>
        <v>67.849999999999994</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1795</v>
      </c>
      <c r="B16" s="3042"/>
      <c r="C16" s="3043"/>
      <c r="D16" s="3044"/>
      <c r="E16" s="2083" t="s">
        <v>1796</v>
      </c>
      <c r="F16" s="3045"/>
      <c r="G16" s="3046"/>
      <c r="H16" s="3046"/>
      <c r="I16" s="3047"/>
      <c r="J16" s="2028"/>
      <c r="K16" s="2080"/>
      <c r="L16" s="2081"/>
      <c r="M16" s="2081"/>
      <c r="N16" s="2082"/>
      <c r="O16" s="2081"/>
      <c r="P16" s="2082"/>
      <c r="Q16" s="2028"/>
      <c r="R16" s="2028"/>
    </row>
    <row r="17" spans="1:22" ht="18" customHeight="1">
      <c r="A17" s="2084" t="s">
        <v>1797</v>
      </c>
      <c r="B17" s="2034" t="s">
        <v>1798</v>
      </c>
      <c r="C17" s="1054">
        <f>'数据-汇总表'!E3</f>
        <v>86971.4</v>
      </c>
      <c r="D17" s="2085" t="s">
        <v>1799</v>
      </c>
      <c r="E17" s="3048" t="s">
        <v>1800</v>
      </c>
      <c r="F17" s="3049"/>
      <c r="G17" s="3049"/>
      <c r="H17" s="3049"/>
      <c r="I17" s="3050"/>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43648.1</v>
      </c>
      <c r="D18" s="2088" t="s">
        <v>1799</v>
      </c>
      <c r="E18" s="3051" t="s">
        <v>1803</v>
      </c>
      <c r="F18" s="3052"/>
      <c r="G18" s="3052"/>
      <c r="H18" s="3052"/>
      <c r="I18" s="3053"/>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t="s">
        <v>3117</v>
      </c>
      <c r="D19" s="2090" t="s">
        <v>1806</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1807</v>
      </c>
      <c r="B20" s="3038" t="s">
        <v>1808</v>
      </c>
      <c r="C20" s="3039"/>
      <c r="D20" s="3040" t="s">
        <v>1809</v>
      </c>
      <c r="E20" s="3041"/>
      <c r="F20" s="2095" t="s">
        <v>1810</v>
      </c>
      <c r="G20" s="2041"/>
      <c r="H20" s="2041"/>
      <c r="I20" s="2041"/>
      <c r="J20" s="2041"/>
      <c r="K20" s="303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55" t="s">
        <v>1823</v>
      </c>
      <c r="B27" s="2061"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55"/>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55"/>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56"/>
      <c r="B30" s="2034" t="s">
        <v>1827</v>
      </c>
      <c r="C30" s="3057"/>
      <c r="D30" s="3058"/>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59" t="s">
        <v>1828</v>
      </c>
      <c r="B31" s="2124"/>
      <c r="C31" s="2125" t="str">
        <f>IF(B31="现房","成新及维护状况正常否",IF(B31="在建","工程状态是否正常",IF(B31="土地","是否闲置","-")))</f>
        <v>-</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60"/>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60"/>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54" t="s">
        <v>1837</v>
      </c>
      <c r="T34" s="2132" t="str">
        <f>NUMBERSTRING(7-K34,1)&amp;"通"</f>
        <v>七通</v>
      </c>
      <c r="U34" s="2028"/>
      <c r="V34" s="2028"/>
    </row>
    <row r="35" spans="1:22" ht="18" customHeight="1">
      <c r="A35" s="2133"/>
      <c r="B35" s="3061" t="s">
        <v>1838</v>
      </c>
      <c r="C35" s="3061"/>
      <c r="D35" s="3061"/>
      <c r="E35" s="3061"/>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4"/>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43648.1</v>
      </c>
      <c r="B3" s="14">
        <f>IF(C3="否",G5-AT5,G5)</f>
        <v>86971.4</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86971.4</v>
      </c>
      <c r="H5" s="16">
        <f t="shared" ref="H5:AT5" si="0">SUM(H13:H656)</f>
        <v>86971.4</v>
      </c>
      <c r="I5" s="16">
        <f t="shared" si="0"/>
        <v>86971.4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86971.4</v>
      </c>
      <c r="BA5" s="18">
        <f t="shared" si="1"/>
        <v>86971.4</v>
      </c>
      <c r="BB5" s="18">
        <f t="shared" si="1"/>
        <v>86971.4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43648.1</v>
      </c>
      <c r="F6" s="16" t="s">
        <v>1</v>
      </c>
      <c r="G6" s="16" t="s">
        <v>2</v>
      </c>
      <c r="H6" s="20">
        <f>SUMIF(I$12:AB$12,"总值",I6:AB6)</f>
        <v>43648.1</v>
      </c>
      <c r="I6" s="16">
        <f t="shared" ref="I6:AB6" si="2">ROUND($A$3*I5/$B$3,2)</f>
        <v>43648.1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43648.1</v>
      </c>
      <c r="AZ6" s="16" t="s">
        <v>3</v>
      </c>
      <c r="BA6" s="16">
        <f>ROUND($AY$6*BA5/$AZ$5,2)</f>
        <v>43648.1</v>
      </c>
      <c r="BB6" s="16">
        <f>ROUND($AY$6*BB5/$AZ$5,2)</f>
        <v>43648.1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3118</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3065</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3119</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平层住宅</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3121</v>
      </c>
      <c r="E13" s="16">
        <f>IF($C$3="是",ROUND($A$3*G13/$B$3,2),ROUND($A$3*(G13-AT13)/$B$3,2))</f>
        <v>43648.1</v>
      </c>
      <c r="F13" s="32"/>
      <c r="G13" s="33">
        <f>H13+AC13+AT13</f>
        <v>86971.4</v>
      </c>
      <c r="H13" s="20">
        <f>SUMIF(I$12:AB$12,"总值",I13:AB13)</f>
        <v>86971.4</v>
      </c>
      <c r="I13" s="2212">
        <f>'比较法-住宅'!C33</f>
        <v>86971.4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43648.1</v>
      </c>
      <c r="AZ13" s="16">
        <f>BA13+BL13</f>
        <v>86971.4</v>
      </c>
      <c r="BA13" s="16">
        <f>SUM(BB13:BK13)</f>
        <v>86971.4</v>
      </c>
      <c r="BB13" s="16">
        <f>IF($D13="是",I13-J13,0)</f>
        <v>86971.4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73" t="s">
        <v>1934</v>
      </c>
      <c r="B2" s="3073"/>
      <c r="C2" s="3073"/>
      <c r="D2" s="967" t="s">
        <v>1910</v>
      </c>
      <c r="E2" s="2225" t="s">
        <v>1911</v>
      </c>
      <c r="F2" s="1392"/>
      <c r="G2" s="2226"/>
      <c r="H2" s="2227"/>
      <c r="I2" s="2228" t="s">
        <v>1935</v>
      </c>
      <c r="J2" s="1392"/>
      <c r="K2" s="1392"/>
      <c r="L2" s="1392"/>
      <c r="M2" s="1392"/>
      <c r="N2" s="1427"/>
      <c r="O2" s="1392"/>
      <c r="P2" s="1392"/>
    </row>
    <row r="3" spans="1:16" ht="15.75" thickBot="1">
      <c r="A3" s="3074" t="s">
        <v>1908</v>
      </c>
      <c r="B3" s="3074"/>
      <c r="C3" s="3074"/>
      <c r="D3" s="46">
        <f>'数据-基础表'!AY6</f>
        <v>43648.1</v>
      </c>
      <c r="E3" s="46">
        <f>'数据-基础表'!AZ5</f>
        <v>86971.4</v>
      </c>
      <c r="F3" s="1392"/>
      <c r="G3" s="1399"/>
      <c r="H3" s="1247" t="s">
        <v>1909</v>
      </c>
      <c r="I3" s="55">
        <f>ROUND('数据-基础表'!B3/'数据-基础表'!A3,2)</f>
        <v>1.99</v>
      </c>
      <c r="J3" s="1392"/>
      <c r="K3" s="1392"/>
      <c r="L3" s="1392"/>
      <c r="M3" s="1392"/>
      <c r="N3" s="1427"/>
      <c r="O3" s="1392"/>
      <c r="P3" s="1392"/>
    </row>
    <row r="4" spans="1:16" ht="15">
      <c r="A4" s="3075"/>
      <c r="B4" s="3076"/>
      <c r="C4" s="3077"/>
      <c r="D4" s="2229" t="s">
        <v>1910</v>
      </c>
      <c r="E4" s="2230" t="s">
        <v>1911</v>
      </c>
      <c r="F4" s="1392"/>
      <c r="G4" s="2231" t="s">
        <v>1936</v>
      </c>
      <c r="H4" s="1247" t="s">
        <v>1916</v>
      </c>
      <c r="I4" s="55">
        <f>ROUND(SUMIF('数据-基础表'!I9:AS9,"地上",'数据-基础表'!I5:AS5)/'数据-基础表'!A3,2)</f>
        <v>1.99</v>
      </c>
      <c r="J4" s="1392"/>
      <c r="K4" s="1392"/>
      <c r="L4" s="1392"/>
      <c r="M4" s="1392"/>
      <c r="N4" s="1427"/>
      <c r="O4" s="1392"/>
      <c r="P4" s="1392"/>
    </row>
    <row r="5" spans="1:16">
      <c r="A5" s="47" t="s">
        <v>1912</v>
      </c>
      <c r="B5" s="3078" t="s">
        <v>1913</v>
      </c>
      <c r="C5" s="3078"/>
      <c r="D5" s="48">
        <f>ROUND($D$3*E5/$E$3,2)</f>
        <v>43648.1</v>
      </c>
      <c r="E5" s="49">
        <f>SUMIF('数据-基础表'!$11:$11,"住宅",'数据-基础表'!$5:$5)</f>
        <v>86971.4</v>
      </c>
      <c r="F5" s="1392"/>
      <c r="G5" s="1399"/>
      <c r="H5" s="1247" t="s">
        <v>1909</v>
      </c>
      <c r="I5" s="55">
        <f>ROUND(E31/D31,2)</f>
        <v>1.99</v>
      </c>
      <c r="J5" s="1392"/>
      <c r="K5" s="1392"/>
      <c r="L5" s="1392"/>
      <c r="M5" s="1392"/>
      <c r="N5" s="1392"/>
      <c r="O5" s="1392"/>
      <c r="P5" s="1392"/>
    </row>
    <row r="6" spans="1:16" ht="15" thickBot="1">
      <c r="A6" s="2232"/>
      <c r="B6" s="3078" t="s">
        <v>1914</v>
      </c>
      <c r="C6" s="3078"/>
      <c r="D6" s="48">
        <f>ROUND($D$3*E6/$E$3,2)</f>
        <v>0</v>
      </c>
      <c r="E6" s="49">
        <f>E3-E5</f>
        <v>0</v>
      </c>
      <c r="F6" s="1392"/>
      <c r="G6" s="2233" t="s">
        <v>1915</v>
      </c>
      <c r="H6" s="1399" t="s">
        <v>1916</v>
      </c>
      <c r="I6" s="939">
        <f>ROUND(F31/D31,2)</f>
        <v>1.99</v>
      </c>
      <c r="J6" s="1392"/>
      <c r="K6" s="1392"/>
      <c r="L6" s="1392"/>
      <c r="M6" s="1392"/>
      <c r="N6" s="1392"/>
      <c r="O6" s="1392"/>
      <c r="P6" s="1392"/>
    </row>
    <row r="7" spans="1:16" ht="15">
      <c r="A7" s="3070"/>
      <c r="B7" s="3071"/>
      <c r="C7" s="3072"/>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43648.1</v>
      </c>
      <c r="E8" s="51">
        <f>SUMIF('数据-基础表'!BB10:BK10,"地上",'数据-基础表'!BB5:BK5)</f>
        <v>86971.4</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43648.1</v>
      </c>
      <c r="E16" s="53">
        <f>SUM(E8:E15)</f>
        <v>86971.4</v>
      </c>
      <c r="F16" s="1392"/>
      <c r="G16" s="2235"/>
      <c r="H16" s="2238" t="s">
        <v>1938</v>
      </c>
      <c r="I16" s="2239"/>
      <c r="J16" s="1392"/>
      <c r="K16" s="3067" t="s">
        <v>1938</v>
      </c>
      <c r="L16" s="3068"/>
      <c r="M16" s="3068"/>
      <c r="N16" s="3068"/>
      <c r="O16" s="3068"/>
      <c r="P16" s="3069"/>
    </row>
    <row r="17" spans="1:19" ht="15">
      <c r="A17" s="2240" t="s">
        <v>1939</v>
      </c>
      <c r="B17" s="2241" t="s">
        <v>1940</v>
      </c>
      <c r="C17" s="2242" t="s">
        <v>1941</v>
      </c>
      <c r="D17" s="2243" t="s">
        <v>1929</v>
      </c>
      <c r="E17" s="2244" t="s">
        <v>1930</v>
      </c>
      <c r="F17" s="2245"/>
      <c r="G17" s="2246"/>
      <c r="H17" s="2247" t="s">
        <v>1942</v>
      </c>
      <c r="I17" s="2248" t="s">
        <v>1927</v>
      </c>
      <c r="J17" s="1392"/>
      <c r="K17" s="3064" t="s">
        <v>1943</v>
      </c>
      <c r="L17" s="3065"/>
      <c r="M17" s="3066"/>
      <c r="N17" s="3064" t="s">
        <v>1944</v>
      </c>
      <c r="O17" s="3065"/>
      <c r="P17" s="3066"/>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77" t="s">
        <v>3120</v>
      </c>
      <c r="D19" s="48">
        <f>ROUND($D$3*E19/$E$3,2)</f>
        <v>43648.1</v>
      </c>
      <c r="E19" s="56">
        <f t="shared" ref="E19:E26" si="1">SUM(F19:G19)</f>
        <v>86971.4</v>
      </c>
      <c r="F19" s="57">
        <f>'数据-基础表'!I13</f>
        <v>86971.4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43648.1</v>
      </c>
      <c r="S19" s="1248">
        <f t="shared" si="5"/>
        <v>86971.4</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43648.1</v>
      </c>
      <c r="E27" s="1394">
        <f>IF(SUM(E19:E26)='数据-基础表'!BA5,SUM(E19:E26),IF(F27="地上面积有误","面积有误","地下面积有误"))</f>
        <v>86971.4</v>
      </c>
      <c r="F27" s="1393">
        <f>IF(SUM(F19:F26)=E8,SUM(F19:F26),"地上面积有误")</f>
        <v>86971.4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43648.1</v>
      </c>
      <c r="S27" s="1247">
        <f>IF(SUM(S19:S26)=$E$3,SUM(S19:S26),SUM(S19:S26)&amp;"误差"&amp;ROUND(SUM(S19:S26)-E3,2))</f>
        <v>86971.4</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1961</v>
      </c>
      <c r="D31" s="729">
        <f>D27+D30</f>
        <v>43648.1</v>
      </c>
      <c r="E31" s="729">
        <f>E27+E30</f>
        <v>86971.4</v>
      </c>
      <c r="F31" s="730">
        <f>F27+F30</f>
        <v>86971.4</v>
      </c>
      <c r="G31" s="731">
        <f>G27+G30</f>
        <v>0</v>
      </c>
      <c r="H31" s="1392"/>
      <c r="I31" s="1392"/>
      <c r="J31" s="1392"/>
      <c r="K31" s="1392"/>
      <c r="L31" s="1392"/>
      <c r="M31" s="1392"/>
      <c r="N31" s="1392"/>
      <c r="O31" s="1392"/>
      <c r="P31" s="1392"/>
    </row>
    <row r="32" spans="1:19">
      <c r="A32" s="2231"/>
      <c r="B32" s="2231" t="s">
        <v>1962</v>
      </c>
      <c r="C32" s="2231"/>
      <c r="D32" s="2231"/>
      <c r="E32" s="1274">
        <f>SUMIF(C19:C26,"*住宅*",E19:E26)</f>
        <v>86971.4</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C23" sqref="AC2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1964</v>
      </c>
      <c r="B2" s="1266">
        <f>项目基本情况!D3</f>
        <v>43847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c r="D6" s="1051">
        <f>SUMIF(项目基本情况!D$12:I$12,C6,项目基本情况!D$14:I$14)</f>
        <v>0</v>
      </c>
      <c r="E6" s="1048">
        <f>IF(B6="","",SUMIF(项目基本情况!D$12:I$12,C6,项目基本情况!D$13:I$13))</f>
        <v>0</v>
      </c>
      <c r="F6" s="72">
        <f>SUMIF(项目基本情况!D$12:I$12,C6,项目基本情况!D$15:I$15)</f>
        <v>0</v>
      </c>
      <c r="G6" s="73">
        <f>IF(ISERROR(ROUND(POWER(1+H6,D6-F6)*(POWER(1+H6,F6)-1)/(POWER(1+H6,D6)-1),3)),0,ROUND(POWER(1+H6,D6-F6)*(POWER(1+H6,F6)-1)/(POWER(1+H6,D6)-1),3))</f>
        <v>0</v>
      </c>
      <c r="H6" s="802"/>
      <c r="I6" s="802"/>
      <c r="J6" s="74"/>
      <c r="K6" s="1251">
        <f>SUMIF('数据-汇总表'!C$19:C$33,A6,'数据-汇总表'!E$19:E$33)</f>
        <v>86971.4</v>
      </c>
      <c r="L6" s="803"/>
      <c r="M6" s="75">
        <f t="shared" ref="M6:M14" si="0">ROUND(K6*L6/10000,0)</f>
        <v>0</v>
      </c>
      <c r="N6" s="801"/>
      <c r="O6" s="75">
        <f>IF($N$5="成新度","——",ROUND(M6*N6,0))</f>
        <v>0</v>
      </c>
      <c r="P6" s="76">
        <f>IF($N$5="成新度","——",M6-O6)</f>
        <v>0</v>
      </c>
      <c r="Q6" s="804"/>
      <c r="R6" s="77">
        <f ca="1">SUMIF('数据-汇总表'!C$19:C$33,A6,'数据-汇总表'!R$19:R$27)</f>
        <v>43648.1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2009</v>
      </c>
      <c r="B14" s="2305" t="s">
        <v>2010</v>
      </c>
      <c r="C14" s="2310"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2013</v>
      </c>
      <c r="B16" s="97"/>
      <c r="C16" s="1005"/>
      <c r="D16" s="2312"/>
      <c r="E16" s="97"/>
      <c r="F16" s="97"/>
      <c r="G16" s="98" t="e">
        <f>ROUND(SUMPRODUCT(G6:G13,K6:K13)/SUMPRODUCT((G6:G13&gt;0)*(K6:K13)),3)</f>
        <v>#DIV/0!</v>
      </c>
      <c r="H16" s="99" t="e">
        <f>ROUND(SUMPRODUCT(H6:H13,K6:K13)/SUMPRODUCT((H6:H13&gt;0)*(K6:K13)),3)</f>
        <v>#DIV/0!</v>
      </c>
      <c r="I16" s="100"/>
      <c r="J16" s="100"/>
      <c r="K16" s="101">
        <f>SUM(K6:K15)</f>
        <v>86971.4</v>
      </c>
      <c r="L16" s="102">
        <f>ROUND(M16*10000/SUM(K6:K14),0)</f>
        <v>0</v>
      </c>
      <c r="M16" s="102">
        <f>SUM(M6:M14)</f>
        <v>0</v>
      </c>
      <c r="N16" s="103" t="e">
        <f>ROUND(SUMPRODUCT(M6:M14,N6:N14)/M16,3)</f>
        <v>#DIV/0!</v>
      </c>
      <c r="O16" s="102">
        <f>SUM(O6:O14)</f>
        <v>0</v>
      </c>
      <c r="P16" s="102">
        <f>SUM(P6:P14)</f>
        <v>0</v>
      </c>
      <c r="Q16" s="104" t="e">
        <f>ROUND(SUMPRODUCT(Q6:Q13,K6:K13)/SUMPRODUCT((Q6:Q13&gt;0)*(K6:K13)),2)</f>
        <v>#DIV/0!</v>
      </c>
      <c r="R16" s="1255">
        <f ca="1">SUM(R6:R13)</f>
        <v>43648.1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2015</v>
      </c>
      <c r="B19" s="112"/>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2017</v>
      </c>
      <c r="B20" s="113"/>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2019</v>
      </c>
      <c r="B21" s="113"/>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2020</v>
      </c>
      <c r="B22" s="114">
        <f>B19+B20</f>
        <v>0</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2021</v>
      </c>
      <c r="B23" s="114">
        <f>B19+B21</f>
        <v>0</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2026</v>
      </c>
      <c r="B27" s="116"/>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2043</v>
      </c>
      <c r="B37" s="124"/>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2045</v>
      </c>
      <c r="B38" s="122"/>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t="e">
        <f ca="1">存贷款利率!G1</f>
        <v>#VALUE!</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2049</v>
      </c>
      <c r="B41" s="125">
        <f>B42+B43</f>
        <v>0</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2050</v>
      </c>
      <c r="B42" s="126"/>
      <c r="C42" s="2329">
        <f>IF(B2&lt;DATE(2016,5,1),0,B42)</f>
        <v>0</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2051</v>
      </c>
      <c r="B43" s="127">
        <f>B42*(B44+B45+B46)+B47</f>
        <v>0</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2052</v>
      </c>
      <c r="B44" s="128"/>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2054</v>
      </c>
      <c r="B45" s="126"/>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2056</v>
      </c>
      <c r="B46" s="126"/>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2060</v>
      </c>
      <c r="B48" s="130"/>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2066</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2067</v>
      </c>
      <c r="B53" s="2334"/>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79" t="s">
        <v>2080</v>
      </c>
      <c r="B1" s="3080"/>
      <c r="C1" s="3080"/>
      <c r="D1" s="3080"/>
      <c r="E1" s="3080"/>
      <c r="F1" s="3080"/>
      <c r="G1" s="308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121.5">
      <c r="A3" s="415" t="s">
        <v>2083</v>
      </c>
      <c r="B3" s="1268" t="s">
        <v>2084</v>
      </c>
      <c r="C3" s="2959" t="s">
        <v>3083</v>
      </c>
      <c r="D3" s="2367"/>
      <c r="E3" s="431" t="s">
        <v>2083</v>
      </c>
      <c r="F3" s="2368" t="s">
        <v>2085</v>
      </c>
      <c r="G3" s="2369" t="s">
        <v>2086</v>
      </c>
      <c r="H3" s="2365"/>
      <c r="I3" s="2365"/>
      <c r="J3" s="2365"/>
      <c r="K3" s="2365"/>
      <c r="L3" s="2365"/>
      <c r="M3" s="2365"/>
      <c r="N3" s="2365"/>
      <c r="O3" s="2365"/>
      <c r="P3" s="2365"/>
      <c r="Q3" s="2365"/>
      <c r="R3" s="2365"/>
    </row>
    <row r="4" spans="1:29" ht="41.25">
      <c r="A4" s="431"/>
      <c r="B4" s="1795" t="s">
        <v>2087</v>
      </c>
      <c r="C4" s="2370" t="s">
        <v>2088</v>
      </c>
      <c r="D4" s="2367"/>
      <c r="E4" s="2371"/>
      <c r="F4" s="42" t="s">
        <v>2089</v>
      </c>
      <c r="G4" s="2372" t="s">
        <v>2090</v>
      </c>
      <c r="H4" s="2365"/>
      <c r="I4" s="2365"/>
      <c r="J4" s="2365"/>
      <c r="K4" s="2365"/>
      <c r="L4" s="2365"/>
      <c r="M4" s="2365"/>
      <c r="N4" s="2365"/>
      <c r="O4" s="2365"/>
      <c r="P4" s="2365"/>
      <c r="Q4" s="2365"/>
      <c r="R4" s="2365"/>
    </row>
    <row r="5" spans="1:29" ht="41.25">
      <c r="A5" s="431"/>
      <c r="B5" s="1795" t="s">
        <v>2091</v>
      </c>
      <c r="C5" s="2370" t="s">
        <v>2092</v>
      </c>
      <c r="D5" s="2367"/>
      <c r="E5" s="2371"/>
      <c r="F5" s="1795" t="s">
        <v>2093</v>
      </c>
      <c r="G5" s="2372" t="s">
        <v>2094</v>
      </c>
      <c r="H5" s="2365"/>
      <c r="I5" s="2365"/>
      <c r="J5" s="2365"/>
      <c r="K5" s="2365"/>
      <c r="L5" s="2365"/>
      <c r="M5" s="2365"/>
      <c r="N5" s="2365"/>
      <c r="O5" s="2365"/>
      <c r="P5" s="2365"/>
      <c r="Q5" s="2365"/>
      <c r="R5" s="2365"/>
    </row>
    <row r="6" spans="1:29" ht="67.5">
      <c r="A6" s="431"/>
      <c r="B6" s="1795" t="s">
        <v>2095</v>
      </c>
      <c r="C6" s="2960" t="s">
        <v>3142</v>
      </c>
      <c r="D6" s="2367"/>
      <c r="E6" s="2371"/>
      <c r="F6" s="1795" t="s">
        <v>2096</v>
      </c>
      <c r="G6" s="2372" t="s">
        <v>2097</v>
      </c>
      <c r="H6" s="2365"/>
      <c r="I6" s="2365"/>
      <c r="J6" s="2365"/>
      <c r="K6" s="2365"/>
      <c r="L6" s="2365"/>
      <c r="M6" s="2365"/>
      <c r="N6" s="2365"/>
      <c r="O6" s="2365"/>
      <c r="P6" s="2365"/>
      <c r="Q6" s="2365"/>
      <c r="R6" s="2365"/>
    </row>
    <row r="7" spans="1:29" ht="41.25" thickBot="1">
      <c r="A7" s="431"/>
      <c r="B7" s="1795" t="s">
        <v>2093</v>
      </c>
      <c r="C7" s="2960" t="s">
        <v>3084</v>
      </c>
      <c r="D7" s="2373"/>
      <c r="E7" s="2374"/>
      <c r="F7" s="2375" t="s">
        <v>2098</v>
      </c>
      <c r="G7" s="2376" t="s">
        <v>2099</v>
      </c>
      <c r="H7" s="2365"/>
      <c r="I7" s="2365"/>
      <c r="J7" s="2365"/>
      <c r="K7" s="2365"/>
      <c r="L7" s="2365"/>
      <c r="M7" s="2365"/>
      <c r="N7" s="2365"/>
      <c r="O7" s="2365"/>
      <c r="P7" s="2365"/>
      <c r="Q7" s="2365"/>
      <c r="R7" s="2365"/>
    </row>
    <row r="8" spans="1:29" ht="15">
      <c r="A8" s="431"/>
      <c r="B8" s="1795" t="s">
        <v>2096</v>
      </c>
      <c r="C8" s="2960" t="s">
        <v>3085</v>
      </c>
      <c r="D8" s="2373"/>
      <c r="E8" s="2373"/>
      <c r="F8" s="1133"/>
      <c r="G8" s="1133"/>
      <c r="H8" s="2365"/>
      <c r="I8" s="2365"/>
      <c r="J8" s="2365"/>
      <c r="K8" s="2365"/>
      <c r="L8" s="2365"/>
      <c r="M8" s="2365"/>
      <c r="N8" s="2365"/>
      <c r="O8" s="2365"/>
      <c r="P8" s="2365"/>
      <c r="Q8" s="2365"/>
      <c r="R8" s="2365"/>
    </row>
    <row r="9" spans="1:29" ht="67.5">
      <c r="A9" s="431"/>
      <c r="B9" s="1795" t="s">
        <v>2100</v>
      </c>
      <c r="C9" s="2961" t="s">
        <v>3143</v>
      </c>
      <c r="D9" s="2367"/>
      <c r="E9" s="2373"/>
      <c r="F9" s="1133"/>
      <c r="G9" s="1133"/>
      <c r="H9" s="2365"/>
      <c r="I9" s="2365"/>
      <c r="J9" s="2365"/>
      <c r="K9" s="2365"/>
      <c r="L9" s="2365"/>
      <c r="M9" s="2365"/>
      <c r="N9" s="2365"/>
      <c r="O9" s="2365"/>
      <c r="P9" s="2365"/>
      <c r="Q9" s="2365"/>
      <c r="R9" s="2365"/>
    </row>
    <row r="10" spans="1:29" s="117" customFormat="1" ht="15.75" thickBot="1">
      <c r="A10" s="2377"/>
      <c r="B10" s="2378" t="s">
        <v>2101</v>
      </c>
      <c r="C10" s="2962" t="s">
        <v>3086</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2" t="s">
        <v>2104</v>
      </c>
    </row>
    <row r="15" spans="1:29" ht="128.25">
      <c r="A15" s="68" t="s">
        <v>2105</v>
      </c>
      <c r="B15" s="1267" t="s">
        <v>2084</v>
      </c>
      <c r="C15" s="2398" t="str">
        <f>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2367"/>
      <c r="E15" s="2399" t="s">
        <v>2106</v>
      </c>
      <c r="F15" s="1267" t="s">
        <v>2107</v>
      </c>
      <c r="G15" s="135" t="str">
        <f>G3</f>
        <v>估价对象位于XX开发区，园区建设成熟度XX，产业集聚程度XX</v>
      </c>
    </row>
    <row r="16" spans="1:29" ht="42.75">
      <c r="A16" s="645"/>
      <c r="B16" s="2400" t="s">
        <v>2087</v>
      </c>
      <c r="C16" s="2401" t="str">
        <f>C4</f>
        <v>估价对象位于XX商圈，周边商业氛围成熟，人流量大，商业繁华度好</v>
      </c>
      <c r="D16" s="2367"/>
      <c r="E16" s="2402"/>
      <c r="F16" s="2403" t="s">
        <v>2089</v>
      </c>
      <c r="G16" s="136" t="str">
        <f>G4</f>
        <v>估价对象周边道路状况、公共交通通达情况、停车便捷程度，综合评价交通便捷度较好</v>
      </c>
    </row>
    <row r="17" spans="1:18" ht="42.75">
      <c r="A17" s="645"/>
      <c r="B17" s="2400" t="s">
        <v>2091</v>
      </c>
      <c r="C17" s="2401" t="str">
        <f>C5</f>
        <v>估价对象位于XX商圈，周边办公楼项目较多，入驻率高，办公集聚程度较好</v>
      </c>
      <c r="D17" s="2373"/>
      <c r="E17" s="2402"/>
      <c r="F17" s="2403" t="s">
        <v>2108</v>
      </c>
      <c r="G17" s="1569"/>
    </row>
    <row r="18" spans="1:18" ht="71.25">
      <c r="A18" s="645"/>
      <c r="B18" s="2403" t="s">
        <v>2095</v>
      </c>
      <c r="C18" s="136" t="str">
        <f>C6</f>
        <v>估价对象周边有开发区3路、快速直达专线181路、578路多条公交线路，距地铁8号线（瀛海站）约4公里，综合评价交通便捷度一般。</v>
      </c>
      <c r="D18" s="2373"/>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71.25">
      <c r="A20" s="645"/>
      <c r="B20" s="2403" t="s">
        <v>2110</v>
      </c>
      <c r="C20" s="2401" t="str">
        <f>C9</f>
        <v>区域自然环境：体育公园、南海子公园、凉水河；人文环境：北京电子科技职业学院(亦庄校区)；综合评价环境状况一般</v>
      </c>
      <c r="D20" s="2373"/>
      <c r="E20" s="2402"/>
      <c r="F20" s="1795" t="s">
        <v>2111</v>
      </c>
      <c r="G20" s="136" t="str">
        <f>G6</f>
        <v>估价对象所在区域基础设施水平</v>
      </c>
    </row>
    <row r="21" spans="1:18" ht="28.5">
      <c r="A21" s="645"/>
      <c r="B21" s="1795" t="s">
        <v>2093</v>
      </c>
      <c r="C21" s="136" t="str">
        <f>C7</f>
        <v>估价对象所在区域公共配套设施齐备情况一般</v>
      </c>
      <c r="D21" s="2367"/>
      <c r="E21" s="2402"/>
      <c r="F21" s="2403" t="s">
        <v>2112</v>
      </c>
      <c r="G21" s="2404"/>
    </row>
    <row r="22" spans="1:18" ht="13.5" customHeight="1">
      <c r="A22" s="645"/>
      <c r="B22" s="1795" t="s">
        <v>2096</v>
      </c>
      <c r="C22" s="136" t="str">
        <f>C8</f>
        <v>七通</v>
      </c>
      <c r="D22" s="2367"/>
      <c r="E22" s="2402"/>
      <c r="F22" s="2403" t="s">
        <v>2101</v>
      </c>
      <c r="G22" s="1569"/>
    </row>
    <row r="23" spans="1:18" s="2365"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5" customFormat="1" ht="15.75" thickBot="1">
      <c r="A24" s="2408"/>
      <c r="B24" s="2406" t="s">
        <v>2114</v>
      </c>
      <c r="C24" s="137" t="str">
        <f>C10</f>
        <v>城市次干道——兴海路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0</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43847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417245</v>
      </c>
      <c r="C5" s="1743" t="e">
        <f ca="1">ROUND(B5*10000/$B$1,0)</f>
        <v>#DIV/0!</v>
      </c>
      <c r="D5" s="1743" t="e">
        <f ca="1">ROUND(B5*10000/$B$2,0)</f>
        <v>#DIV/0!</v>
      </c>
      <c r="E5" s="1742"/>
      <c r="F5" s="1740"/>
      <c r="G5" s="1740"/>
    </row>
    <row r="6" spans="1:10" ht="16.5">
      <c r="A6" s="1743" t="s">
        <v>1351</v>
      </c>
      <c r="B6" s="1743">
        <f ca="1">SUM(G14:G23)</f>
        <v>417245</v>
      </c>
      <c r="C6" s="1743" t="e">
        <f ca="1">ROUND(B6*10000/$B$1,0)</f>
        <v>#DIV/0!</v>
      </c>
      <c r="D6" s="1743" t="e">
        <f ca="1">ROUND(B6*10000/$B$2,0)</f>
        <v>#DIV/0!</v>
      </c>
      <c r="E6" s="1742"/>
      <c r="F6" s="1740"/>
      <c r="G6" s="1740"/>
    </row>
    <row r="7" spans="1:10" ht="16.5">
      <c r="A7" s="1743" t="s">
        <v>1359</v>
      </c>
      <c r="B7" s="1743">
        <f>SUM(H14:H23)</f>
        <v>0</v>
      </c>
      <c r="C7" s="1743" t="e">
        <f>ROUND(B7*10000/$B$1,0)</f>
        <v>#DIV/0!</v>
      </c>
      <c r="D7" s="1743" t="e">
        <f>ROUND(B7*10000/$B$2,0)</f>
        <v>#DIV/0!</v>
      </c>
      <c r="E7" s="1742"/>
      <c r="F7" s="1740"/>
      <c r="G7" s="1740"/>
    </row>
    <row r="8" spans="1:10" ht="16.5">
      <c r="A8" s="1743" t="s">
        <v>1280</v>
      </c>
      <c r="B8" s="1743">
        <f>SUM(I14:I23)</f>
        <v>0</v>
      </c>
      <c r="C8" s="1743" t="e">
        <f>ROUND(B8*10000/$B$1,0)</f>
        <v>#DIV/0!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0</v>
      </c>
      <c r="C14" s="1741">
        <f>结果表!C118</f>
        <v>0</v>
      </c>
      <c r="D14" s="1741">
        <f ca="1">结果表!H118</f>
        <v>417245</v>
      </c>
      <c r="E14" s="1741" t="e">
        <f ca="1">ROUND(D14*10000/B14,0)</f>
        <v>#DIV/0!</v>
      </c>
      <c r="F14" s="1741" t="e">
        <f ca="1">ROUND(D14*10000/C14,0)</f>
        <v>#DIV/0!</v>
      </c>
      <c r="G14" s="1741">
        <f ca="1">结果表!D122</f>
        <v>417245</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8" sqref="D8:D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2115</v>
      </c>
      <c r="B1" s="2414"/>
      <c r="C1" s="2415" t="s">
        <v>3087</v>
      </c>
      <c r="D1" s="2414"/>
      <c r="E1" s="2414"/>
      <c r="F1" s="2416" t="s">
        <v>2116</v>
      </c>
      <c r="G1" s="2069" t="s">
        <v>2117</v>
      </c>
      <c r="H1" s="2417" t="str">
        <f>IF(G1="现房","——","估价对象范围")</f>
        <v>估价对象范围</v>
      </c>
      <c r="I1" s="2418"/>
    </row>
    <row r="2" spans="1:12" ht="21.75" customHeight="1" thickBot="1">
      <c r="A2" s="3158" t="str">
        <f>项目基本情况!S2</f>
        <v>北京市北京经济技术开发区河西区X90R1、X90S1地块出让国有建设用地使用权及在建建筑物房地产</v>
      </c>
      <c r="B2" s="3159"/>
      <c r="C2" s="3159"/>
      <c r="D2" s="3159"/>
      <c r="E2" s="3159"/>
      <c r="F2" s="3159"/>
      <c r="G2" s="3159"/>
      <c r="H2" s="3159"/>
      <c r="I2" s="3160"/>
    </row>
    <row r="3" spans="1:12" ht="12.75">
      <c r="A3" s="3161" t="s">
        <v>2118</v>
      </c>
      <c r="B3" s="3162"/>
      <c r="C3" s="3162"/>
      <c r="D3" s="3162"/>
      <c r="E3" s="3162"/>
      <c r="F3" s="3162"/>
      <c r="G3" s="3162"/>
      <c r="H3" s="3162"/>
      <c r="I3" s="3162"/>
    </row>
    <row r="4" spans="1:12" ht="14.25">
      <c r="A4" s="2421" t="s">
        <v>2119</v>
      </c>
      <c r="B4" s="2422" t="s">
        <v>2120</v>
      </c>
      <c r="C4" s="2423" t="s">
        <v>3088</v>
      </c>
      <c r="D4" s="2423" t="s">
        <v>3088</v>
      </c>
      <c r="E4" s="3142" t="s">
        <v>2121</v>
      </c>
      <c r="F4" s="3155"/>
      <c r="G4" s="3155"/>
      <c r="H4" s="3155"/>
      <c r="I4" s="3143"/>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133" t="s">
        <v>2122</v>
      </c>
      <c r="B5" s="3054">
        <v>25</v>
      </c>
      <c r="C5" s="3163">
        <v>5</v>
      </c>
      <c r="D5" s="3151">
        <v>5</v>
      </c>
      <c r="E5" s="140" t="s">
        <v>2123</v>
      </c>
      <c r="F5" s="2425"/>
      <c r="G5" s="2425"/>
      <c r="H5" s="2425"/>
      <c r="I5" s="1831"/>
    </row>
    <row r="6" spans="1:12" ht="12.75">
      <c r="A6" s="3133"/>
      <c r="B6" s="3054"/>
      <c r="C6" s="3165"/>
      <c r="D6" s="3151"/>
      <c r="E6" s="140" t="s">
        <v>2124</v>
      </c>
      <c r="F6" s="2425"/>
      <c r="G6" s="2425"/>
      <c r="H6" s="2425"/>
      <c r="I6" s="1831"/>
    </row>
    <row r="7" spans="1:12" ht="12.75">
      <c r="A7" s="3133"/>
      <c r="B7" s="3054"/>
      <c r="C7" s="3164"/>
      <c r="D7" s="3151"/>
      <c r="E7" s="140" t="s">
        <v>2125</v>
      </c>
      <c r="F7" s="2425"/>
      <c r="G7" s="2425"/>
      <c r="H7" s="2425"/>
      <c r="I7" s="1831"/>
    </row>
    <row r="8" spans="1:12" ht="12.75">
      <c r="A8" s="3133" t="s">
        <v>2126</v>
      </c>
      <c r="B8" s="3054">
        <v>15</v>
      </c>
      <c r="C8" s="3163"/>
      <c r="D8" s="3151"/>
      <c r="E8" s="140" t="s">
        <v>2127</v>
      </c>
      <c r="F8" s="2425"/>
      <c r="G8" s="2425"/>
      <c r="H8" s="2425"/>
      <c r="I8" s="1831"/>
    </row>
    <row r="9" spans="1:12" ht="12.75">
      <c r="A9" s="3133"/>
      <c r="B9" s="3054"/>
      <c r="C9" s="3164"/>
      <c r="D9" s="3151"/>
      <c r="E9" s="140" t="s">
        <v>2128</v>
      </c>
      <c r="F9" s="2425"/>
      <c r="G9" s="2425"/>
      <c r="H9" s="2425"/>
      <c r="I9" s="1831"/>
    </row>
    <row r="10" spans="1:12" ht="12.75">
      <c r="A10" s="3133" t="s">
        <v>2129</v>
      </c>
      <c r="B10" s="3054">
        <v>15</v>
      </c>
      <c r="C10" s="3163"/>
      <c r="D10" s="3151"/>
      <c r="E10" s="140" t="s">
        <v>2130</v>
      </c>
      <c r="F10" s="2425"/>
      <c r="G10" s="2425"/>
      <c r="H10" s="2425"/>
      <c r="I10" s="1831"/>
    </row>
    <row r="11" spans="1:12" ht="12.75">
      <c r="A11" s="3133"/>
      <c r="B11" s="3054"/>
      <c r="C11" s="3164"/>
      <c r="D11" s="3151"/>
      <c r="E11" s="140" t="s">
        <v>2131</v>
      </c>
      <c r="F11" s="2425"/>
      <c r="G11" s="2425"/>
      <c r="H11" s="2425"/>
      <c r="I11" s="1831"/>
    </row>
    <row r="12" spans="1:12" ht="12.75">
      <c r="A12" s="3133" t="s">
        <v>2132</v>
      </c>
      <c r="B12" s="3054">
        <v>15</v>
      </c>
      <c r="C12" s="3163"/>
      <c r="D12" s="3151"/>
      <c r="E12" s="140" t="s">
        <v>2133</v>
      </c>
      <c r="F12" s="2425"/>
      <c r="G12" s="2425"/>
      <c r="H12" s="2425"/>
      <c r="I12" s="1831"/>
    </row>
    <row r="13" spans="1:12" ht="12.75">
      <c r="A13" s="3133"/>
      <c r="B13" s="3054"/>
      <c r="C13" s="3164"/>
      <c r="D13" s="3151"/>
      <c r="E13" s="140" t="s">
        <v>2134</v>
      </c>
      <c r="F13" s="2425"/>
      <c r="G13" s="2425"/>
      <c r="H13" s="2425"/>
      <c r="I13" s="1831"/>
    </row>
    <row r="14" spans="1:12" ht="12.75">
      <c r="A14" s="3133" t="s">
        <v>2135</v>
      </c>
      <c r="B14" s="3054">
        <v>30</v>
      </c>
      <c r="C14" s="3163"/>
      <c r="D14" s="3151"/>
      <c r="E14" s="140" t="s">
        <v>2136</v>
      </c>
      <c r="F14" s="2425"/>
      <c r="G14" s="2425"/>
      <c r="H14" s="2425"/>
      <c r="I14" s="1831"/>
    </row>
    <row r="15" spans="1:12" ht="12.75">
      <c r="A15" s="3133"/>
      <c r="B15" s="3054"/>
      <c r="C15" s="3165"/>
      <c r="D15" s="3151"/>
      <c r="E15" s="140" t="s">
        <v>2137</v>
      </c>
      <c r="F15" s="2425"/>
      <c r="G15" s="2425"/>
      <c r="H15" s="2425"/>
      <c r="I15" s="1831"/>
    </row>
    <row r="16" spans="1:12" ht="12.75">
      <c r="A16" s="3133"/>
      <c r="B16" s="3054"/>
      <c r="C16" s="3164"/>
      <c r="D16" s="3151"/>
      <c r="E16" s="140" t="s">
        <v>2138</v>
      </c>
      <c r="F16" s="2425"/>
      <c r="G16" s="2425"/>
      <c r="H16" s="2425"/>
      <c r="I16" s="1831"/>
    </row>
    <row r="17" spans="1:35" ht="15">
      <c r="A17" s="2426" t="s">
        <v>2139</v>
      </c>
      <c r="B17" s="64"/>
      <c r="C17" s="141">
        <f>SUM(C5:C16)</f>
        <v>5</v>
      </c>
      <c r="D17" s="141">
        <f>SUM(D5:D16)</f>
        <v>5</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0</v>
      </c>
      <c r="M18" s="2424">
        <f>IF(C1="",'数据-汇总表'!E3,SUMIF(项目类型,C1,'数据-汇总表'!E17:E26))</f>
        <v>0</v>
      </c>
    </row>
    <row r="19" spans="1:35" ht="15">
      <c r="A19" s="2430" t="s">
        <v>2144</v>
      </c>
      <c r="B19" s="2431" t="s">
        <v>2145</v>
      </c>
      <c r="C19" s="143">
        <f ca="1">SUMIF(INDIRECT("'"&amp;C4&amp;"'"&amp;"!A:A"),结果表!B19,INDIRECT("'"&amp;C4&amp;"'"&amp;"!B:B"))</f>
        <v>417245</v>
      </c>
      <c r="D19" s="144">
        <f ca="1">SUMIF(INDIRECT("'"&amp;D4&amp;"'"&amp;"!A:A"),结果表!B19,INDIRECT("'"&amp;D4&amp;"'"&amp;"!B:B"))</f>
        <v>417245</v>
      </c>
      <c r="E19" s="2430" t="s">
        <v>2146</v>
      </c>
      <c r="F19" s="2431" t="s">
        <v>2145</v>
      </c>
      <c r="G19" s="145">
        <f ca="1">ROUND(C19*$C$18+D19*$D$18,0)</f>
        <v>417245</v>
      </c>
      <c r="H19" s="2432" t="s">
        <v>2147</v>
      </c>
      <c r="I19" s="138"/>
      <c r="K19" s="2424" t="s">
        <v>2148</v>
      </c>
      <c r="L19" s="2424">
        <f>IF(C1="",'数据-汇总表'!D3,SUMIF(项目类型,C1,'数据-汇总表'!D17:D26)+SUMIF(项目类型,C1,'数据-汇总表'!H17:H27))</f>
        <v>0</v>
      </c>
      <c r="M19" s="2424">
        <f>IF(C1="",'数据-汇总表'!D3,SUMIF(项目类型,C1,'数据-汇总表'!D17:D26))</f>
        <v>0</v>
      </c>
    </row>
    <row r="20" spans="1:35" ht="15">
      <c r="A20" s="2433"/>
      <c r="B20" s="1247" t="s">
        <v>2149</v>
      </c>
      <c r="C20" s="146">
        <f ca="1">SUMIF(INDIRECT("'"&amp;C4&amp;"'"&amp;"!A:A"),结果表!B20,INDIRECT("'"&amp;C4&amp;"'"&amp;"!B:B"))</f>
        <v>47975</v>
      </c>
      <c r="D20" s="147">
        <f ca="1">SUMIF(INDIRECT("'"&amp;D4&amp;"'"&amp;"!A:A"),结果表!B20,INDIRECT("'"&amp;D4&amp;"'"&amp;"!B:B"))</f>
        <v>47975</v>
      </c>
      <c r="E20" s="2433"/>
      <c r="F20" s="1247" t="s">
        <v>2149</v>
      </c>
      <c r="G20" s="148">
        <f ca="1">ROUND(C20*$C$18+D20*$D$18,0)</f>
        <v>47975</v>
      </c>
      <c r="H20" s="980" t="s">
        <v>2150</v>
      </c>
      <c r="I20" s="138"/>
    </row>
    <row r="21" spans="1:35" ht="15" customHeight="1" thickBot="1">
      <c r="A21" s="1000"/>
      <c r="B21" s="2434" t="s">
        <v>2151</v>
      </c>
      <c r="C21" s="789" t="e">
        <f ca="1">ROUND(C19*10000/L19,0)</f>
        <v>#DIV/0!</v>
      </c>
      <c r="D21" s="790" t="e">
        <f ca="1">ROUND(D19*10000/L19,0)</f>
        <v>#DIV/0!</v>
      </c>
      <c r="E21" s="1000"/>
      <c r="F21" s="2434" t="s">
        <v>2151</v>
      </c>
      <c r="G21" s="149" t="e">
        <f ca="1">ROUND(G19*10000/L19,0)</f>
        <v>#DIV/0!</v>
      </c>
      <c r="H21" s="2435" t="s">
        <v>2150</v>
      </c>
      <c r="I21" s="138"/>
    </row>
    <row r="22" spans="1:35" ht="15" thickBot="1">
      <c r="A22" s="2279" t="s">
        <v>2152</v>
      </c>
      <c r="B22" s="2436"/>
      <c r="C22" s="2437"/>
      <c r="D22" s="791">
        <f ca="1">IF(C19&lt;D19,D19/C19-1,C19/D19-1)</f>
        <v>0</v>
      </c>
      <c r="E22" s="138"/>
      <c r="F22" s="138"/>
      <c r="G22" s="138"/>
      <c r="H22" s="138"/>
      <c r="I22" s="138"/>
      <c r="J22" s="2968" t="s">
        <v>3110</v>
      </c>
      <c r="K22" s="2969" t="s">
        <v>3111</v>
      </c>
      <c r="L22" s="2970"/>
      <c r="M22" s="2971"/>
    </row>
    <row r="23" spans="1:35" ht="13.5" thickBot="1">
      <c r="A23" s="2414"/>
      <c r="B23" s="2414"/>
      <c r="C23" s="2414"/>
      <c r="D23" s="2414"/>
      <c r="E23" s="138"/>
      <c r="F23" s="138"/>
      <c r="G23" s="138"/>
      <c r="H23" s="138"/>
      <c r="I23" s="138"/>
      <c r="J23" s="2968" t="s">
        <v>3112</v>
      </c>
      <c r="K23" s="3081">
        <v>30000</v>
      </c>
      <c r="L23" s="3082"/>
      <c r="M23" s="2971" t="s">
        <v>3113</v>
      </c>
    </row>
    <row r="24" spans="1:35" ht="14.25">
      <c r="A24" s="3172" t="s">
        <v>2153</v>
      </c>
      <c r="B24" s="2431" t="s">
        <v>2145</v>
      </c>
      <c r="C24" s="145">
        <f>IF(B30=0,0,D30)</f>
        <v>0</v>
      </c>
      <c r="D24" s="2438"/>
      <c r="E24" s="138"/>
      <c r="F24" s="138"/>
      <c r="G24" s="138"/>
      <c r="H24" s="138"/>
      <c r="I24" s="138"/>
      <c r="J24" s="2968" t="s">
        <v>3114</v>
      </c>
      <c r="K24" s="2972">
        <v>2020</v>
      </c>
      <c r="L24" s="2972">
        <v>1</v>
      </c>
      <c r="M24" s="2972">
        <v>17</v>
      </c>
    </row>
    <row r="25" spans="1:35" ht="14.25">
      <c r="A25" s="3173"/>
      <c r="B25" s="1247" t="s">
        <v>2149</v>
      </c>
      <c r="C25" s="150">
        <f>IF(B30=0,0,C30)</f>
        <v>0</v>
      </c>
      <c r="D25" s="2439"/>
      <c r="E25" s="138"/>
      <c r="F25" s="138"/>
      <c r="G25" s="138"/>
      <c r="H25" s="138"/>
      <c r="I25" s="138"/>
      <c r="J25" s="2973" t="s">
        <v>3115</v>
      </c>
      <c r="K25" s="2974">
        <f>'比较法-住宅'!C49</f>
        <v>47975</v>
      </c>
      <c r="L25" s="2975"/>
      <c r="M25" s="2976" t="s">
        <v>3113</v>
      </c>
    </row>
    <row r="26" spans="1:35" ht="19.5" customHeight="1">
      <c r="A26" s="2440" t="s">
        <v>2154</v>
      </c>
      <c r="B26" s="151" t="s">
        <v>2155</v>
      </c>
      <c r="C26" s="151" t="s">
        <v>2156</v>
      </c>
      <c r="D26" s="152" t="s">
        <v>2157</v>
      </c>
      <c r="E26" s="138"/>
      <c r="F26" s="138"/>
      <c r="G26" s="138"/>
      <c r="H26" s="138"/>
      <c r="I26" s="138"/>
      <c r="J26" s="2968" t="s">
        <v>3116</v>
      </c>
      <c r="K26" s="3083">
        <f>ROUND(K23/K25,4)</f>
        <v>0.62529999999999997</v>
      </c>
      <c r="L26" s="3084"/>
      <c r="M26" s="3085"/>
    </row>
    <row r="27" spans="1:35" ht="19.5" customHeight="1">
      <c r="A27" s="2440"/>
      <c r="B27" s="151">
        <v>0</v>
      </c>
      <c r="C27" s="151">
        <v>0</v>
      </c>
      <c r="D27" s="152">
        <f>ROUND(C27*B27/10000,0)</f>
        <v>0</v>
      </c>
      <c r="E27" s="138"/>
      <c r="F27" s="138"/>
      <c r="G27" s="138"/>
      <c r="H27" s="138"/>
      <c r="I27" s="138"/>
      <c r="J27" s="2968" t="s">
        <v>3116</v>
      </c>
      <c r="K27" s="3083"/>
      <c r="L27" s="3084"/>
      <c r="M27" s="3085"/>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417245</v>
      </c>
      <c r="D32" s="2445" t="s">
        <v>2160</v>
      </c>
      <c r="E32" s="138"/>
      <c r="F32" s="138"/>
      <c r="G32" s="138"/>
      <c r="H32" s="138"/>
      <c r="I32" s="138"/>
    </row>
    <row r="33" spans="1:15" ht="15">
      <c r="A33" s="957"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2164</v>
      </c>
      <c r="F34" s="1736"/>
      <c r="G34" s="138"/>
      <c r="H34" s="138"/>
      <c r="I34" s="138"/>
    </row>
    <row r="35" spans="1:15" ht="15.75" thickBot="1">
      <c r="A35" s="2454"/>
      <c r="B35" s="2455"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52" t="s">
        <v>2167</v>
      </c>
      <c r="B36" s="2457" t="s">
        <v>2168</v>
      </c>
      <c r="C36" s="154"/>
      <c r="D36" s="2458"/>
      <c r="E36" s="2459"/>
      <c r="F36" s="2460"/>
      <c r="G36" s="138"/>
      <c r="H36" s="138"/>
      <c r="I36" s="138"/>
    </row>
    <row r="37" spans="1:15" ht="15.75" thickBot="1">
      <c r="A37" s="3153"/>
      <c r="B37" s="2265" t="s">
        <v>2169</v>
      </c>
      <c r="C37" s="156"/>
      <c r="D37" s="1392"/>
      <c r="E37" s="1392"/>
      <c r="F37" s="2460"/>
      <c r="G37" s="138"/>
      <c r="H37" s="138"/>
      <c r="I37" s="138"/>
    </row>
    <row r="38" spans="1:15" ht="15.75" thickBot="1">
      <c r="A38" s="3154"/>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69" t="s">
        <v>2181</v>
      </c>
      <c r="B45" s="3170"/>
      <c r="C45" s="3171"/>
      <c r="D45" s="164">
        <f ca="1">ROUND(H101*F45,0)</f>
        <v>417245</v>
      </c>
      <c r="E45" s="165" t="s">
        <v>2182</v>
      </c>
      <c r="F45" s="166">
        <v>1</v>
      </c>
      <c r="G45" s="167" t="s">
        <v>2183</v>
      </c>
      <c r="H45" s="138"/>
      <c r="I45" s="138"/>
      <c r="J45" s="3088" t="s">
        <v>2184</v>
      </c>
      <c r="K45" s="3088"/>
      <c r="L45" s="3088"/>
      <c r="M45" s="3088"/>
      <c r="N45" s="3088"/>
      <c r="O45" s="3088"/>
    </row>
    <row r="46" spans="1:15" ht="14.25" customHeight="1">
      <c r="A46" s="3166" t="s">
        <v>2185</v>
      </c>
      <c r="B46" s="3167"/>
      <c r="C46" s="3167"/>
      <c r="D46" s="3167"/>
      <c r="E46" s="3167"/>
      <c r="F46" s="3167"/>
      <c r="G46" s="3168"/>
      <c r="H46" s="2476"/>
      <c r="I46" s="168"/>
      <c r="J46" s="1809">
        <v>1</v>
      </c>
      <c r="K46" s="3088" t="s">
        <v>2186</v>
      </c>
      <c r="L46" s="3088"/>
      <c r="M46" s="3089"/>
      <c r="N46" s="3089"/>
      <c r="O46" s="3089"/>
    </row>
    <row r="47" spans="1:15" ht="12" customHeight="1">
      <c r="A47" s="169" t="s">
        <v>2187</v>
      </c>
      <c r="B47" s="170"/>
      <c r="C47" s="171"/>
      <c r="D47" s="172" t="s">
        <v>2188</v>
      </c>
      <c r="E47" s="24" t="s">
        <v>2189</v>
      </c>
      <c r="F47" s="173" t="s">
        <v>2190</v>
      </c>
      <c r="G47" s="174" t="s">
        <v>2191</v>
      </c>
      <c r="H47" s="2476"/>
      <c r="I47" s="168"/>
      <c r="J47" s="1809">
        <v>2</v>
      </c>
      <c r="K47" s="3088" t="s">
        <v>2192</v>
      </c>
      <c r="L47" s="3088"/>
      <c r="M47" s="3090">
        <f>'数据-取费表'!B2</f>
        <v>43847</v>
      </c>
      <c r="N47" s="3090"/>
      <c r="O47" s="3090"/>
    </row>
    <row r="48" spans="1:15" ht="25.5">
      <c r="A48" s="3156" t="s">
        <v>2193</v>
      </c>
      <c r="B48" s="3157"/>
      <c r="C48" s="3157"/>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088" t="s">
        <v>2196</v>
      </c>
      <c r="L48" s="3088"/>
      <c r="M48" s="3091">
        <f ca="1">H101</f>
        <v>417245</v>
      </c>
      <c r="N48" s="3091"/>
      <c r="O48" s="3091"/>
    </row>
    <row r="49" spans="1:35" ht="25.5" customHeight="1">
      <c r="A49" s="176" t="s">
        <v>2197</v>
      </c>
      <c r="B49" s="3136" t="s">
        <v>2198</v>
      </c>
      <c r="C49" s="3136"/>
      <c r="D49" s="177">
        <v>0</v>
      </c>
      <c r="E49" s="23" t="s">
        <v>2199</v>
      </c>
      <c r="F49" s="28" t="s">
        <v>34</v>
      </c>
      <c r="G49" s="3117"/>
      <c r="H49" s="138"/>
      <c r="I49" s="2479"/>
      <c r="J49" s="1809">
        <v>4</v>
      </c>
      <c r="K49" s="3088" t="str">
        <f>IF(项目基本情况!E8="房地产抵押价值","房地产抵押价值","抵押担保权已注销时的房地产抵押价值")</f>
        <v>抵押担保权已注销时的房地产抵押价值</v>
      </c>
      <c r="L49" s="3088"/>
      <c r="M49" s="3091" t="str">
        <f>IF(项目基本情况!E8="房地产抵押价值",H107,H109)</f>
        <v>——</v>
      </c>
      <c r="N49" s="3091"/>
      <c r="O49" s="3091"/>
    </row>
    <row r="50" spans="1:35" ht="25.5" customHeight="1">
      <c r="A50" s="178"/>
      <c r="B50" s="3136" t="s">
        <v>2200</v>
      </c>
      <c r="C50" s="3136"/>
      <c r="D50" s="179"/>
      <c r="E50" s="31"/>
      <c r="F50" s="180"/>
      <c r="G50" s="3118"/>
      <c r="H50" s="138"/>
      <c r="I50" s="2479"/>
      <c r="J50" s="3088" t="s">
        <v>2201</v>
      </c>
      <c r="K50" s="3088"/>
      <c r="L50" s="3088"/>
      <c r="M50" s="3088"/>
      <c r="N50" s="3088"/>
      <c r="O50" s="3088"/>
    </row>
    <row r="51" spans="1:35" ht="12" customHeight="1">
      <c r="A51" s="181"/>
      <c r="B51" s="3136" t="s">
        <v>2202</v>
      </c>
      <c r="C51" s="3136"/>
      <c r="D51" s="182"/>
      <c r="E51" s="30"/>
      <c r="F51" s="180"/>
      <c r="G51" s="3119"/>
      <c r="H51" s="138"/>
      <c r="I51" s="2479"/>
      <c r="J51" s="2480" t="s">
        <v>2203</v>
      </c>
      <c r="K51" s="3088" t="s">
        <v>2204</v>
      </c>
      <c r="L51" s="3088"/>
      <c r="M51" s="2480" t="s">
        <v>2205</v>
      </c>
      <c r="N51" s="2480" t="s">
        <v>2206</v>
      </c>
      <c r="O51" s="2480" t="s">
        <v>2207</v>
      </c>
    </row>
    <row r="52" spans="1:35" ht="24" customHeight="1">
      <c r="A52" s="183" t="s">
        <v>2208</v>
      </c>
      <c r="B52" s="3136" t="s">
        <v>2209</v>
      </c>
      <c r="C52" s="3136"/>
      <c r="D52" s="182">
        <f ca="1">ROUND(D45*'数据-取费表'!B41/(1+'数据-取费表'!C42),0)</f>
        <v>0</v>
      </c>
      <c r="E52" s="11" t="s">
        <v>2210</v>
      </c>
      <c r="F52" s="184">
        <f>'数据-取费表'!B41</f>
        <v>0</v>
      </c>
      <c r="G52" s="2481"/>
      <c r="H52" s="138"/>
      <c r="I52" s="2479"/>
      <c r="J52" s="1809">
        <v>1</v>
      </c>
      <c r="K52" s="3111" t="s">
        <v>2211</v>
      </c>
      <c r="L52" s="3111"/>
      <c r="M52" s="1751">
        <f>D48</f>
        <v>0</v>
      </c>
      <c r="N52" s="1809" t="str">
        <f>E48</f>
        <v>销售额×税（费）率</v>
      </c>
      <c r="O52" s="1752" t="str">
        <f>F48</f>
        <v>免征</v>
      </c>
    </row>
    <row r="53" spans="1:35" ht="12" customHeight="1">
      <c r="A53" s="183" t="s">
        <v>2212</v>
      </c>
      <c r="B53" s="3137" t="s">
        <v>2213</v>
      </c>
      <c r="C53" s="3138"/>
      <c r="D53" s="182">
        <f ca="1">ROUND(D45*'数据-取费表'!B41/(1+'数据-取费表'!C42),0)</f>
        <v>0</v>
      </c>
      <c r="E53" s="11" t="s">
        <v>2210</v>
      </c>
      <c r="F53" s="184">
        <f>'数据-取费表'!B41</f>
        <v>0</v>
      </c>
      <c r="G53" s="2481"/>
      <c r="H53" s="138"/>
      <c r="I53" s="2479"/>
      <c r="J53" s="1809">
        <v>2</v>
      </c>
      <c r="K53" s="3111" t="s">
        <v>2214</v>
      </c>
      <c r="L53" s="3111"/>
      <c r="M53" s="1751">
        <f t="shared" ref="M53:O54" ca="1" si="0">D55</f>
        <v>0</v>
      </c>
      <c r="N53" s="1809" t="str">
        <f t="shared" si="0"/>
        <v>销售额×税（费）率</v>
      </c>
      <c r="O53" s="1752">
        <f t="shared" si="0"/>
        <v>0</v>
      </c>
    </row>
    <row r="54" spans="1:35" ht="12" customHeight="1">
      <c r="A54" s="183" t="s">
        <v>2215</v>
      </c>
      <c r="B54" s="3137" t="s">
        <v>2216</v>
      </c>
      <c r="C54" s="3138"/>
      <c r="D54" s="182">
        <f ca="1">C68</f>
        <v>0</v>
      </c>
      <c r="E54" s="30" t="s">
        <v>2217</v>
      </c>
      <c r="F54" s="184">
        <f>'数据-取费表'!B41</f>
        <v>0</v>
      </c>
      <c r="G54" s="2481"/>
      <c r="H54" s="2482"/>
      <c r="I54" s="2479"/>
      <c r="J54" s="1809">
        <v>3</v>
      </c>
      <c r="K54" s="3111" t="s">
        <v>2218</v>
      </c>
      <c r="L54" s="3111"/>
      <c r="M54" s="1751" t="e">
        <f t="shared" ca="1" si="0"/>
        <v>#DIV/0!</v>
      </c>
      <c r="N54" s="1809" t="str">
        <f t="shared" si="0"/>
        <v>增值额×税（费）率</v>
      </c>
      <c r="O54" s="1753" t="str">
        <f t="shared" si="0"/>
        <v>——</v>
      </c>
    </row>
    <row r="55" spans="1:35" ht="24" customHeight="1">
      <c r="A55" s="3175" t="s">
        <v>2219</v>
      </c>
      <c r="B55" s="3157"/>
      <c r="C55" s="3157"/>
      <c r="D55" s="185">
        <f ca="1">IF(H55="个人住宅",0,ROUND(D45*I55,0))</f>
        <v>0</v>
      </c>
      <c r="E55" s="11" t="s">
        <v>2220</v>
      </c>
      <c r="F55" s="184">
        <f>IF(H55="正常",I55,"免征")</f>
        <v>0</v>
      </c>
      <c r="G55" s="2481"/>
      <c r="H55" s="2478" t="s">
        <v>2221</v>
      </c>
      <c r="I55" s="186">
        <f>'数据-取费表'!B49</f>
        <v>0</v>
      </c>
      <c r="J55" s="1809" t="str">
        <f>IF(H59="非个人房产","",4)</f>
        <v/>
      </c>
      <c r="K55" s="3111" t="str">
        <f>IF(H59="非个人房产","——","个人所得税")</f>
        <v>——</v>
      </c>
      <c r="L55" s="3111"/>
      <c r="M55" s="1754" t="str">
        <f>D59</f>
        <v>——</v>
      </c>
      <c r="N55" s="1807" t="str">
        <f>E59</f>
        <v>——</v>
      </c>
      <c r="O55" s="1755" t="str">
        <f>F59</f>
        <v>——</v>
      </c>
    </row>
    <row r="56" spans="1:35" ht="24.75">
      <c r="A56" s="3175" t="s">
        <v>2222</v>
      </c>
      <c r="B56" s="3157"/>
      <c r="C56" s="3157"/>
      <c r="D56" s="185" t="e">
        <f ca="1">IF(H56="个人住宅",D57,D58)</f>
        <v>#DIV/0!</v>
      </c>
      <c r="E56" s="11" t="s">
        <v>2223</v>
      </c>
      <c r="F56" s="184" t="str">
        <f>IF(H56="正常",F58,"免征")</f>
        <v>——</v>
      </c>
      <c r="G56" s="2483" t="s">
        <v>2224</v>
      </c>
      <c r="H56" s="2484" t="s">
        <v>2221</v>
      </c>
      <c r="I56" s="2485"/>
      <c r="J56" s="1809" t="str">
        <f>IF(项目基本情况!K6="上海银行",IF(J55="",4,J55+1),"")</f>
        <v/>
      </c>
      <c r="K56" s="3094" t="str">
        <f>IF(项目基本情况!K6="上海银行","其他处置费用","")</f>
        <v/>
      </c>
      <c r="L56" s="3095"/>
      <c r="M56" s="1751" t="str">
        <f>IF(项目基本情况!K6="上海银行",M69,"")</f>
        <v/>
      </c>
      <c r="N56" s="3097" t="str">
        <f>IF(项目基本情况!K6="上海银行","包含处置中涉及的律师、诉讼、拍卖、评估等费用","")</f>
        <v/>
      </c>
      <c r="O56" s="3098"/>
    </row>
    <row r="57" spans="1:35" ht="12.75">
      <c r="A57" s="183" t="s">
        <v>2197</v>
      </c>
      <c r="B57" s="3142" t="s">
        <v>2225</v>
      </c>
      <c r="C57" s="3143"/>
      <c r="D57" s="187">
        <v>0</v>
      </c>
      <c r="E57" s="23" t="s">
        <v>2199</v>
      </c>
      <c r="F57" s="155"/>
      <c r="G57" s="2481"/>
      <c r="H57" s="2485"/>
      <c r="I57" s="2485"/>
      <c r="J57" s="3111">
        <f>IF(AND(J55="",J56=""),4,IF(项目基本情况!K6="上海银行",结果表!J56+1,结果表!J55+1))</f>
        <v>4</v>
      </c>
      <c r="K57" s="3111" t="s">
        <v>2226</v>
      </c>
      <c r="L57" s="2486" t="s">
        <v>2227</v>
      </c>
      <c r="M57" s="1756"/>
      <c r="N57" s="1757">
        <f ca="1">SUMIF(M52:M56,"&lt;9e307")</f>
        <v>0</v>
      </c>
      <c r="O57" s="2487"/>
      <c r="P57" s="1750" t="e">
        <f ca="1">N57/M49</f>
        <v>#VALUE!</v>
      </c>
    </row>
    <row r="58" spans="1:35" ht="24.75">
      <c r="A58" s="183" t="s">
        <v>2208</v>
      </c>
      <c r="B58" s="3142" t="s">
        <v>2228</v>
      </c>
      <c r="C58" s="3155"/>
      <c r="D58" s="185" t="e">
        <f ca="1">IF(H58="转让取得",C81,C97)</f>
        <v>#DIV/0!</v>
      </c>
      <c r="E58" s="11" t="s">
        <v>2223</v>
      </c>
      <c r="F58" s="24" t="s">
        <v>34</v>
      </c>
      <c r="G58" s="2481"/>
      <c r="H58" s="2484" t="s">
        <v>2229</v>
      </c>
      <c r="I58" s="2485"/>
      <c r="J58" s="3111"/>
      <c r="K58" s="3111"/>
      <c r="L58" s="2486" t="s">
        <v>2230</v>
      </c>
      <c r="M58" s="1758"/>
      <c r="N58" s="2488" t="str">
        <f ca="1">NUMBERSTRING(INT(N57*10000),2)&amp;"元整"</f>
        <v>零元整</v>
      </c>
      <c r="O58" s="2489"/>
    </row>
    <row r="59" spans="1:35" ht="24.75" thickBot="1">
      <c r="A59" s="3115" t="s">
        <v>2231</v>
      </c>
      <c r="B59" s="3116"/>
      <c r="C59" s="3116"/>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13">
        <f>J57+1</f>
        <v>5</v>
      </c>
      <c r="K59" s="3111" t="s">
        <v>2233</v>
      </c>
      <c r="L59" s="1809" t="s">
        <v>2227</v>
      </c>
      <c r="M59" s="1759"/>
      <c r="N59" s="1760" t="e">
        <f ca="1">M49-N57</f>
        <v>#VALUE!</v>
      </c>
      <c r="O59" s="2491"/>
    </row>
    <row r="60" spans="1:35" ht="12" customHeight="1">
      <c r="A60" s="2492"/>
      <c r="B60" s="2414"/>
      <c r="C60" s="2414"/>
      <c r="D60" s="2414"/>
      <c r="E60" s="2164"/>
      <c r="F60" s="2485"/>
      <c r="G60" s="2485"/>
      <c r="H60" s="2493"/>
      <c r="I60" s="138"/>
      <c r="J60" s="3114"/>
      <c r="K60" s="3111"/>
      <c r="L60" s="2486" t="s">
        <v>2230</v>
      </c>
      <c r="M60" s="1758"/>
      <c r="N60" s="2488" t="e">
        <f ca="1">NUMBERSTRING(INT(N59*10000),2)&amp;"元整"</f>
        <v>#VALUE!</v>
      </c>
      <c r="O60" s="2489"/>
    </row>
    <row r="61" spans="1:35" ht="13.5" thickBot="1">
      <c r="A61" s="3174" t="s">
        <v>2234</v>
      </c>
      <c r="B61" s="3174"/>
      <c r="C61" s="3174"/>
      <c r="D61" s="3174"/>
      <c r="E61" s="3174"/>
      <c r="F61" s="2485"/>
      <c r="G61" s="2485"/>
      <c r="H61" s="2493"/>
      <c r="I61" s="138"/>
      <c r="J61" s="1809">
        <f>J59+1</f>
        <v>6</v>
      </c>
      <c r="K61" s="3111" t="s">
        <v>2235</v>
      </c>
      <c r="L61" s="3111"/>
      <c r="M61" s="1761"/>
      <c r="N61" s="1762" t="e">
        <f ca="1">ROUND(N59*10000/'数据-汇总表'!E3,0)</f>
        <v>#VALUE!</v>
      </c>
      <c r="O61" s="2494"/>
    </row>
    <row r="62" spans="1:35" ht="12.75">
      <c r="A62" s="3131" t="s">
        <v>2236</v>
      </c>
      <c r="B62" s="3132"/>
      <c r="C62" s="1801"/>
      <c r="D62" s="1801" t="s">
        <v>2237</v>
      </c>
      <c r="E62" s="192" t="s">
        <v>2238</v>
      </c>
      <c r="F62" s="2485"/>
      <c r="G62" s="2485"/>
      <c r="H62" s="2493"/>
      <c r="I62" s="138"/>
    </row>
    <row r="63" spans="1:35" ht="12.75">
      <c r="A63" s="203" t="s">
        <v>775</v>
      </c>
      <c r="B63" s="193" t="s">
        <v>2239</v>
      </c>
      <c r="C63" s="194">
        <f ca="1">ROUND((C64+C65)/(1+'数据-取费表'!C42),0)</f>
        <v>417245</v>
      </c>
      <c r="D63" s="195"/>
      <c r="E63" s="196"/>
      <c r="F63" s="2485"/>
      <c r="G63" s="2485"/>
      <c r="H63" s="2493"/>
      <c r="I63" s="138"/>
      <c r="J63" s="3096" t="s">
        <v>2240</v>
      </c>
      <c r="K63" s="2495" t="s">
        <v>2241</v>
      </c>
      <c r="L63" s="1749" t="e">
        <f>IF(M49&gt;10000,M49*0.5%,IF(AND(M49&gt;1000,M49&lt;=10000),M49*1%,IF(AND(M49&gt;100,M49&lt;=1000),M49*3%,IF(AND(M49&gt;10,M49&lt;=100),M49*5%,M49*8%))))</f>
        <v>#VALUE!</v>
      </c>
      <c r="M63" s="24" t="e">
        <f>ROUND(L63,1)</f>
        <v>#VALUE!</v>
      </c>
      <c r="Z63" s="2419"/>
      <c r="AI63" s="2420"/>
    </row>
    <row r="64" spans="1:35" ht="14.25" customHeight="1">
      <c r="A64" s="197" t="s">
        <v>770</v>
      </c>
      <c r="B64" s="198" t="s">
        <v>2242</v>
      </c>
      <c r="C64" s="199">
        <f ca="1">D45</f>
        <v>417245</v>
      </c>
      <c r="D64" s="200" t="s">
        <v>32</v>
      </c>
      <c r="E64" s="201"/>
      <c r="F64" s="2485"/>
      <c r="G64" s="2485"/>
      <c r="H64" s="2493"/>
      <c r="I64" s="138"/>
      <c r="J64" s="3096"/>
      <c r="K64" s="2495"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19"/>
      <c r="AI64" s="2420"/>
    </row>
    <row r="65" spans="1:35" ht="14.25" customHeight="1">
      <c r="A65" s="197" t="s">
        <v>771</v>
      </c>
      <c r="B65" s="198" t="s">
        <v>2245</v>
      </c>
      <c r="C65" s="202"/>
      <c r="D65" s="200"/>
      <c r="E65" s="201"/>
      <c r="F65" s="2485"/>
      <c r="G65" s="2485"/>
      <c r="H65" s="2493"/>
      <c r="I65" s="138"/>
      <c r="J65" s="3096"/>
      <c r="K65" s="2495" t="s">
        <v>2246</v>
      </c>
      <c r="L65" s="1749" t="e">
        <f>IF(M49&gt;1000,M49*0.1%,IF(AND(M49&gt;500,M49&lt;=1000),M49*0.5%,IF(AND(M49&gt;50,M49&lt;=500),M49*1%,IF(AND(M49&gt;1,M49&lt;=50),M49*1.5%))))</f>
        <v>#VALUE!</v>
      </c>
      <c r="M65" s="24" t="e">
        <f t="shared" si="1"/>
        <v>#VALUE!</v>
      </c>
      <c r="N65" s="138" t="s">
        <v>2244</v>
      </c>
      <c r="Z65" s="2419"/>
      <c r="AI65" s="2420"/>
    </row>
    <row r="66" spans="1:35" ht="14.25" customHeight="1">
      <c r="A66" s="203" t="s">
        <v>772</v>
      </c>
      <c r="B66" s="204" t="s">
        <v>2247</v>
      </c>
      <c r="C66" s="205"/>
      <c r="D66" s="206" t="s">
        <v>32</v>
      </c>
      <c r="E66" s="1773" t="s">
        <v>1366</v>
      </c>
      <c r="F66" s="2485"/>
      <c r="G66" s="2485"/>
      <c r="H66" s="2493"/>
      <c r="I66" s="138"/>
      <c r="J66" s="3096"/>
      <c r="K66" s="2495" t="s">
        <v>2248</v>
      </c>
      <c r="L66" s="1749" t="e">
        <f>M49*0.5%</f>
        <v>#VALUE!</v>
      </c>
      <c r="M66" s="24" t="e">
        <f>IF(L66&gt;0.5,0.5,ROUND(L66,0))</f>
        <v>#VALUE!</v>
      </c>
      <c r="N66" s="138" t="s">
        <v>2249</v>
      </c>
      <c r="Z66" s="2419"/>
      <c r="AI66" s="2420"/>
    </row>
    <row r="67" spans="1:35" ht="14.25" customHeight="1">
      <c r="A67" s="203" t="s">
        <v>773</v>
      </c>
      <c r="B67" s="204" t="s">
        <v>2250</v>
      </c>
      <c r="C67" s="207">
        <f ca="1">C63-C66</f>
        <v>417245</v>
      </c>
      <c r="D67" s="200" t="s">
        <v>32</v>
      </c>
      <c r="E67" s="201"/>
      <c r="F67" s="2485"/>
      <c r="G67" s="2485"/>
      <c r="H67" s="2493"/>
      <c r="I67" s="138"/>
      <c r="J67" s="3096"/>
      <c r="K67" s="2495"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2252</v>
      </c>
      <c r="C68" s="210">
        <f ca="1">IF(C67&lt;=0,0,ROUND(C67*D68,0))</f>
        <v>0</v>
      </c>
      <c r="D68" s="211">
        <f>'数据-取费表'!B41</f>
        <v>0</v>
      </c>
      <c r="E68" s="212"/>
      <c r="F68" s="2485"/>
      <c r="G68" s="2485"/>
      <c r="H68" s="2493"/>
      <c r="I68" s="138"/>
      <c r="J68" s="3096"/>
      <c r="K68" s="2495" t="s">
        <v>2253</v>
      </c>
      <c r="L68" s="1749"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4"/>
      <c r="G69" s="2164"/>
      <c r="H69" s="2163"/>
      <c r="I69" s="2414"/>
      <c r="J69" s="3096"/>
      <c r="K69" s="2495" t="s">
        <v>2254</v>
      </c>
      <c r="L69" s="2501"/>
      <c r="M69" s="24" t="e">
        <f>ROUND(SUM(M63:M68),0)</f>
        <v>#VALUE!</v>
      </c>
      <c r="N69" s="1750"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0" t="s">
        <v>2255</v>
      </c>
      <c r="B70" s="3141"/>
      <c r="C70" s="3141"/>
      <c r="D70" s="3141"/>
      <c r="E70" s="3141"/>
      <c r="F70" s="3141"/>
      <c r="G70" s="3141"/>
      <c r="H70" s="314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1" t="s">
        <v>2236</v>
      </c>
      <c r="B71" s="3132"/>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417245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0</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37" t="s">
        <v>2264</v>
      </c>
      <c r="F76" s="3136"/>
      <c r="G76" s="3136"/>
      <c r="H76" s="313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0</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0</v>
      </c>
      <c r="D78" s="226">
        <f>'数据-取费表'!B43</f>
        <v>0</v>
      </c>
      <c r="E78" s="3128" t="s">
        <v>2269</v>
      </c>
      <c r="F78" s="3129"/>
      <c r="G78" s="3129"/>
      <c r="H78" s="313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417245</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0" t="s">
        <v>2273</v>
      </c>
      <c r="B83" s="3141"/>
      <c r="C83" s="3141"/>
      <c r="D83" s="3141"/>
      <c r="E83" s="3141"/>
      <c r="F83" s="3141"/>
      <c r="G83" s="3141"/>
      <c r="H83" s="314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1" t="s">
        <v>2236</v>
      </c>
      <c r="B84" s="3132"/>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417245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0</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0</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128" t="s">
        <v>2282</v>
      </c>
      <c r="F91" s="3129"/>
      <c r="G91" s="3129"/>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128" t="s">
        <v>2286</v>
      </c>
      <c r="F92" s="3129"/>
      <c r="G92" s="3129"/>
      <c r="H92" s="313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0</v>
      </c>
      <c r="D93" s="226">
        <f>'数据-取费表'!B43</f>
        <v>0</v>
      </c>
      <c r="E93" s="3128" t="s">
        <v>2269</v>
      </c>
      <c r="F93" s="3129"/>
      <c r="G93" s="3129"/>
      <c r="H93" s="313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76" t="s">
        <v>2290</v>
      </c>
      <c r="F94" s="3177"/>
      <c r="G94" s="3177"/>
      <c r="H94" s="317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417245</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2291</v>
      </c>
      <c r="B99" s="2414"/>
      <c r="C99" s="2414"/>
      <c r="D99" s="2414"/>
      <c r="E99" s="2164"/>
      <c r="F99" s="2164"/>
      <c r="G99" s="2164"/>
      <c r="H99" s="2163"/>
      <c r="I99" s="138"/>
    </row>
    <row r="100" spans="1:35" ht="18.75" customHeight="1">
      <c r="A100" s="3075" t="s">
        <v>2292</v>
      </c>
      <c r="B100" s="3076"/>
      <c r="C100" s="3076"/>
      <c r="D100" s="3112"/>
      <c r="E100" s="3076" t="s">
        <v>2293</v>
      </c>
      <c r="F100" s="3076"/>
      <c r="G100" s="3076"/>
      <c r="H100" s="3112"/>
      <c r="I100" s="138"/>
    </row>
    <row r="101" spans="1:35" ht="18.75" customHeight="1">
      <c r="A101" s="3120" t="s">
        <v>2294</v>
      </c>
      <c r="B101" s="3121"/>
      <c r="C101" s="736" t="str">
        <f>C4</f>
        <v>比较法-住宅</v>
      </c>
      <c r="D101" s="737" t="str">
        <f>D4</f>
        <v>比较法-住宅</v>
      </c>
      <c r="E101" s="3092" t="s">
        <v>2295</v>
      </c>
      <c r="F101" s="3093"/>
      <c r="G101" s="2516" t="s">
        <v>2296</v>
      </c>
      <c r="H101" s="1045">
        <f ca="1">H118</f>
        <v>417245</v>
      </c>
      <c r="I101" s="138"/>
    </row>
    <row r="102" spans="1:35" ht="18.75" customHeight="1">
      <c r="A102" s="3122" t="s">
        <v>2297</v>
      </c>
      <c r="B102" s="2516" t="s">
        <v>2296</v>
      </c>
      <c r="C102" s="736">
        <f ca="1">C19</f>
        <v>417245</v>
      </c>
      <c r="D102" s="737">
        <f ca="1">D19</f>
        <v>417245</v>
      </c>
      <c r="E102" s="3092"/>
      <c r="F102" s="3093"/>
      <c r="G102" s="2516" t="s">
        <v>2298</v>
      </c>
      <c r="H102" s="371" t="e">
        <f ca="1">I118</f>
        <v>#DIV/0!</v>
      </c>
      <c r="I102" s="138"/>
    </row>
    <row r="103" spans="1:35" ht="42.75" customHeight="1">
      <c r="A103" s="3122"/>
      <c r="B103" s="2516" t="s">
        <v>2298</v>
      </c>
      <c r="C103" s="738">
        <f ca="1">C20</f>
        <v>47975</v>
      </c>
      <c r="D103" s="739">
        <f ca="1">D20</f>
        <v>47975</v>
      </c>
      <c r="E103" s="3086" t="s">
        <v>2299</v>
      </c>
      <c r="F103" s="3087"/>
      <c r="G103" s="2517" t="s">
        <v>2300</v>
      </c>
      <c r="H103" s="1045">
        <f>IF(D36="正常操作",H104+H105+H106,H105+H106)</f>
        <v>0</v>
      </c>
      <c r="I103" s="138"/>
    </row>
    <row r="104" spans="1:35" ht="18.75" customHeight="1">
      <c r="A104" s="3122" t="s">
        <v>2301</v>
      </c>
      <c r="B104" s="2518" t="s">
        <v>2296</v>
      </c>
      <c r="C104" s="740">
        <f ca="1">H118</f>
        <v>417245</v>
      </c>
      <c r="D104" s="741"/>
      <c r="E104" s="2265" t="s">
        <v>2302</v>
      </c>
      <c r="F104" s="2256"/>
      <c r="G104" s="2517" t="s">
        <v>2300</v>
      </c>
      <c r="H104" s="1046">
        <f>IF(D36="同一抵押权人同一抵押物续贷",C36&amp;"（未扣减，详见特别提示）",C36)</f>
        <v>0</v>
      </c>
      <c r="I104" s="138"/>
    </row>
    <row r="105" spans="1:35" ht="18.75" customHeight="1" thickBot="1">
      <c r="A105" s="3134"/>
      <c r="B105" s="2519" t="s">
        <v>2298</v>
      </c>
      <c r="C105" s="742" t="e">
        <f ca="1">I118</f>
        <v>#DIV/0!</v>
      </c>
      <c r="D105" s="743"/>
      <c r="E105" s="2265" t="s">
        <v>2303</v>
      </c>
      <c r="F105" s="2256"/>
      <c r="G105" s="2517" t="s">
        <v>2300</v>
      </c>
      <c r="H105" s="1046">
        <f>C37</f>
        <v>0</v>
      </c>
      <c r="I105" s="138"/>
    </row>
    <row r="106" spans="1:35" ht="18.75" customHeight="1">
      <c r="A106" s="2414" t="s">
        <v>2304</v>
      </c>
      <c r="B106" s="2414"/>
      <c r="C106" s="2414"/>
      <c r="D106" s="2414"/>
      <c r="E106" s="2520" t="s">
        <v>2305</v>
      </c>
      <c r="F106" s="2256"/>
      <c r="G106" s="2517" t="s">
        <v>2300</v>
      </c>
      <c r="H106" s="1046">
        <f>C38</f>
        <v>0</v>
      </c>
      <c r="I106" s="138"/>
    </row>
    <row r="107" spans="1:35" ht="18.75" customHeight="1">
      <c r="A107" s="138"/>
      <c r="B107" s="138"/>
      <c r="C107" s="138"/>
      <c r="D107" s="138"/>
      <c r="E107" s="3123" t="str">
        <f>IF(项目基本情况!E8="已注销","——","3.房地产抵押价值")</f>
        <v>3.房地产抵押价值</v>
      </c>
      <c r="F107" s="3093"/>
      <c r="G107" s="2516" t="s">
        <v>2296</v>
      </c>
      <c r="H107" s="1045">
        <f ca="1">IF(E107="——","——",H101-H103)</f>
        <v>417245</v>
      </c>
      <c r="I107" s="138"/>
    </row>
    <row r="108" spans="1:35" ht="18.75" customHeight="1">
      <c r="A108" s="138"/>
      <c r="B108" s="138"/>
      <c r="C108" s="138"/>
      <c r="D108" s="138"/>
      <c r="E108" s="3123"/>
      <c r="F108" s="3093"/>
      <c r="G108" s="2516" t="s">
        <v>2298</v>
      </c>
      <c r="H108" s="371">
        <f ca="1">ROUND(H107*10000/'数据-汇总表'!E3,0)</f>
        <v>47975</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516" t="s">
        <v>2296</v>
      </c>
      <c r="H109" s="348" t="str">
        <f>IF(E109="——","——",H101-H105-H106)</f>
        <v>——</v>
      </c>
      <c r="I109" s="138"/>
    </row>
    <row r="110" spans="1:35" ht="18.75" customHeight="1">
      <c r="A110" s="138"/>
      <c r="B110" s="138"/>
      <c r="C110" s="138"/>
      <c r="D110" s="138"/>
      <c r="E110" s="3123"/>
      <c r="F110" s="3093"/>
      <c r="G110" s="2516" t="s">
        <v>2298</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6" t="s">
        <v>2296</v>
      </c>
      <c r="H111" s="1045" t="str">
        <f>IF(E111="——","——",N59)</f>
        <v>——</v>
      </c>
      <c r="I111" s="138"/>
    </row>
    <row r="112" spans="1:35" ht="18.75" customHeight="1" thickBot="1">
      <c r="A112" s="138"/>
      <c r="B112" s="138"/>
      <c r="C112" s="138"/>
      <c r="D112" s="138"/>
      <c r="E112" s="3126"/>
      <c r="F112" s="3127"/>
      <c r="G112" s="2521" t="s">
        <v>2298</v>
      </c>
      <c r="H112" s="790" t="str">
        <f>IF(E111="——","——",N61)</f>
        <v>——</v>
      </c>
      <c r="I112" s="138"/>
    </row>
    <row r="113" spans="1:11" ht="18.75" customHeight="1">
      <c r="A113" s="138"/>
      <c r="B113" s="138"/>
      <c r="C113" s="138"/>
      <c r="D113" s="138"/>
      <c r="E113" s="3135" t="s">
        <v>2304</v>
      </c>
      <c r="F113" s="3135"/>
      <c r="G113" s="3135"/>
      <c r="H113" s="3135"/>
      <c r="I113" s="138"/>
    </row>
    <row r="114" spans="1:11" ht="3.75" customHeight="1">
      <c r="A114" s="2414"/>
      <c r="B114" s="2414"/>
      <c r="C114" s="2414"/>
      <c r="D114" s="2414"/>
      <c r="E114" s="2492"/>
      <c r="F114" s="2492"/>
      <c r="G114" s="2492"/>
      <c r="H114" s="2492"/>
      <c r="I114" s="2414"/>
    </row>
    <row r="115" spans="1:11" ht="18.75" customHeight="1">
      <c r="A115" s="3148" t="s">
        <v>2306</v>
      </c>
      <c r="B115" s="3149"/>
      <c r="C115" s="3149"/>
      <c r="D115" s="3149"/>
      <c r="E115" s="3149"/>
      <c r="F115" s="3149"/>
      <c r="G115" s="3149"/>
      <c r="H115" s="3149"/>
      <c r="I115" s="3150"/>
    </row>
    <row r="116" spans="1:11" ht="27" customHeight="1">
      <c r="A116" s="3054" t="s">
        <v>2307</v>
      </c>
      <c r="B116" s="3102" t="s">
        <v>2308</v>
      </c>
      <c r="C116" s="3102" t="s">
        <v>2309</v>
      </c>
      <c r="D116" s="3108" t="s">
        <v>2310</v>
      </c>
      <c r="E116" s="3109"/>
      <c r="F116" s="3144" t="s">
        <v>2311</v>
      </c>
      <c r="G116" s="3144"/>
      <c r="H116" s="3054" t="s">
        <v>2312</v>
      </c>
      <c r="I116" s="3054"/>
    </row>
    <row r="117" spans="1:11" ht="18.75" customHeight="1">
      <c r="A117" s="3054"/>
      <c r="B117" s="3103"/>
      <c r="C117" s="3103"/>
      <c r="D117" s="1795" t="s">
        <v>2313</v>
      </c>
      <c r="E117" s="1795" t="s">
        <v>2314</v>
      </c>
      <c r="F117" s="1795" t="s">
        <v>2313</v>
      </c>
      <c r="G117" s="1795" t="s">
        <v>2315</v>
      </c>
      <c r="H117" s="1795" t="s">
        <v>2313</v>
      </c>
      <c r="I117" s="1795" t="s">
        <v>2315</v>
      </c>
    </row>
    <row r="118" spans="1:11" ht="24.75" customHeight="1">
      <c r="A118" s="2522" t="str">
        <f>项目基本情况!S2</f>
        <v>北京市北京经济技术开发区河西区X90R1、X90S1地块出让国有建设用地使用权及在建建筑物房地产</v>
      </c>
      <c r="B118" s="1795">
        <f>M18</f>
        <v>0</v>
      </c>
      <c r="C118" s="1795">
        <f>M19</f>
        <v>0</v>
      </c>
      <c r="D118" s="1795" t="e">
        <f ca="1">ROUND(IF(D32="总价",C34,E118*B118/10000),0)</f>
        <v>#REF!</v>
      </c>
      <c r="E118" s="1795" t="e">
        <f ca="1">ROUND(IF(C33="自定义",IF(D32="楼面单价",C34,D118*10000/B118),I118-G118),0)</f>
        <v>#DIV/0!</v>
      </c>
      <c r="F118" s="1795" t="e">
        <f ca="1">ROUND(IF(D32="总价",C35,G118*B118/10000),0)</f>
        <v>#REF!</v>
      </c>
      <c r="G118" s="1795" t="e">
        <f ca="1">ROUND(IF(D32="楼面单价",C35,F118*10000/B118),0)</f>
        <v>#REF!</v>
      </c>
      <c r="H118" s="1795">
        <f ca="1">ROUND(IF(D32="总价",C32,I118*B118/10000),0)</f>
        <v>417245</v>
      </c>
      <c r="I118" s="1795" t="e">
        <f ca="1">ROUND(IF(D32="楼面单价",C32,H118*10000/B118),0)</f>
        <v>#DIV/0!</v>
      </c>
    </row>
    <row r="119" spans="1:11" ht="18.75" customHeight="1">
      <c r="A119" s="3054" t="s">
        <v>2316</v>
      </c>
      <c r="B119" s="3054"/>
      <c r="C119" s="3054"/>
      <c r="D119" s="3104" t="e">
        <f ca="1">NUMBERSTRING(INT(D118*10000),2)&amp;"元整"</f>
        <v>#REF!</v>
      </c>
      <c r="E119" s="3105"/>
      <c r="F119" s="3104" t="e">
        <f ca="1">NUMBERSTRING(INT(F118*10000),2)&amp;"元整"</f>
        <v>#REF!</v>
      </c>
      <c r="G119" s="3105"/>
      <c r="H119" s="3104" t="str">
        <f ca="1">NUMBERSTRING(INT(H118*10000),2)&amp;"元整"</f>
        <v>肆拾壹亿柒仟贰佰肆拾伍万元整</v>
      </c>
      <c r="I119" s="3105"/>
    </row>
    <row r="120" spans="1:11" ht="18.75" customHeight="1">
      <c r="A120" s="3099" t="str">
        <f>IF(项目基本情况!B9="房地产市场价值","",MID(E103,3,LEN(E103)-2))</f>
        <v/>
      </c>
      <c r="B120" s="3100"/>
      <c r="C120" s="3101"/>
      <c r="D120" s="3099">
        <f>H103</f>
        <v>0</v>
      </c>
      <c r="E120" s="3100"/>
      <c r="F120" s="3100"/>
      <c r="G120" s="3100"/>
      <c r="H120" s="3100"/>
      <c r="I120" s="3101"/>
      <c r="K120" s="2419" t="str">
        <f>IF(D120=0,"故，本次评估不存在"&amp;A120,"故，本次评估"&amp;A120&amp;"为人民币"&amp;D120&amp;"万元整。")</f>
        <v>故，本次评估不存在</v>
      </c>
    </row>
    <row r="121" spans="1:11" ht="18.75" customHeight="1">
      <c r="A121" s="3145" t="s">
        <v>2316</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
      </c>
      <c r="B122" s="3110"/>
      <c r="C122" s="3110"/>
      <c r="D122" s="3099">
        <f ca="1">H107</f>
        <v>417245</v>
      </c>
      <c r="E122" s="3100"/>
      <c r="F122" s="3100"/>
      <c r="G122" s="3100"/>
      <c r="H122" s="3100"/>
      <c r="I122" s="3101"/>
    </row>
    <row r="123" spans="1:11" ht="18.75" customHeight="1">
      <c r="A123" s="3054" t="s">
        <v>2316</v>
      </c>
      <c r="B123" s="3054"/>
      <c r="C123" s="3054"/>
      <c r="D123" s="3104" t="str">
        <f ca="1">NUMBERSTRING(INT(D122*10000),2)&amp;"元整"</f>
        <v>肆拾壹亿柒仟贰佰肆拾伍万元整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4" t="s">
        <v>2316</v>
      </c>
      <c r="B125" s="3054"/>
      <c r="C125" s="3054"/>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4" t="s">
        <v>2316</v>
      </c>
      <c r="B127" s="3054"/>
      <c r="C127" s="3054"/>
      <c r="D127" s="3104" t="e">
        <f>NUMBERSTRING(INT(D126*10000),2)&amp;"元整"</f>
        <v>#VALUE!</v>
      </c>
      <c r="E127" s="3106"/>
      <c r="F127" s="3106"/>
      <c r="G127" s="3106"/>
      <c r="H127" s="3106"/>
      <c r="I127" s="3105"/>
    </row>
    <row r="128" spans="1:11" ht="21.75" customHeight="1">
      <c r="A128" s="3107" t="s">
        <v>2317</v>
      </c>
      <c r="B128" s="3107"/>
      <c r="C128" s="3107"/>
      <c r="D128" s="3107"/>
      <c r="E128" s="3107"/>
      <c r="F128" s="3107"/>
      <c r="G128" s="3107"/>
      <c r="H128" s="3107"/>
      <c r="I128" s="3107"/>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K23:L23"/>
    <mergeCell ref="K26:M26"/>
    <mergeCell ref="K27:M27"/>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t="e">
        <f ca="1">IF(D2="——",C52,C52-E2)</f>
        <v>#VALUE!</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t="e">
        <f ca="1">ROUND(B2*10000/(IF(B1="",'数据-汇总表'!E3,INDIRECT("'数据-取费表'!k"&amp;$G$1))),0)</f>
        <v>#VALUE!</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0</v>
      </c>
      <c r="G7" s="263"/>
    </row>
    <row r="8" spans="1:9" s="267" customFormat="1">
      <c r="A8" s="949" t="s">
        <v>2340</v>
      </c>
      <c r="B8" s="259" t="s">
        <v>2341</v>
      </c>
      <c r="C8" s="264">
        <f>IF(G8="已包含在土地购买价格中","0",IF(B1="",'数据-取费表'!B29,IF(G9="全部缴纳",C9+C10,H9)))</f>
        <v>0</v>
      </c>
      <c r="D8" s="266"/>
      <c r="E8" s="264"/>
      <c r="F8" s="265"/>
      <c r="G8" s="2548"/>
    </row>
    <row r="9" spans="1:9" s="258" customFormat="1" ht="13.5" customHeight="1">
      <c r="A9" s="950" t="s">
        <v>800</v>
      </c>
      <c r="B9" s="268" t="s">
        <v>2342</v>
      </c>
      <c r="C9" s="269">
        <f ca="1">ROUND(D9*E9/10000,0)</f>
        <v>0</v>
      </c>
      <c r="D9" s="1032">
        <f ca="1">IF(B1="",'数据-汇总表'!E5,IF(INDIRECT("'数据-取费表'!c"&amp;$G$1)="住宅",INDIRECT("'数据-取费表'!k"&amp;$G$1),0))</f>
        <v>86971.4</v>
      </c>
      <c r="E9" s="269">
        <f>'数据-取费表'!B27</f>
        <v>0</v>
      </c>
      <c r="F9" s="265"/>
      <c r="G9" s="2549"/>
      <c r="H9" s="1390"/>
      <c r="I9" s="2550"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0</v>
      </c>
      <c r="D19" s="1036">
        <f ca="1">D9+D10</f>
        <v>86971.4</v>
      </c>
      <c r="E19" s="255">
        <f>'数据-取费表'!B31</f>
        <v>0</v>
      </c>
      <c r="F19" s="275"/>
      <c r="G19" s="2548"/>
    </row>
    <row r="20" spans="1:7" s="258" customFormat="1" ht="13.5" customHeight="1">
      <c r="A20" s="299" t="s">
        <v>2357</v>
      </c>
      <c r="B20" s="254" t="s">
        <v>2358</v>
      </c>
      <c r="C20" s="276">
        <f ca="1">ROUND((C5+C19)*F20,0)</f>
        <v>0</v>
      </c>
      <c r="D20" s="276"/>
      <c r="E20" s="276"/>
      <c r="F20" s="277">
        <f>'数据-取费表'!B37</f>
        <v>0</v>
      </c>
      <c r="G20" s="278" t="s">
        <v>2359</v>
      </c>
    </row>
    <row r="21" spans="1:7" s="258" customFormat="1" ht="13.5" customHeight="1">
      <c r="A21" s="299" t="s">
        <v>2360</v>
      </c>
      <c r="B21" s="254" t="s">
        <v>2361</v>
      </c>
      <c r="C21" s="279">
        <f>F21</f>
        <v>0</v>
      </c>
      <c r="D21" s="280" t="s">
        <v>2362</v>
      </c>
      <c r="E21" s="276"/>
      <c r="F21" s="277">
        <f>'数据-取费表'!B38</f>
        <v>0</v>
      </c>
      <c r="G21" s="278" t="s">
        <v>2363</v>
      </c>
    </row>
    <row r="22" spans="1:7" s="258" customFormat="1" ht="13.5" customHeight="1">
      <c r="A22" s="299" t="s">
        <v>2364</v>
      </c>
      <c r="B22" s="254" t="s">
        <v>2365</v>
      </c>
      <c r="C22" s="1354" t="e">
        <f ca="1">ROUND(SUM(C23:C25),0)</f>
        <v>#VALUE!</v>
      </c>
      <c r="D22" s="279" t="e">
        <f ca="1">C26</f>
        <v>#VALUE!</v>
      </c>
      <c r="E22" s="280" t="s">
        <v>2362</v>
      </c>
      <c r="F22" s="281" t="e">
        <f ca="1">'数据-取费表'!B40</f>
        <v>#VALUE!</v>
      </c>
      <c r="G22" s="278" t="str">
        <f>IF('数据-取费表'!B22&lt;=1,"单利计息","复利计息")</f>
        <v>单利计息</v>
      </c>
    </row>
    <row r="23" spans="1:7" s="258" customFormat="1" ht="13.5" customHeight="1">
      <c r="A23" s="951" t="s">
        <v>2366</v>
      </c>
      <c r="B23" s="259" t="s">
        <v>2367</v>
      </c>
      <c r="C23" s="1355" t="e">
        <f ca="1">ROUND(IF('数据-取费表'!B22&lt;=1,C5*F22*'数据-取费表'!B23,C5*(POWER((1+F22),'数据-取费表'!B23)-1)),0)</f>
        <v>#VALUE!</v>
      </c>
      <c r="D23" s="282"/>
      <c r="E23" s="282"/>
      <c r="F23" s="283"/>
      <c r="G23" s="284" t="s">
        <v>2368</v>
      </c>
    </row>
    <row r="24" spans="1:7" s="258" customFormat="1" ht="13.5" customHeight="1">
      <c r="A24" s="951" t="s">
        <v>2369</v>
      </c>
      <c r="B24" s="259" t="s">
        <v>2370</v>
      </c>
      <c r="C24" s="1355" t="e">
        <f ca="1">ROUND(IF('数据-取费表'!B22&lt;=1,C19*F22*('数据-取费表'!B19/2+'数据-取费表'!B21),C19*(POWER((1+F22),('数据-取费表'!B19/2+'数据-取费表'!B21))-1)),0)</f>
        <v>#VALUE!</v>
      </c>
      <c r="D24" s="282"/>
      <c r="E24" s="282"/>
      <c r="F24" s="283"/>
      <c r="G24" s="284" t="s">
        <v>2371</v>
      </c>
    </row>
    <row r="25" spans="1:7" s="258" customFormat="1" ht="24">
      <c r="A25" s="951" t="s">
        <v>2372</v>
      </c>
      <c r="B25" s="259" t="s">
        <v>2373</v>
      </c>
      <c r="C25" s="1355" t="e">
        <f ca="1">ROUND(IF('数据-取费表'!B22&lt;=1,C20*F22*'数据-取费表'!B23/2,C20*(POWER((1+F22),'数据-取费表'!B23/2)-1)),0)</f>
        <v>#VALUE!</v>
      </c>
      <c r="D25" s="282"/>
      <c r="E25" s="285"/>
      <c r="F25" s="283"/>
      <c r="G25" s="286" t="s">
        <v>2374</v>
      </c>
    </row>
    <row r="26" spans="1:7" s="258" customFormat="1">
      <c r="A26" s="951" t="s">
        <v>795</v>
      </c>
      <c r="B26" s="259" t="s">
        <v>2375</v>
      </c>
      <c r="C26" s="282" t="e">
        <f ca="1">ROUND(IF('数据-取费表'!B22&lt;=1,F21*F22*'数据-取费表'!B23/2,F21*(POWER((1+F22),'数据-取费表'!B23/2)-1)),4)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ROUND((C5+C19+C20)*F27*'数据-取费表'!B21/'数据-取费表'!B20,0)</f>
        <v>#DIV/0!</v>
      </c>
      <c r="D28" s="279"/>
      <c r="E28" s="280"/>
      <c r="F28" s="290"/>
      <c r="G28" s="291"/>
    </row>
    <row r="29" spans="1:7" s="258" customFormat="1" ht="13.5" customHeight="1">
      <c r="A29" s="951" t="s">
        <v>792</v>
      </c>
      <c r="B29" s="292" t="s">
        <v>2381</v>
      </c>
      <c r="C29" s="282" t="e">
        <f ca="1">ROUND(C21*F27*'数据-取费表'!B21/'数据-取费表'!B20,4)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2390</v>
      </c>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0</v>
      </c>
      <c r="D37" s="261">
        <f ca="1">D19</f>
        <v>86971.4</v>
      </c>
      <c r="E37" s="293">
        <f>'数据-取费表'!B35</f>
        <v>0</v>
      </c>
      <c r="F37" s="303"/>
      <c r="G37" s="305" t="s">
        <v>2396</v>
      </c>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ROUND(IF('数据-取费表'!B22&lt;=1,C33*F22*'数据-取费表'!B21/2,C33*(POWER((1+F22),'数据-取费表'!B21/2)-1)),0)</f>
        <v>#VALUE!</v>
      </c>
      <c r="D42" s="282"/>
      <c r="E42" s="282"/>
      <c r="F42" s="283"/>
      <c r="G42" s="3179" t="s">
        <v>2408</v>
      </c>
    </row>
    <row r="43" spans="1:7" ht="13.5" customHeight="1">
      <c r="A43" s="951" t="s">
        <v>792</v>
      </c>
      <c r="B43" s="259" t="s">
        <v>2409</v>
      </c>
      <c r="C43" s="282" t="e">
        <f ca="1">ROUND(IF('数据-取费表'!B22&lt;=1,C39*F22*'数据-取费表'!B21/2,C39*(POWER((1+F22),'数据-取费表'!B21/2)-1)),0)</f>
        <v>#VALUE!</v>
      </c>
      <c r="D43" s="282"/>
      <c r="E43" s="282"/>
      <c r="F43" s="283"/>
      <c r="G43" s="3180"/>
    </row>
    <row r="44" spans="1:7" ht="13.5" customHeight="1">
      <c r="A44" s="951" t="s">
        <v>793</v>
      </c>
      <c r="B44" s="259" t="s">
        <v>2410</v>
      </c>
      <c r="C44" s="282" t="e">
        <f ca="1">ROUND(IF('数据-取费表'!B22&lt;=1,C40*F22*'数据-取费表'!B21/2,C40*(POWER((1+F22),'数据-取费表'!B21/2)-1)),4)</f>
        <v>#VALUE!</v>
      </c>
      <c r="D44" s="282"/>
      <c r="E44" s="282"/>
      <c r="F44" s="283"/>
      <c r="G44" s="3181"/>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1728">
        <f>ROUND(F30/(1+'数据-取费表'!C42),4)</f>
        <v>0</v>
      </c>
      <c r="D48" s="280" t="s">
        <v>2403</v>
      </c>
      <c r="E48" s="276"/>
      <c r="F48" s="281"/>
      <c r="G48" s="278" t="s">
        <v>2416</v>
      </c>
    </row>
    <row r="49" spans="1:7" ht="16.5" customHeight="1">
      <c r="A49" s="299" t="s">
        <v>2382</v>
      </c>
      <c r="B49" s="254" t="s">
        <v>2417</v>
      </c>
      <c r="C49" s="276" t="e">
        <f ca="1">ROUND((C33+C39+C41+C45)/(1-C40-D41-D45-C48),0)</f>
        <v>#VALUE!</v>
      </c>
      <c r="D49" s="276"/>
      <c r="E49" s="276"/>
      <c r="F49" s="308"/>
      <c r="G49" s="278" t="s">
        <v>2418</v>
      </c>
    </row>
    <row r="50" spans="1:7" s="302" customFormat="1" ht="24">
      <c r="A50" s="299" t="s">
        <v>2419</v>
      </c>
      <c r="B50" s="254" t="s">
        <v>2420</v>
      </c>
      <c r="C50" s="276"/>
      <c r="D50" s="276"/>
      <c r="E50" s="276"/>
      <c r="F50" s="308" t="e">
        <f>IF('数据-取费表'!B24=0,'数据-取费表'!N16,1)</f>
        <v>#DIV/0!</v>
      </c>
      <c r="G50" s="291" t="s">
        <v>2421</v>
      </c>
    </row>
    <row r="51" spans="1:7" ht="16.5" customHeight="1">
      <c r="A51" s="299" t="s">
        <v>2422</v>
      </c>
      <c r="B51" s="254" t="s">
        <v>2423</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5" sqref="C15"/>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8" t="str">
        <f>项目基本情况!B1</f>
        <v>北京市北京经济技术开发区河西区X90R1、X90S1地块出让国有建设用地使用权及在建建筑物房地产市场价值预评估</v>
      </c>
      <c r="C37" s="2988"/>
      <c r="D37" s="2988"/>
      <c r="E37" s="2988"/>
      <c r="F37" s="2988"/>
      <c r="G37" s="2988"/>
      <c r="H37" s="2988"/>
      <c r="I37" s="2988"/>
    </row>
    <row r="38" spans="1:9">
      <c r="A38" s="1016"/>
      <c r="B38" s="1016"/>
    </row>
    <row r="39" spans="1:9">
      <c r="A39" s="1014" t="s">
        <v>818</v>
      </c>
      <c r="B39" s="1014" t="s">
        <v>820</v>
      </c>
    </row>
    <row r="40" spans="1:9">
      <c r="A40" s="1014"/>
      <c r="B40" s="1941" t="str">
        <f>项目基本情况!B5</f>
        <v>北京博大新元房地产开发有限公司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t="e">
        <f ca="1">ROUND(IF(D2="——",C52/10000,C52/10000-E2),0)</f>
        <v>#VALUE!</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t="e">
        <f ca="1">ROUND(B2*10000/(IF(B1="",'数据-汇总表'!E3,INDIRECT("'数据-取费表'!k"&amp;$G$1))),0)</f>
        <v>#VALUE!</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0</v>
      </c>
      <c r="G7" s="263"/>
    </row>
    <row r="8" spans="1:8" s="267" customFormat="1">
      <c r="A8" s="949" t="s">
        <v>2340</v>
      </c>
      <c r="B8" s="259" t="s">
        <v>2341</v>
      </c>
      <c r="C8" s="264">
        <f ca="1">IF(G8="已包含在土地购买价格中",0,C9+C10)</f>
        <v>0</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86971.4</v>
      </c>
      <c r="E9" s="269">
        <f>'数据-取费表'!B27</f>
        <v>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0</v>
      </c>
      <c r="D19" s="1036">
        <f ca="1">D9+D10</f>
        <v>86971.4</v>
      </c>
      <c r="E19" s="255">
        <f>'数据-取费表'!B31</f>
        <v>0</v>
      </c>
      <c r="F19" s="275"/>
      <c r="G19" s="2548"/>
    </row>
    <row r="20" spans="1:7" s="258" customFormat="1" ht="13.5" customHeight="1">
      <c r="A20" s="299" t="s">
        <v>2438</v>
      </c>
      <c r="B20" s="254" t="s">
        <v>2439</v>
      </c>
      <c r="C20" s="276">
        <f ca="1">ROUND((C5+C19)*F20,0)</f>
        <v>0</v>
      </c>
      <c r="D20" s="276"/>
      <c r="E20" s="276"/>
      <c r="F20" s="277">
        <f>'数据-取费表'!B37</f>
        <v>0</v>
      </c>
      <c r="G20" s="278" t="s">
        <v>2440</v>
      </c>
    </row>
    <row r="21" spans="1:7" s="258" customFormat="1" ht="13.5" customHeight="1">
      <c r="A21" s="299" t="s">
        <v>2441</v>
      </c>
      <c r="B21" s="254" t="s">
        <v>2442</v>
      </c>
      <c r="C21" s="279">
        <f>F21</f>
        <v>0</v>
      </c>
      <c r="D21" s="280" t="s">
        <v>2443</v>
      </c>
      <c r="E21" s="276"/>
      <c r="F21" s="277">
        <f>'数据-取费表'!B38</f>
        <v>0</v>
      </c>
      <c r="G21" s="278" t="s">
        <v>2444</v>
      </c>
    </row>
    <row r="22" spans="1:7" s="258" customFormat="1" ht="13.5" customHeight="1">
      <c r="A22" s="299" t="s">
        <v>2445</v>
      </c>
      <c r="B22" s="254" t="s">
        <v>2446</v>
      </c>
      <c r="C22" s="1380" t="e">
        <f ca="1">ROUND(SUM(C23:C25),0)</f>
        <v>#VALUE!</v>
      </c>
      <c r="D22" s="279" t="e">
        <f ca="1">C26</f>
        <v>#VALUE!</v>
      </c>
      <c r="E22" s="280" t="s">
        <v>2443</v>
      </c>
      <c r="F22" s="281" t="e">
        <f ca="1">'数据-取费表'!B40</f>
        <v>#VALUE!</v>
      </c>
      <c r="G22" s="278" t="str">
        <f>IF('数据-取费表'!B22&lt;=1,"单利计息","复利计息")</f>
        <v>单利计息</v>
      </c>
    </row>
    <row r="23" spans="1:7" s="258" customFormat="1" ht="13.5" customHeight="1">
      <c r="A23" s="951" t="s">
        <v>2336</v>
      </c>
      <c r="B23" s="259" t="s">
        <v>2447</v>
      </c>
      <c r="C23" s="1381" t="e">
        <f ca="1">ROUND(IF('数据-取费表'!B22&lt;=1,C5*F22*'数据-取费表'!B22,C5*(POWER((1+F22),'数据-取费表'!B22)-1)),0)</f>
        <v>#VALUE!</v>
      </c>
      <c r="D23" s="282"/>
      <c r="E23" s="282"/>
      <c r="F23" s="283"/>
      <c r="G23" s="284" t="s">
        <v>2448</v>
      </c>
    </row>
    <row r="24" spans="1:7" s="258" customFormat="1" ht="13.5" customHeight="1">
      <c r="A24" s="951" t="s">
        <v>2338</v>
      </c>
      <c r="B24" s="259" t="s">
        <v>2449</v>
      </c>
      <c r="C24" s="1381" t="e">
        <f ca="1">ROUND(IF('数据-取费表'!B22&lt;=1,C19*F22*('数据-取费表'!B19/2+'数据-取费表'!B20),C19*(POWER((1+F22),('数据-取费表'!B19/2+'数据-取费表'!B20))-1)),0)</f>
        <v>#VALUE!</v>
      </c>
      <c r="D24" s="282"/>
      <c r="E24" s="282"/>
      <c r="F24" s="283"/>
      <c r="G24" s="284" t="s">
        <v>2450</v>
      </c>
    </row>
    <row r="25" spans="1:7" s="258" customFormat="1" ht="24">
      <c r="A25" s="951" t="s">
        <v>2340</v>
      </c>
      <c r="B25" s="259" t="s">
        <v>2451</v>
      </c>
      <c r="C25" s="1381" t="e">
        <f ca="1">ROUND(IF('数据-取费表'!B22&lt;=1,C20*F22*'数据-取费表'!B22/2,C20*(POWER((1+F22),'数据-取费表'!B22/2)-1)),0)</f>
        <v>#VALUE!</v>
      </c>
      <c r="D25" s="282"/>
      <c r="E25" s="285"/>
      <c r="F25" s="283"/>
      <c r="G25" s="286" t="s">
        <v>2452</v>
      </c>
    </row>
    <row r="26" spans="1:7" s="258" customFormat="1">
      <c r="A26" s="951" t="s">
        <v>795</v>
      </c>
      <c r="B26" s="259" t="s">
        <v>2375</v>
      </c>
      <c r="C26" s="282" t="e">
        <f ca="1">ROUND(IF('数据-取费表'!B22&lt;=1,F21*F22*'数据-取费表'!B22/2,F21*(POWER((1+F22),'数据-取费表'!B22/2)-1)),4)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ROUND((C5+C19+C20)*F27,0)</f>
        <v>#DIV/0!</v>
      </c>
      <c r="D28" s="279"/>
      <c r="E28" s="280"/>
      <c r="F28" s="290"/>
      <c r="G28" s="291"/>
    </row>
    <row r="29" spans="1:7" s="258" customFormat="1" ht="13.5" customHeight="1">
      <c r="A29" s="951" t="s">
        <v>792</v>
      </c>
      <c r="B29" s="292" t="s">
        <v>2381</v>
      </c>
      <c r="C29" s="282" t="e">
        <f ca="1">ROUND(C21*F27,4)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0</v>
      </c>
      <c r="D37" s="261">
        <f ca="1">D19</f>
        <v>86971.4</v>
      </c>
      <c r="E37" s="293">
        <f>'数据-取费表'!B35</f>
        <v>0</v>
      </c>
      <c r="F37" s="303"/>
      <c r="G37" s="305"/>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ROUND(IF('数据-取费表'!B22&lt;=1,C33*F22*'数据-取费表'!B20/2,C33*(POWER((1+F22),'数据-取费表'!B20/2)-1)),0)</f>
        <v>#VALUE!</v>
      </c>
      <c r="D42" s="282"/>
      <c r="E42" s="282"/>
      <c r="F42" s="283"/>
      <c r="G42" s="3179" t="s">
        <v>2455</v>
      </c>
    </row>
    <row r="43" spans="1:7" ht="13.5" customHeight="1">
      <c r="A43" s="951" t="s">
        <v>792</v>
      </c>
      <c r="B43" s="259" t="s">
        <v>2409</v>
      </c>
      <c r="C43" s="282" t="e">
        <f ca="1">ROUND(IF('数据-取费表'!B22&lt;=1,C39*F22*'数据-取费表'!B20/2,C39*(POWER((1+F22),'数据-取费表'!B20/2)-1)),0)</f>
        <v>#VALUE!</v>
      </c>
      <c r="D43" s="282"/>
      <c r="E43" s="282"/>
      <c r="F43" s="283"/>
      <c r="G43" s="3180"/>
    </row>
    <row r="44" spans="1:7" ht="13.5" customHeight="1">
      <c r="A44" s="951" t="s">
        <v>793</v>
      </c>
      <c r="B44" s="259" t="s">
        <v>2410</v>
      </c>
      <c r="C44" s="282" t="e">
        <f ca="1">ROUND(IF('数据-取费表'!B22&lt;=1,C40*F22*'数据-取费表'!B20/2,C40*(POWER((1+F22),'数据-取费表'!B20/2)-1)),4)</f>
        <v>#VALUE!</v>
      </c>
      <c r="D44" s="282"/>
      <c r="E44" s="282"/>
      <c r="F44" s="283"/>
      <c r="G44" s="3181"/>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306">
        <f>ROUND(F30/(1+'数据-取费表'!C42),4)</f>
        <v>0</v>
      </c>
      <c r="D48" s="280" t="s">
        <v>2403</v>
      </c>
      <c r="E48" s="276"/>
      <c r="F48" s="281"/>
      <c r="G48" s="278" t="s">
        <v>2416</v>
      </c>
    </row>
    <row r="49" spans="1:7" ht="16.5" customHeight="1">
      <c r="A49" s="299" t="s">
        <v>2382</v>
      </c>
      <c r="B49" s="254" t="s">
        <v>2456</v>
      </c>
      <c r="C49" s="276" t="e">
        <f ca="1">ROUND((C33+C39+C41+C45)/(1-C40-D41-D45-C48),0)</f>
        <v>#VALUE!</v>
      </c>
      <c r="D49" s="276"/>
      <c r="E49" s="276"/>
      <c r="F49" s="308"/>
      <c r="G49" s="278" t="s">
        <v>2418</v>
      </c>
    </row>
    <row r="50" spans="1:7" s="302" customFormat="1">
      <c r="A50" s="299" t="s">
        <v>2419</v>
      </c>
      <c r="B50" s="254" t="s">
        <v>2420</v>
      </c>
      <c r="C50" s="276"/>
      <c r="D50" s="276"/>
      <c r="E50" s="276"/>
      <c r="F50" s="308" t="e">
        <f>IF('数据-取费表'!B24=0,'数据-取费表'!N16,1)</f>
        <v>#DIV/0!</v>
      </c>
      <c r="G50" s="291"/>
    </row>
    <row r="51" spans="1:7" ht="16.5" customHeight="1">
      <c r="A51" s="299" t="s">
        <v>2422</v>
      </c>
      <c r="B51" s="254" t="s">
        <v>2457</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t="e">
        <f ca="1">C32</f>
        <v>#VALUE!</v>
      </c>
      <c r="C2" s="320" t="s">
        <v>2459</v>
      </c>
      <c r="D2" s="320"/>
      <c r="E2" s="320"/>
      <c r="F2" s="320"/>
      <c r="G2" s="320"/>
      <c r="H2" s="320"/>
      <c r="I2" s="320"/>
      <c r="J2" s="320"/>
      <c r="K2" s="320"/>
    </row>
    <row r="3" spans="1:33" ht="18" customHeight="1" thickBot="1">
      <c r="A3" s="247" t="s">
        <v>2328</v>
      </c>
      <c r="B3" s="248" t="e">
        <f ca="1">ROUND(B2*10000/IF(C1="",'数据-汇总表'!E3,INDIRECT("'数据-取费表'!K"&amp;$K$1)),0)</f>
        <v>#VALUE!</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86971.4</v>
      </c>
      <c r="E14" s="24">
        <f>'数据-取费表'!B35</f>
        <v>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0</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86971.4</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86971.4</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v>
      </c>
      <c r="G23" s="8" t="s">
        <v>2500</v>
      </c>
      <c r="H23" s="968"/>
      <c r="I23" s="968"/>
      <c r="J23" s="968"/>
      <c r="K23" s="969"/>
    </row>
    <row r="24" spans="1:33" s="975" customFormat="1" ht="13.5" customHeight="1">
      <c r="A24" s="961" t="s">
        <v>2501</v>
      </c>
      <c r="B24" s="985" t="s">
        <v>2502</v>
      </c>
      <c r="C24" s="324">
        <f>ROUND(F24/(1+'数据-取费表'!C42),4)</f>
        <v>0</v>
      </c>
      <c r="D24" s="325" t="s">
        <v>15</v>
      </c>
      <c r="E24" s="325"/>
      <c r="F24" s="988">
        <f>IF(项目基本情况!B8="出让",0,'数据-取费表'!B48+'数据-取费表'!B49)</f>
        <v>0</v>
      </c>
      <c r="G24" s="8" t="s">
        <v>2503</v>
      </c>
      <c r="H24" s="990"/>
      <c r="I24" s="990"/>
      <c r="J24" s="990"/>
      <c r="K24" s="991"/>
    </row>
    <row r="25" spans="1:33" s="975" customFormat="1" ht="13.5" customHeight="1">
      <c r="A25" s="961" t="s">
        <v>2504</v>
      </c>
      <c r="B25" s="987" t="s">
        <v>2505</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t="e">
        <f ca="1">ROUND(IF('数据-取费表'!B22&lt;=1,(1+C24)*F25*'数据-取费表'!B24,(1+C24)*(POWER((1+F25),'数据-取费表'!B24)-1)),4)</f>
        <v>#VALUE!</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t="e">
        <f ca="1">ROUND(IF('数据-取费表'!B22&lt;=1,(C21+C22+C23)*F25*'数据-取费表'!B24/2,(C21+C22+C23)*(POWER((1+F25),'数据-取费表'!B24/2)-1)),0)</f>
        <v>#VALUE!</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2510</v>
      </c>
      <c r="C29" s="328" t="e">
        <f ca="1">ROUND((1+C24)*F28*'数据-取费表'!B24/'数据-取费表'!B20,4)</f>
        <v>#DIV/0!</v>
      </c>
      <c r="D29" s="328"/>
      <c r="E29" s="329"/>
      <c r="F29" s="334"/>
      <c r="G29" s="140" t="s">
        <v>2511</v>
      </c>
      <c r="H29" s="979"/>
      <c r="I29" s="979"/>
      <c r="J29" s="979"/>
      <c r="K29" s="980"/>
    </row>
    <row r="30" spans="1:33" s="335" customFormat="1" ht="13.5" customHeight="1">
      <c r="A30" s="971" t="s">
        <v>804</v>
      </c>
      <c r="B30" s="994" t="s">
        <v>2512</v>
      </c>
      <c r="C30" s="336" t="e">
        <f ca="1">ROUND((C21+C22+C23)*F28,0)</f>
        <v>#DIV/0!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0</v>
      </c>
      <c r="G31" s="1010" t="s">
        <v>2515</v>
      </c>
      <c r="H31" s="1011"/>
      <c r="I31" s="1011"/>
      <c r="J31" s="1011"/>
      <c r="K31" s="1012"/>
    </row>
    <row r="32" spans="1:33" s="970" customFormat="1" ht="13.5" customHeight="1" thickBot="1">
      <c r="A32" s="1000" t="s">
        <v>2516</v>
      </c>
      <c r="B32" s="1001"/>
      <c r="C32" s="1002" t="e">
        <f ca="1">ROUND((C4-C21-C22-C23-C25-C28-C31)/(1+C24+D25+D28),0)</f>
        <v>#VALUE!</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#VALUE!</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84" t="s">
        <v>1397</v>
      </c>
      <c r="C6" s="1296">
        <f ca="1">ROUND(F6*F8*F7*(1-F9)/10000,0)</f>
        <v>0</v>
      </c>
      <c r="D6" s="164" t="s">
        <v>3031</v>
      </c>
      <c r="E6" s="347" t="s">
        <v>1399</v>
      </c>
      <c r="F6" s="348">
        <f ca="1">INDIRECT("'数据-取费表'!u"&amp;$G$1)</f>
        <v>0</v>
      </c>
      <c r="G6" s="1851"/>
      <c r="H6" s="1291" t="s">
        <v>1031</v>
      </c>
      <c r="I6" s="3184" t="s">
        <v>1397</v>
      </c>
      <c r="J6" s="346">
        <f ca="1">ROUND(M6*M8*M7*(1-M9)/10000,0)</f>
        <v>0</v>
      </c>
      <c r="K6" s="164" t="s">
        <v>3030</v>
      </c>
      <c r="L6" s="347" t="s">
        <v>1399</v>
      </c>
      <c r="M6" s="348">
        <f ca="1">INDIRECT("'数据-取费表'!z"&amp;$G$1)</f>
        <v>0</v>
      </c>
    </row>
    <row r="7" spans="1:37" ht="18" customHeight="1">
      <c r="A7" s="1295"/>
      <c r="B7" s="3185"/>
      <c r="C7" s="1297"/>
      <c r="D7" s="352"/>
      <c r="E7" s="1298" t="s">
        <v>1400</v>
      </c>
      <c r="F7" s="348">
        <f ca="1">IF(INDIRECT("'数据-取费表'!ah"&amp;$G$1)="",INDIRECT("'数据-取费表'!k"&amp;$G$1),INDIRECT("'数据-取费表'!ah"&amp;$G$1))</f>
        <v>0</v>
      </c>
      <c r="G7" s="1851"/>
      <c r="H7" s="349"/>
      <c r="I7" s="3185"/>
      <c r="J7" s="351"/>
      <c r="K7" s="352"/>
      <c r="L7" s="347" t="s">
        <v>1400</v>
      </c>
      <c r="M7" s="348">
        <f ca="1">F7</f>
        <v>0</v>
      </c>
    </row>
    <row r="8" spans="1:37" ht="18" customHeight="1">
      <c r="A8" s="349"/>
      <c r="B8" s="3185"/>
      <c r="C8" s="351"/>
      <c r="D8" s="352"/>
      <c r="E8" s="347" t="s">
        <v>1401</v>
      </c>
      <c r="F8" s="348">
        <f ca="1">INDIRECT("'数据-取费表'!ai"&amp;$G$1)</f>
        <v>0</v>
      </c>
      <c r="G8" s="1851"/>
      <c r="H8" s="349"/>
      <c r="I8" s="3185"/>
      <c r="J8" s="351"/>
      <c r="K8" s="352"/>
      <c r="L8" s="347" t="s">
        <v>1401</v>
      </c>
      <c r="M8" s="348">
        <f ca="1">INDIRECT("'数据-取费表'!ai"&amp;$G$1)</f>
        <v>0</v>
      </c>
    </row>
    <row r="9" spans="1:37" ht="18" customHeight="1">
      <c r="A9" s="349"/>
      <c r="B9" s="3186"/>
      <c r="C9" s="351"/>
      <c r="D9" s="352"/>
      <c r="E9" s="347" t="s">
        <v>1402</v>
      </c>
      <c r="F9" s="357">
        <f ca="1">INDIRECT("'数据-取费表'!w"&amp;$G$1)</f>
        <v>0</v>
      </c>
      <c r="G9" s="1851"/>
      <c r="H9" s="349"/>
      <c r="I9" s="318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3040</v>
      </c>
      <c r="E10" s="358" t="s">
        <v>1404</v>
      </c>
      <c r="F10" s="1366"/>
      <c r="G10" s="1851"/>
      <c r="H10" s="1291" t="s">
        <v>1035</v>
      </c>
      <c r="I10" s="1823" t="s">
        <v>1403</v>
      </c>
      <c r="J10" s="346">
        <f ca="1">ROUND(IF(M10="押一",J6/12*M11,IF(M10="押二",J6/12*2*M11,IF(M10="押三",J6/12*3*M11,J11*M11))),0)</f>
        <v>0</v>
      </c>
      <c r="K10" s="1824" t="s">
        <v>3039</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0</v>
      </c>
      <c r="G17" s="1854"/>
      <c r="H17" s="1201" t="s">
        <v>1031</v>
      </c>
      <c r="I17" s="347" t="s">
        <v>1423</v>
      </c>
      <c r="J17" s="24" t="e">
        <f ca="1">ROUND(IF(项目基本情况!B11="自然人",J6*M17/(1+'数据-取费表'!C42),J18+J19+J20),1)</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ROUND(J6*M18/(1+'数据-取费表'!C42),2)</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IF(K19="按租金收入计税",ROUND(J6*M19/(1+'数据-取费表'!C42),2),ROUND(C29*M19*0.7,2))</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ROUND(J14*M22,1)</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ROUND(J13*M23,1)</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ROUND(IF(项目基本情况!B11="自然人",C6*F31/(1+'数据-取费表'!C42),C32+C33+C34),1)</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ROUND(C29*F36,1)</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ROUND(C13*F37,1)</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#VALUE!</v>
      </c>
      <c r="D46" s="1872" t="str">
        <f>C2</f>
        <v>万元</v>
      </c>
      <c r="E46" s="1866"/>
      <c r="F46" s="1866"/>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ROUND(F49*F51*F50*(1-F52)/10000,0)</f>
        <v>0</v>
      </c>
      <c r="D49" s="1276" t="s">
        <v>3032</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3039</v>
      </c>
      <c r="E53" s="358" t="s">
        <v>1404</v>
      </c>
      <c r="F53" s="1366"/>
      <c r="I53" s="1905" t="s">
        <v>1541</v>
      </c>
      <c r="J53" s="2948">
        <f ca="1">IF(M47="住宅",IF(D1="——",MAX(J51,L48),MAX(J51,L48-'数据-取费表'!B24)),IF(D1="——",MIN(J51,L48),MIN(J51,L48-'数据-取费表'!B24)))</f>
        <v>0</v>
      </c>
      <c r="K53" s="3182" t="s">
        <v>1542</v>
      </c>
      <c r="L53" s="3183"/>
      <c r="O53" s="1884" t="s">
        <v>1042</v>
      </c>
      <c r="P53" s="1885" t="s">
        <v>1543</v>
      </c>
      <c r="Q53" s="1886" t="e">
        <f ca="1">Q47+Q48</f>
        <v>#VALUE!</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t="e">
        <f ca="1">C13</f>
        <v>#VALUE!</v>
      </c>
      <c r="D56" s="1913"/>
      <c r="E56" s="1914"/>
      <c r="F56" s="1906"/>
      <c r="I56" s="1915" t="s">
        <v>1548</v>
      </c>
      <c r="J56" s="1916"/>
      <c r="K56" s="1887" t="s">
        <v>1549</v>
      </c>
      <c r="L56" s="1890">
        <f ca="1">IF(L48&lt;J51,"——",L48-J53)</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1551</v>
      </c>
      <c r="L57" s="1890" t="e">
        <f ca="1">IF(L48&lt;J51,"——",IF(L55="比较法",L49,IF(L55="基准地价",L50,L51)))</f>
        <v>#VALUE!</v>
      </c>
      <c r="O57" s="1884" t="s">
        <v>1037</v>
      </c>
      <c r="P57" s="1885" t="s">
        <v>1552</v>
      </c>
      <c r="Q57" s="1886" t="e">
        <f ca="1">L60</f>
        <v>#VALUE!</v>
      </c>
      <c r="R57" s="1886" t="s">
        <v>1553</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ROUND(IF(项目基本情况!B11="自然人",C48*F59,C60+C61+C62),1)</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IF(项目基本情况!B11="自然人","——",IF(D61="按租金收入计税",ROUND(C48*F61,2),IF(D61="按房产原值计税",ROUND(C57*F61*0.7,2),INDIRECT("'数据-取费表'!Aj"&amp;$G$1))))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ROUND(C57*F64,1)</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ROUND(C56*F65,1)</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c r="O70" s="1894" t="s">
        <v>1045</v>
      </c>
      <c r="P70" s="1933" t="s">
        <v>1579</v>
      </c>
      <c r="Q70" s="1886" t="e">
        <f ca="1">C13</f>
        <v>#VALUE!</v>
      </c>
      <c r="R70" s="1886" t="s">
        <v>1523</v>
      </c>
    </row>
    <row r="71" spans="1:18" s="1842" customFormat="1" ht="13.5" thickBot="1">
      <c r="A71" s="1190" t="s">
        <v>1029</v>
      </c>
      <c r="B71" s="1191" t="s">
        <v>1481</v>
      </c>
      <c r="C71" s="382" t="e">
        <f ca="1">ROUND(C68*10000/F71,0)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#VALUE!</v>
      </c>
      <c r="C2" s="1845" t="s">
        <v>1585</v>
      </c>
      <c r="D2" s="1937" t="e">
        <f ca="1">C40+J29+L46</f>
        <v>#VALUE!</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4" t="s">
        <v>1397</v>
      </c>
      <c r="C6" s="1296">
        <f ca="1">ROUND(F6*F8*F7*(1-F9),0)</f>
        <v>0</v>
      </c>
      <c r="D6" s="164" t="s">
        <v>3028</v>
      </c>
      <c r="E6" s="347" t="s">
        <v>1399</v>
      </c>
      <c r="F6" s="348">
        <f ca="1">INDIRECT("'数据-取费表'!u"&amp;$G$1)</f>
        <v>0</v>
      </c>
      <c r="G6" s="1851"/>
      <c r="H6" s="1291" t="s">
        <v>1031</v>
      </c>
      <c r="I6" s="3184" t="s">
        <v>1397</v>
      </c>
      <c r="J6" s="346">
        <f ca="1">ROUND(M6*M8*M7*(1-M9),0)</f>
        <v>0</v>
      </c>
      <c r="K6" s="1834" t="s">
        <v>3029</v>
      </c>
      <c r="L6" s="347" t="s">
        <v>1399</v>
      </c>
      <c r="M6" s="348">
        <f ca="1">INDIRECT("'数据-取费表'!z"&amp;$G$1)</f>
        <v>0</v>
      </c>
    </row>
    <row r="7" spans="1:37" ht="18" customHeight="1">
      <c r="A7" s="1295"/>
      <c r="B7" s="3185"/>
      <c r="C7" s="1297"/>
      <c r="D7" s="352"/>
      <c r="E7" s="1298" t="s">
        <v>1400</v>
      </c>
      <c r="F7" s="348">
        <f ca="1">IF(INDIRECT("'数据-取费表'!ah"&amp;$G$1)="",INDIRECT("'数据-取费表'!k"&amp;$G$1),INDIRECT("'数据-取费表'!ah"&amp;$G$1))</f>
        <v>0</v>
      </c>
      <c r="G7" s="1851"/>
      <c r="H7" s="349"/>
      <c r="I7" s="3185"/>
      <c r="J7" s="351"/>
      <c r="K7" s="352"/>
      <c r="L7" s="347" t="s">
        <v>1400</v>
      </c>
      <c r="M7" s="348">
        <f ca="1">F7</f>
        <v>0</v>
      </c>
    </row>
    <row r="8" spans="1:37" ht="18" customHeight="1">
      <c r="A8" s="349"/>
      <c r="B8" s="3185"/>
      <c r="C8" s="351"/>
      <c r="D8" s="352"/>
      <c r="E8" s="347" t="s">
        <v>1401</v>
      </c>
      <c r="F8" s="348">
        <f ca="1">INDIRECT("'数据-取费表'!ai"&amp;$G$1)</f>
        <v>0</v>
      </c>
      <c r="G8" s="1851"/>
      <c r="H8" s="349"/>
      <c r="I8" s="3185"/>
      <c r="J8" s="351"/>
      <c r="K8" s="352"/>
      <c r="L8" s="347" t="s">
        <v>1401</v>
      </c>
      <c r="M8" s="348">
        <f ca="1">INDIRECT("'数据-取费表'!ai"&amp;$G$1)</f>
        <v>0</v>
      </c>
    </row>
    <row r="9" spans="1:37" ht="18" customHeight="1">
      <c r="A9" s="349"/>
      <c r="B9" s="3186"/>
      <c r="C9" s="351"/>
      <c r="D9" s="352"/>
      <c r="E9" s="347" t="s">
        <v>1402</v>
      </c>
      <c r="F9" s="357">
        <f ca="1">INDIRECT("'数据-取费表'!w"&amp;$G$1)</f>
        <v>0</v>
      </c>
      <c r="G9" s="1851"/>
      <c r="H9" s="349"/>
      <c r="I9" s="318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35" t="s">
        <v>3041</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0</v>
      </c>
      <c r="G17" s="1854"/>
      <c r="H17" s="1201" t="s">
        <v>1031</v>
      </c>
      <c r="I17" s="347" t="s">
        <v>1423</v>
      </c>
      <c r="J17" s="24" t="e">
        <f ca="1">ROUND(IF(项目基本情况!B11="自然人",J6*M17/(1+'数据-取费表'!C42),J18+J19+J20),0)</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ROUND(J6*M18/(1+'数据-取费表'!C42),0)</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IF(K19="按租金收入计税",ROUND(J6*M19/(1+'数据-取费表'!C42),0),ROUND(C29*M19*0.7,0))</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ROUND(J14*M22,0)</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ROUND(J13*M23,0)</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ROUND(C29*F36,0)</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ROUND(C13*F37,0)</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1598</v>
      </c>
      <c r="E45" s="1866"/>
      <c r="F45" s="1866"/>
      <c r="O45" s="1869" t="s">
        <v>1513</v>
      </c>
      <c r="P45" s="1839"/>
      <c r="Q45" s="1839"/>
      <c r="R45" s="1839"/>
    </row>
    <row r="46" spans="1:18" s="1842" customFormat="1" ht="13.5" thickBot="1">
      <c r="A46" s="1870" t="s">
        <v>1514</v>
      </c>
      <c r="C46" s="1871" t="e">
        <f ca="1">ROUND(C45/10000,0)</f>
        <v>#VALUE!</v>
      </c>
      <c r="D46" s="1872" t="str">
        <f>C2</f>
        <v>万元</v>
      </c>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3042</v>
      </c>
      <c r="E53" s="358" t="s">
        <v>1404</v>
      </c>
      <c r="F53" s="1366"/>
      <c r="I53" s="1905" t="s">
        <v>1541</v>
      </c>
      <c r="J53" s="2948">
        <f ca="1">IF(M47="住宅",IF(D1="——",MAX(J51,L48),MAX(J51,L48-'数据-取费表'!B24)),IF(D1="——",MIN(J51,L48),MIN(J51,L48-'数据-取费表'!B24)))</f>
        <v>0</v>
      </c>
      <c r="K53" s="3182" t="s">
        <v>1542</v>
      </c>
      <c r="L53" s="3183"/>
      <c r="O53" s="1884" t="s">
        <v>1042</v>
      </c>
      <c r="P53" s="1885" t="s">
        <v>1543</v>
      </c>
      <c r="Q53" s="1886" t="e">
        <f ca="1">Q47+Q48</f>
        <v>#VALUE!</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t="e">
        <f ca="1">C13</f>
        <v>#VALUE!</v>
      </c>
      <c r="D56" s="1913"/>
      <c r="E56" s="1914"/>
      <c r="F56" s="1906"/>
      <c r="I56" s="1915" t="s">
        <v>1548</v>
      </c>
      <c r="J56" s="1916"/>
      <c r="K56" s="1887" t="s">
        <v>1549</v>
      </c>
      <c r="L56" s="1890">
        <f ca="1">IF(L48&lt;J51,"——",L48-J51)</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1599</v>
      </c>
      <c r="L57" s="1890" t="e">
        <f ca="1">IF(L48&lt;J51,"——",IF(L55="比较法",L49,IF(L55="基准地价",L50,L51)))</f>
        <v>#VALUE!</v>
      </c>
      <c r="O57" s="1884" t="s">
        <v>1037</v>
      </c>
      <c r="P57" s="1885" t="s">
        <v>1600</v>
      </c>
      <c r="Q57" s="1886" t="e">
        <f ca="1">L60</f>
        <v>#VALUE!</v>
      </c>
      <c r="R57" s="1886" t="s">
        <v>1601</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f ca="1">F42</f>
        <v>0</v>
      </c>
      <c r="O70" s="1894" t="s">
        <v>1045</v>
      </c>
      <c r="P70" s="1933" t="s">
        <v>1579</v>
      </c>
      <c r="Q70" s="1886" t="e">
        <f ca="1">C13</f>
        <v>#VALUE!</v>
      </c>
      <c r="R70" s="1886" t="s">
        <v>1523</v>
      </c>
    </row>
    <row r="71" spans="1:18" s="1842" customFormat="1" ht="13.5" thickBot="1">
      <c r="A71" s="1190" t="s">
        <v>1029</v>
      </c>
      <c r="B71" s="1191" t="s">
        <v>1481</v>
      </c>
      <c r="C71" s="382" t="e">
        <f ca="1">ROUND(C68/F71,0)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0</v>
      </c>
      <c r="C2" s="2564" t="s">
        <v>2518</v>
      </c>
      <c r="D2" s="2565" t="s">
        <v>2519</v>
      </c>
      <c r="E2" s="2566">
        <f>SUM(E6:E13)</f>
        <v>0</v>
      </c>
    </row>
    <row r="3" spans="1:6" ht="15.75">
      <c r="A3" s="2562" t="s">
        <v>1389</v>
      </c>
      <c r="B3" s="2563" t="e">
        <f ca="1">ROUND(B2*10000/E2,0)</f>
        <v>#DIV/0!</v>
      </c>
      <c r="C3" s="2564" t="s">
        <v>2526</v>
      </c>
      <c r="D3" s="2567"/>
      <c r="E3" s="2568"/>
    </row>
    <row r="4" spans="1:6" ht="15.75">
      <c r="A4" s="2569"/>
      <c r="B4" s="2567"/>
      <c r="C4" s="2567"/>
      <c r="D4" s="2567"/>
      <c r="E4" s="2568"/>
    </row>
    <row r="5" spans="1:6" ht="15">
      <c r="A5" s="2570" t="s">
        <v>2520</v>
      </c>
      <c r="B5" s="3187" t="s">
        <v>2521</v>
      </c>
      <c r="C5" s="3187"/>
      <c r="D5" s="2571"/>
      <c r="E5" s="2572" t="s">
        <v>2522</v>
      </c>
      <c r="F5" s="2573" t="s">
        <v>2523</v>
      </c>
    </row>
    <row r="6" spans="1:6">
      <c r="A6" s="2574">
        <f>'数据-取费表'!AN6</f>
        <v>0</v>
      </c>
      <c r="B6" s="2573" t="e">
        <f ca="1">IF(F6="是",'数据-取费表'!AO6,0)</f>
        <v>#REF!</v>
      </c>
      <c r="C6" s="2564" t="s">
        <v>2518</v>
      </c>
      <c r="D6" s="2567"/>
      <c r="E6" s="2575">
        <f>IF(OR(A6=0,F6="否"),0,'数据-取费表'!K6+'数据-取费表'!S6)</f>
        <v>0</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8" t="s">
        <v>1072</v>
      </c>
      <c r="B1" s="3189"/>
      <c r="C1" s="3190"/>
      <c r="D1" s="3191">
        <f>SUM(I10,I15,I20,I21,I23)</f>
        <v>0</v>
      </c>
      <c r="E1" s="3191"/>
      <c r="F1" s="3191"/>
      <c r="G1" s="3191"/>
      <c r="H1" s="3191"/>
      <c r="I1" s="3192"/>
    </row>
    <row r="2" spans="1:9">
      <c r="A2" s="3193" t="s">
        <v>1073</v>
      </c>
      <c r="B2" s="3194" t="s">
        <v>1074</v>
      </c>
      <c r="C2" s="3194"/>
      <c r="D2" s="1301" t="s">
        <v>1075</v>
      </c>
      <c r="E2" s="1301" t="s">
        <v>1076</v>
      </c>
      <c r="F2" s="1301" t="s">
        <v>1077</v>
      </c>
      <c r="G2" s="1301" t="s">
        <v>1078</v>
      </c>
      <c r="H2" s="1301" t="s">
        <v>1079</v>
      </c>
      <c r="I2" s="1302" t="s">
        <v>1080</v>
      </c>
    </row>
    <row r="3" spans="1:9">
      <c r="A3" s="3193"/>
      <c r="B3" s="3194" t="s">
        <v>1081</v>
      </c>
      <c r="C3" s="3194"/>
      <c r="D3" s="1303"/>
      <c r="E3" s="1301"/>
      <c r="F3" s="1304"/>
      <c r="G3" s="1304"/>
      <c r="H3" s="1305"/>
      <c r="I3" s="1306">
        <f>ROUND(D3*E3*F3*G3*H3/10000,0)</f>
        <v>0</v>
      </c>
    </row>
    <row r="4" spans="1:9">
      <c r="A4" s="3193"/>
      <c r="B4" s="3194" t="s">
        <v>1082</v>
      </c>
      <c r="C4" s="3194"/>
      <c r="D4" s="1303"/>
      <c r="E4" s="1301"/>
      <c r="F4" s="1304"/>
      <c r="G4" s="1304"/>
      <c r="H4" s="1305"/>
      <c r="I4" s="1306">
        <f t="shared" ref="I4:I9" si="0">ROUND(D4*E4*F4*G4*H4/10000,0)</f>
        <v>0</v>
      </c>
    </row>
    <row r="5" spans="1:9">
      <c r="A5" s="3193"/>
      <c r="B5" s="3194" t="s">
        <v>1083</v>
      </c>
      <c r="C5" s="3194"/>
      <c r="D5" s="1303"/>
      <c r="E5" s="1301"/>
      <c r="F5" s="1304"/>
      <c r="G5" s="1304"/>
      <c r="H5" s="1305"/>
      <c r="I5" s="1306">
        <f t="shared" si="0"/>
        <v>0</v>
      </c>
    </row>
    <row r="6" spans="1:9">
      <c r="A6" s="3193"/>
      <c r="B6" s="3194" t="s">
        <v>1084</v>
      </c>
      <c r="C6" s="3194"/>
      <c r="D6" s="1303"/>
      <c r="E6" s="1301"/>
      <c r="F6" s="1304"/>
      <c r="G6" s="1304"/>
      <c r="H6" s="1305"/>
      <c r="I6" s="1306">
        <f t="shared" si="0"/>
        <v>0</v>
      </c>
    </row>
    <row r="7" spans="1:9">
      <c r="A7" s="3193"/>
      <c r="B7" s="3194" t="s">
        <v>1085</v>
      </c>
      <c r="C7" s="3194"/>
      <c r="D7" s="1303"/>
      <c r="E7" s="1301"/>
      <c r="F7" s="1304"/>
      <c r="G7" s="1304"/>
      <c r="H7" s="1305"/>
      <c r="I7" s="1306">
        <f t="shared" si="0"/>
        <v>0</v>
      </c>
    </row>
    <row r="8" spans="1:9">
      <c r="A8" s="3193"/>
      <c r="B8" s="3194" t="s">
        <v>1086</v>
      </c>
      <c r="C8" s="3194"/>
      <c r="D8" s="1303"/>
      <c r="E8" s="1301"/>
      <c r="F8" s="1304"/>
      <c r="G8" s="1304"/>
      <c r="H8" s="1305"/>
      <c r="I8" s="1306">
        <f t="shared" si="0"/>
        <v>0</v>
      </c>
    </row>
    <row r="9" spans="1:9">
      <c r="A9" s="3193"/>
      <c r="B9" s="3194" t="s">
        <v>1087</v>
      </c>
      <c r="C9" s="3194"/>
      <c r="D9" s="1303"/>
      <c r="E9" s="1301"/>
      <c r="F9" s="1304"/>
      <c r="G9" s="1304"/>
      <c r="H9" s="1305"/>
      <c r="I9" s="1306">
        <f t="shared" si="0"/>
        <v>0</v>
      </c>
    </row>
    <row r="10" spans="1:9">
      <c r="A10" s="3193"/>
      <c r="B10" s="3195" t="s">
        <v>1088</v>
      </c>
      <c r="C10" s="3195"/>
      <c r="D10" s="1307"/>
      <c r="E10" s="1307" t="e">
        <f>ROUND(D1*10000/D10/H9,0)</f>
        <v>#DIV/0!</v>
      </c>
      <c r="F10" s="1308"/>
      <c r="G10" s="1308"/>
      <c r="H10" s="1309"/>
      <c r="I10" s="1310">
        <f>SUM(I3:I9)</f>
        <v>0</v>
      </c>
    </row>
    <row r="11" spans="1:9" ht="14.25">
      <c r="A11" s="3193" t="s">
        <v>1089</v>
      </c>
      <c r="B11" s="3194" t="s">
        <v>1090</v>
      </c>
      <c r="C11" s="3194"/>
      <c r="D11" s="1303" t="s">
        <v>1091</v>
      </c>
      <c r="E11" s="1303" t="s">
        <v>1092</v>
      </c>
      <c r="F11" s="1304" t="s">
        <v>1093</v>
      </c>
      <c r="G11" s="1304" t="s">
        <v>1079</v>
      </c>
      <c r="H11" s="1311" t="s">
        <v>1094</v>
      </c>
      <c r="I11" s="1302" t="s">
        <v>1080</v>
      </c>
    </row>
    <row r="12" spans="1:9">
      <c r="A12" s="3193"/>
      <c r="B12" s="3194" t="s">
        <v>1095</v>
      </c>
      <c r="C12" s="3194"/>
      <c r="D12" s="1303"/>
      <c r="E12" s="1303"/>
      <c r="F12" s="1304"/>
      <c r="G12" s="1305"/>
      <c r="H12" s="1312"/>
      <c r="I12" s="1302">
        <f>ROUND(D12*E12*F12*G12/10000,0)</f>
        <v>0</v>
      </c>
    </row>
    <row r="13" spans="1:9">
      <c r="A13" s="3193"/>
      <c r="B13" s="3194" t="s">
        <v>1096</v>
      </c>
      <c r="C13" s="3194"/>
      <c r="D13" s="1303"/>
      <c r="E13" s="1303"/>
      <c r="F13" s="1304"/>
      <c r="G13" s="1305"/>
      <c r="H13" s="1312"/>
      <c r="I13" s="1302">
        <f>ROUND(D13*E13*F13*G13/10000,0)</f>
        <v>0</v>
      </c>
    </row>
    <row r="14" spans="1:9">
      <c r="A14" s="3193"/>
      <c r="B14" s="3194" t="s">
        <v>1097</v>
      </c>
      <c r="C14" s="3194"/>
      <c r="D14" s="1303"/>
      <c r="E14" s="1303"/>
      <c r="F14" s="1304"/>
      <c r="G14" s="1305"/>
      <c r="H14" s="1312"/>
      <c r="I14" s="1302">
        <f>ROUND(D14*E14*F14*G14/10000,0)</f>
        <v>0</v>
      </c>
    </row>
    <row r="15" spans="1:9">
      <c r="A15" s="3193"/>
      <c r="B15" s="3195" t="s">
        <v>1088</v>
      </c>
      <c r="C15" s="3195"/>
      <c r="D15" s="1307"/>
      <c r="E15" s="1307">
        <f>SUM(E12:E14)</f>
        <v>0</v>
      </c>
      <c r="F15" s="1308"/>
      <c r="G15" s="1305"/>
      <c r="H15" s="1312"/>
      <c r="I15" s="1313">
        <f>SUM(I12:I14)</f>
        <v>0</v>
      </c>
    </row>
    <row r="16" spans="1:9" ht="24">
      <c r="A16" s="3193" t="s">
        <v>1098</v>
      </c>
      <c r="B16" s="3194" t="s">
        <v>1099</v>
      </c>
      <c r="C16" s="3194"/>
      <c r="D16" s="1303" t="s">
        <v>1075</v>
      </c>
      <c r="E16" s="1314" t="s">
        <v>1100</v>
      </c>
      <c r="F16" s="1304" t="s">
        <v>1101</v>
      </c>
      <c r="G16" s="1305" t="s">
        <v>1079</v>
      </c>
      <c r="H16" s="1311" t="s">
        <v>1094</v>
      </c>
      <c r="I16" s="1302" t="s">
        <v>1080</v>
      </c>
    </row>
    <row r="17" spans="1:9" ht="14.25">
      <c r="A17" s="3193"/>
      <c r="B17" s="3194" t="s">
        <v>1102</v>
      </c>
      <c r="C17" s="3194"/>
      <c r="D17" s="1303"/>
      <c r="E17" s="1303"/>
      <c r="F17" s="1304"/>
      <c r="G17" s="1305"/>
      <c r="H17" s="1315"/>
      <c r="I17" s="1316">
        <f>ROUND(D17*E17*F17*G17/10000,0)</f>
        <v>0</v>
      </c>
    </row>
    <row r="18" spans="1:9" ht="14.25">
      <c r="A18" s="3193"/>
      <c r="B18" s="3194" t="s">
        <v>1103</v>
      </c>
      <c r="C18" s="3194"/>
      <c r="D18" s="1303"/>
      <c r="E18" s="1303"/>
      <c r="F18" s="1304"/>
      <c r="G18" s="1305"/>
      <c r="H18" s="1315"/>
      <c r="I18" s="1316">
        <f>ROUND(D18*E18*F18*G18/10000,0)</f>
        <v>0</v>
      </c>
    </row>
    <row r="19" spans="1:9" ht="14.25">
      <c r="A19" s="3193"/>
      <c r="B19" s="3194" t="s">
        <v>1104</v>
      </c>
      <c r="C19" s="3194"/>
      <c r="D19" s="1303"/>
      <c r="E19" s="1303"/>
      <c r="F19" s="1304"/>
      <c r="G19" s="1305"/>
      <c r="H19" s="1315"/>
      <c r="I19" s="1316">
        <f>ROUND(D19*E19*F19*G19/10000,0)</f>
        <v>0</v>
      </c>
    </row>
    <row r="20" spans="1:9">
      <c r="A20" s="3193"/>
      <c r="B20" s="3195" t="s">
        <v>1088</v>
      </c>
      <c r="C20" s="3195"/>
      <c r="D20" s="1307">
        <f>SUM(D17:D19)</f>
        <v>0</v>
      </c>
      <c r="E20" s="1307"/>
      <c r="F20" s="1308"/>
      <c r="G20" s="1305"/>
      <c r="H20" s="1312"/>
      <c r="I20" s="1313">
        <f>SUM(I17:I19)</f>
        <v>0</v>
      </c>
    </row>
    <row r="21" spans="1:9">
      <c r="A21" s="3193" t="s">
        <v>1105</v>
      </c>
      <c r="B21" s="3197"/>
      <c r="C21" s="3197"/>
      <c r="D21" s="3197"/>
      <c r="E21" s="3197"/>
      <c r="F21" s="3197"/>
      <c r="G21" s="3197"/>
      <c r="H21" s="1765">
        <v>0.1</v>
      </c>
      <c r="I21" s="1310">
        <f>ROUND(I10*H21,0)</f>
        <v>0</v>
      </c>
    </row>
    <row r="22" spans="1:9" ht="14.25">
      <c r="A22" s="3198" t="s">
        <v>1106</v>
      </c>
      <c r="B22" s="3199"/>
      <c r="C22" s="3200"/>
      <c r="D22" s="1317" t="s">
        <v>1107</v>
      </c>
      <c r="E22" s="1317" t="s">
        <v>1108</v>
      </c>
      <c r="F22" s="1318" t="s">
        <v>1109</v>
      </c>
      <c r="G22" s="1318" t="s">
        <v>1110</v>
      </c>
      <c r="H22" s="1311" t="s">
        <v>1111</v>
      </c>
      <c r="I22" s="1302" t="s">
        <v>1112</v>
      </c>
    </row>
    <row r="23" spans="1:9" ht="14.25" thickBot="1">
      <c r="A23" s="3201"/>
      <c r="B23" s="3202"/>
      <c r="C23" s="3203"/>
      <c r="D23" s="1319"/>
      <c r="E23" s="1319"/>
      <c r="F23" s="1319"/>
      <c r="G23" s="1320"/>
      <c r="H23" s="1321"/>
      <c r="I23" s="1322">
        <f>ROUND(E23*D23*F23*(1-G23)/10000,0)</f>
        <v>0</v>
      </c>
    </row>
    <row r="26" spans="1:9">
      <c r="A26" s="1323" t="s">
        <v>1113</v>
      </c>
      <c r="B26" s="1323"/>
      <c r="C26" s="1323"/>
      <c r="D26" s="1323"/>
      <c r="E26" s="3204">
        <f>C27-C30-C31-C32</f>
        <v>0</v>
      </c>
      <c r="F26" s="3204"/>
      <c r="G26" s="3204"/>
      <c r="H26" s="1737" t="s">
        <v>1335</v>
      </c>
    </row>
    <row r="27" spans="1:9">
      <c r="A27" s="1324">
        <v>1</v>
      </c>
      <c r="B27" s="1325" t="s">
        <v>1114</v>
      </c>
      <c r="C27" s="1325">
        <f>C28+C29</f>
        <v>0</v>
      </c>
      <c r="D27" s="1325"/>
      <c r="E27" s="3205"/>
      <c r="F27" s="3205"/>
      <c r="G27" s="3205"/>
    </row>
    <row r="28" spans="1:9">
      <c r="A28" s="1326" t="s">
        <v>1115</v>
      </c>
      <c r="B28" s="1325" t="s">
        <v>1116</v>
      </c>
      <c r="C28" s="1325"/>
      <c r="D28" s="1325"/>
      <c r="E28" s="3205"/>
      <c r="F28" s="3205"/>
      <c r="G28" s="320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6"/>
      <c r="F32" s="3196"/>
      <c r="G32" s="3196"/>
    </row>
    <row r="33" spans="1:7" hidden="1">
      <c r="A33" s="3206" t="s">
        <v>1125</v>
      </c>
      <c r="B33" s="3207"/>
      <c r="C33" s="3207"/>
      <c r="D33" s="3208"/>
      <c r="E33" s="3204"/>
      <c r="F33" s="3204"/>
      <c r="G33" s="3204"/>
    </row>
    <row r="34" spans="1:7" hidden="1">
      <c r="A34" s="1328">
        <v>1</v>
      </c>
      <c r="B34" s="1325" t="s">
        <v>1126</v>
      </c>
      <c r="C34" s="1325"/>
      <c r="D34" s="1325"/>
      <c r="E34" s="3205"/>
      <c r="F34" s="3205"/>
      <c r="G34" s="3205"/>
    </row>
    <row r="35" spans="1:7" hidden="1">
      <c r="A35" s="1328">
        <v>2</v>
      </c>
      <c r="B35" s="1325" t="s">
        <v>1127</v>
      </c>
      <c r="C35" s="1325"/>
      <c r="D35" s="1325"/>
      <c r="E35" s="3205"/>
      <c r="F35" s="3205"/>
      <c r="G35" s="3205"/>
    </row>
    <row r="36" spans="1:7" hidden="1">
      <c r="A36" s="1328">
        <v>3</v>
      </c>
      <c r="B36" s="1325" t="s">
        <v>1128</v>
      </c>
      <c r="C36" s="1325"/>
      <c r="D36" s="1325"/>
      <c r="E36" s="3205"/>
      <c r="F36" s="3205"/>
      <c r="G36" s="3205"/>
    </row>
    <row r="37" spans="1:7" hidden="1">
      <c r="A37" s="1328">
        <v>4</v>
      </c>
      <c r="B37" s="1325" t="s">
        <v>1129</v>
      </c>
      <c r="C37" s="1325"/>
      <c r="D37" s="1325"/>
      <c r="E37" s="3205"/>
      <c r="F37" s="3205"/>
      <c r="G37" s="3205"/>
    </row>
    <row r="38" spans="1:7" hidden="1">
      <c r="A38" s="3206" t="s">
        <v>1130</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C39" zoomScale="90" zoomScaleNormal="90" workbookViewId="0">
      <selection activeCell="V52" sqref="V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18" width="9.375" style="403" customWidth="1"/>
    <col min="19" max="19" width="6.125" style="403" customWidth="1"/>
    <col min="20" max="20" width="9.375" style="403" customWidth="1"/>
    <col min="21" max="21" width="6.125" style="403" customWidth="1"/>
    <col min="22" max="22" width="9"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417245</v>
      </c>
      <c r="C2" s="2584" t="s">
        <v>70</v>
      </c>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f>IF(C2="——",C49,ROUND(B2*10000/D3,0))</f>
        <v>47975</v>
      </c>
      <c r="C3" s="400" t="s">
        <v>2533</v>
      </c>
      <c r="D3" s="399">
        <f>IF(D1="",'数据-汇总表'!E3,SUMIF('数据-汇总表'!$C19:$C33,D1,'数据-汇总表'!$E19:$E33))</f>
        <v>86971.4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228" t="s">
        <v>2535</v>
      </c>
      <c r="D4" s="3229"/>
      <c r="E4" s="3230" t="s">
        <v>2536</v>
      </c>
      <c r="F4" s="3231"/>
      <c r="G4" s="3228" t="s">
        <v>2537</v>
      </c>
      <c r="H4" s="3229"/>
      <c r="I4" s="3228" t="s">
        <v>2538</v>
      </c>
      <c r="J4" s="3229"/>
      <c r="K4" s="2594" t="s">
        <v>2539</v>
      </c>
      <c r="L4" s="1130"/>
      <c r="M4" s="1131"/>
      <c r="N4" s="1131"/>
      <c r="O4" s="1131"/>
      <c r="P4" s="3232" t="s">
        <v>2540</v>
      </c>
      <c r="Q4" s="3233"/>
      <c r="R4" s="3214" t="s">
        <v>2536</v>
      </c>
      <c r="S4" s="3215"/>
      <c r="T4" s="3214" t="s">
        <v>2537</v>
      </c>
      <c r="U4" s="3215"/>
      <c r="V4" s="3240" t="s">
        <v>2538</v>
      </c>
      <c r="W4" s="3240"/>
      <c r="X4" s="1813"/>
      <c r="Y4" s="3214" t="s">
        <v>2540</v>
      </c>
      <c r="Z4" s="3215"/>
      <c r="AA4" s="3209" t="s">
        <v>2536</v>
      </c>
      <c r="AB4" s="3209" t="s">
        <v>2537</v>
      </c>
      <c r="AC4" s="3209" t="s">
        <v>2538</v>
      </c>
    </row>
    <row r="5" spans="1:29" ht="15">
      <c r="A5" s="404"/>
      <c r="B5" s="405"/>
      <c r="C5" s="3220" t="s">
        <v>3122</v>
      </c>
      <c r="D5" s="3221"/>
      <c r="E5" s="3218" t="s">
        <v>3123</v>
      </c>
      <c r="F5" s="3219"/>
      <c r="G5" s="3220" t="s">
        <v>3124</v>
      </c>
      <c r="H5" s="3221"/>
      <c r="I5" s="3220" t="s">
        <v>3125</v>
      </c>
      <c r="J5" s="3221"/>
      <c r="K5" s="2595"/>
      <c r="L5" s="1130"/>
      <c r="M5" s="1131"/>
      <c r="N5" s="1131"/>
      <c r="O5" s="1131"/>
      <c r="P5" s="3234"/>
      <c r="Q5" s="3235"/>
      <c r="R5" s="3216"/>
      <c r="S5" s="3217"/>
      <c r="T5" s="3216"/>
      <c r="U5" s="3217"/>
      <c r="V5" s="3240"/>
      <c r="W5" s="3240"/>
      <c r="X5" s="1813"/>
      <c r="Y5" s="3216"/>
      <c r="Z5" s="3217"/>
      <c r="AA5" s="3210"/>
      <c r="AB5" s="3210"/>
      <c r="AC5" s="3210"/>
    </row>
    <row r="6" spans="1:29" ht="15.75" thickBot="1">
      <c r="A6" s="406"/>
      <c r="B6" s="407"/>
      <c r="C6" s="3222" t="str">
        <f>项目基本情况!F10</f>
        <v>北京经济技术开发区河西区X90R1、X90S1地块</v>
      </c>
      <c r="D6" s="3223"/>
      <c r="E6" s="3224" t="s">
        <v>2545</v>
      </c>
      <c r="F6" s="3225"/>
      <c r="G6" s="3226" t="s">
        <v>2545</v>
      </c>
      <c r="H6" s="3223"/>
      <c r="I6" s="3226" t="s">
        <v>2545</v>
      </c>
      <c r="J6" s="3223"/>
      <c r="K6" s="2595" t="s">
        <v>2546</v>
      </c>
      <c r="L6" s="1130"/>
      <c r="M6" s="1131"/>
      <c r="N6" s="1131"/>
      <c r="O6" s="1131"/>
      <c r="P6" s="3236"/>
      <c r="Q6" s="3237"/>
      <c r="R6" s="3216"/>
      <c r="S6" s="3217"/>
      <c r="T6" s="3238"/>
      <c r="U6" s="3239"/>
      <c r="V6" s="3240"/>
      <c r="W6" s="3240"/>
      <c r="X6" s="1813"/>
      <c r="Y6" s="3238"/>
      <c r="Z6" s="3239"/>
      <c r="AA6" s="3211"/>
      <c r="AB6" s="3211"/>
      <c r="AC6" s="3211"/>
    </row>
    <row r="7" spans="1:29" s="117" customFormat="1" ht="15.75" thickBot="1">
      <c r="A7" s="408" t="s">
        <v>2547</v>
      </c>
      <c r="B7" s="409"/>
      <c r="C7" s="410">
        <f>'数据-取费表'!B2</f>
        <v>43847</v>
      </c>
      <c r="D7" s="411">
        <v>100</v>
      </c>
      <c r="E7" s="412">
        <f>C7</f>
        <v>43847</v>
      </c>
      <c r="F7" s="413">
        <f>SUMIF(58:58,YEAR(E7)&amp;"-"&amp;MONTH(E7),59:59)</f>
        <v>100</v>
      </c>
      <c r="G7" s="412">
        <f>C7</f>
        <v>43847</v>
      </c>
      <c r="H7" s="411">
        <f>SUMIF(58:58,YEAR(G7)&amp;"-"&amp;MONTH(G7),59:59)</f>
        <v>100</v>
      </c>
      <c r="I7" s="412">
        <f>C7</f>
        <v>43847</v>
      </c>
      <c r="J7" s="411">
        <f>SUMIF(58:58,YEAR(I7)&amp;"-"&amp;MONTH(I7),59:59)</f>
        <v>100</v>
      </c>
      <c r="K7" s="2596"/>
      <c r="L7" s="1132"/>
      <c r="M7" s="1133"/>
      <c r="N7" s="1133"/>
      <c r="O7" s="1133"/>
      <c r="P7" s="3212" t="s">
        <v>2548</v>
      </c>
      <c r="Q7" s="3241"/>
      <c r="R7" s="770" t="s">
        <v>23</v>
      </c>
      <c r="S7" s="771">
        <f t="shared" ref="S7:S15" si="0">F7</f>
        <v>100</v>
      </c>
      <c r="T7" s="770" t="s">
        <v>23</v>
      </c>
      <c r="U7" s="771">
        <f t="shared" ref="U7:U15" si="1">H7</f>
        <v>100</v>
      </c>
      <c r="V7" s="770" t="s">
        <v>23</v>
      </c>
      <c r="W7" s="771">
        <f t="shared" ref="W7:W15" si="2">J7</f>
        <v>100</v>
      </c>
      <c r="X7" s="772"/>
      <c r="Y7" s="3212" t="s">
        <v>2548</v>
      </c>
      <c r="Z7" s="3213"/>
      <c r="AA7" s="773">
        <f>D7/F7</f>
        <v>1</v>
      </c>
      <c r="AB7" s="773">
        <f>D7/H7</f>
        <v>1</v>
      </c>
      <c r="AC7" s="773">
        <f>D7/J7</f>
        <v>1</v>
      </c>
    </row>
    <row r="8" spans="1:29" s="117" customFormat="1" ht="15.75" thickBot="1">
      <c r="A8" s="408" t="s">
        <v>2549</v>
      </c>
      <c r="B8" s="409"/>
      <c r="C8" s="414" t="s">
        <v>2550</v>
      </c>
      <c r="D8" s="411">
        <v>100</v>
      </c>
      <c r="E8" s="2597" t="s">
        <v>3104</v>
      </c>
      <c r="F8" s="413">
        <f>SUMIF(61:61,E8,62:62)-SUMIF(61:61,C8,62:62)+100</f>
        <v>100</v>
      </c>
      <c r="G8" s="414" t="s">
        <v>3104</v>
      </c>
      <c r="H8" s="411">
        <f>SUMIF(61:61,G8,62:62)-SUMIF(61:61,C8,62:62)+100</f>
        <v>100</v>
      </c>
      <c r="I8" s="2597" t="s">
        <v>3104</v>
      </c>
      <c r="J8" s="411">
        <f>SUMIF(61:61,I8,62:62)-SUMIF(61:61,C8,62:62)+100</f>
        <v>100</v>
      </c>
      <c r="K8" s="2596"/>
      <c r="L8" s="1132"/>
      <c r="M8" s="1133"/>
      <c r="N8" s="1133"/>
      <c r="O8" s="1133"/>
      <c r="P8" s="3212" t="s">
        <v>2551</v>
      </c>
      <c r="Q8" s="3213"/>
      <c r="R8" s="770" t="s">
        <v>23</v>
      </c>
      <c r="S8" s="771">
        <f t="shared" si="0"/>
        <v>100</v>
      </c>
      <c r="T8" s="770" t="s">
        <v>23</v>
      </c>
      <c r="U8" s="771">
        <f t="shared" si="1"/>
        <v>100</v>
      </c>
      <c r="V8" s="770" t="s">
        <v>23</v>
      </c>
      <c r="W8" s="771">
        <f t="shared" si="2"/>
        <v>100</v>
      </c>
      <c r="X8" s="772"/>
      <c r="Y8" s="3212" t="s">
        <v>2551</v>
      </c>
      <c r="Z8" s="3213"/>
      <c r="AA8" s="773">
        <f t="shared" ref="AA8:AA19" si="3">D8/F8</f>
        <v>1</v>
      </c>
      <c r="AB8" s="773">
        <f t="shared" ref="AB8:AB19" si="4">D8/H8</f>
        <v>1</v>
      </c>
      <c r="AC8" s="773">
        <f t="shared" ref="AC8:AC19" si="5">D8/J8</f>
        <v>1</v>
      </c>
    </row>
    <row r="9" spans="1:29" s="117" customFormat="1">
      <c r="A9" s="415" t="s">
        <v>2552</v>
      </c>
      <c r="B9" s="71" t="s">
        <v>2553</v>
      </c>
      <c r="C9" s="2953" t="s">
        <v>3066</v>
      </c>
      <c r="D9" s="135">
        <v>100</v>
      </c>
      <c r="E9" s="417" t="s">
        <v>3065</v>
      </c>
      <c r="F9" s="418">
        <f>SUMIF(63:63,E9,64:64)-SUMIF(63:63,C9,64:64)+100</f>
        <v>100</v>
      </c>
      <c r="G9" s="419" t="s">
        <v>3065</v>
      </c>
      <c r="H9" s="135">
        <f>SUMIF(63:63,G9,64:64)-SUMIF(63:63,C9,64:64)+100</f>
        <v>100</v>
      </c>
      <c r="I9" s="419" t="s">
        <v>3065</v>
      </c>
      <c r="J9" s="135">
        <f>SUMIF(63:63,I9,64:64)-SUMIF(63:63,C9,64:64)+100</f>
        <v>100</v>
      </c>
      <c r="K9" s="2596"/>
      <c r="L9" s="1132"/>
      <c r="M9" s="1133"/>
      <c r="N9" s="1133"/>
      <c r="O9" s="1133"/>
      <c r="P9" s="3227" t="s">
        <v>2554</v>
      </c>
      <c r="Q9" s="1795" t="str">
        <f t="shared" ref="Q9:Q15" si="6">B9</f>
        <v>用途</v>
      </c>
      <c r="R9" s="770" t="s">
        <v>17</v>
      </c>
      <c r="S9" s="771">
        <f t="shared" si="0"/>
        <v>100</v>
      </c>
      <c r="T9" s="770" t="s">
        <v>17</v>
      </c>
      <c r="U9" s="771">
        <f t="shared" si="1"/>
        <v>100</v>
      </c>
      <c r="V9" s="770" t="s">
        <v>17</v>
      </c>
      <c r="W9" s="771">
        <f t="shared" si="2"/>
        <v>100</v>
      </c>
      <c r="X9" s="772"/>
      <c r="Y9" s="3054" t="s">
        <v>2555</v>
      </c>
      <c r="Z9" s="55" t="str">
        <f t="shared" ref="Z9:Z15" si="7">Q9</f>
        <v>用途</v>
      </c>
      <c r="AA9" s="773">
        <f t="shared" si="3"/>
        <v>1</v>
      </c>
      <c r="AB9" s="773">
        <f t="shared" si="4"/>
        <v>1</v>
      </c>
      <c r="AC9" s="773">
        <f t="shared" si="5"/>
        <v>1</v>
      </c>
    </row>
    <row r="10" spans="1:29" s="427" customFormat="1" ht="27">
      <c r="A10" s="421"/>
      <c r="B10" s="422" t="s">
        <v>2556</v>
      </c>
      <c r="C10" s="423" t="s">
        <v>3067</v>
      </c>
      <c r="D10" s="136">
        <v>100</v>
      </c>
      <c r="E10" s="424" t="s">
        <v>3067</v>
      </c>
      <c r="F10" s="425">
        <f>SUMIF(65:65,E10,66:66)-SUMIF(65:65,C10,66:66)+100</f>
        <v>100</v>
      </c>
      <c r="G10" s="423" t="s">
        <v>3067</v>
      </c>
      <c r="H10" s="136">
        <f>SUMIF(65:65,G10,66:66)-SUMIF(65:65,C10,66:66)+100</f>
        <v>100</v>
      </c>
      <c r="I10" s="423" t="s">
        <v>3067</v>
      </c>
      <c r="J10" s="136">
        <f>SUMIF(65:65,I10,66:66)-SUMIF(65:65,C10,66:66)+100</f>
        <v>100</v>
      </c>
      <c r="K10" s="426"/>
      <c r="L10" s="1135"/>
      <c r="M10" s="1136"/>
      <c r="N10" s="1136"/>
      <c r="O10" s="1136"/>
      <c r="P10" s="3227"/>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75" thickBot="1">
      <c r="A11" s="428"/>
      <c r="B11" s="422" t="s">
        <v>2557</v>
      </c>
      <c r="C11" s="2954">
        <v>2</v>
      </c>
      <c r="D11" s="136">
        <v>100</v>
      </c>
      <c r="E11" s="430">
        <v>2.5</v>
      </c>
      <c r="F11" s="425">
        <f>LOOKUP(E11,68:68,69:69)-LOOKUP(C11,68:68,69:69)+100</f>
        <v>98</v>
      </c>
      <c r="G11" s="429">
        <v>2.5</v>
      </c>
      <c r="H11" s="136">
        <f>LOOKUP(G11,68:68,69:69)-LOOKUP(C11,68:68,69:69)+100</f>
        <v>98</v>
      </c>
      <c r="I11" s="429">
        <v>1.8</v>
      </c>
      <c r="J11" s="136">
        <f>LOOKUP(I11,68:68,69:69)-LOOKUP(C11,68:68,69:69)+100</f>
        <v>102</v>
      </c>
      <c r="K11" s="426">
        <v>2</v>
      </c>
      <c r="L11" s="1138"/>
      <c r="M11" s="1131"/>
      <c r="N11" s="1131"/>
      <c r="O11" s="1131"/>
      <c r="P11" s="3227"/>
      <c r="Q11" s="1795" t="str">
        <f t="shared" si="6"/>
        <v>容积率</v>
      </c>
      <c r="R11" s="770" t="s">
        <v>21</v>
      </c>
      <c r="S11" s="771">
        <f t="shared" si="0"/>
        <v>98</v>
      </c>
      <c r="T11" s="770" t="s">
        <v>21</v>
      </c>
      <c r="U11" s="771">
        <f t="shared" si="1"/>
        <v>98</v>
      </c>
      <c r="V11" s="770" t="s">
        <v>21</v>
      </c>
      <c r="W11" s="771">
        <f t="shared" si="2"/>
        <v>102</v>
      </c>
      <c r="X11" s="772"/>
      <c r="Y11" s="3054"/>
      <c r="Z11" s="55" t="str">
        <f t="shared" si="7"/>
        <v>容积率</v>
      </c>
      <c r="AA11" s="773">
        <f t="shared" si="3"/>
        <v>1.0204081632653061</v>
      </c>
      <c r="AB11" s="773">
        <f t="shared" si="4"/>
        <v>1.0204081632653061</v>
      </c>
      <c r="AC11" s="773">
        <f t="shared" si="5"/>
        <v>0.98039215686274506</v>
      </c>
    </row>
    <row r="12" spans="1:29" s="117" customFormat="1" ht="15"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27"/>
      <c r="Q12" s="1795">
        <f t="shared" si="6"/>
        <v>111</v>
      </c>
      <c r="R12" s="770" t="s">
        <v>21</v>
      </c>
      <c r="S12" s="771">
        <f t="shared" si="0"/>
        <v>100</v>
      </c>
      <c r="T12" s="770" t="s">
        <v>21</v>
      </c>
      <c r="U12" s="771">
        <f t="shared" si="1"/>
        <v>100</v>
      </c>
      <c r="V12" s="770" t="s">
        <v>21</v>
      </c>
      <c r="W12" s="771">
        <f t="shared" si="2"/>
        <v>100</v>
      </c>
      <c r="X12" s="772"/>
      <c r="Y12" s="3054"/>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27"/>
      <c r="Q13" s="1795">
        <f t="shared" si="6"/>
        <v>111</v>
      </c>
      <c r="R13" s="770" t="s">
        <v>21</v>
      </c>
      <c r="S13" s="771">
        <f t="shared" si="0"/>
        <v>100</v>
      </c>
      <c r="T13" s="770" t="s">
        <v>21</v>
      </c>
      <c r="U13" s="771">
        <f t="shared" si="1"/>
        <v>100</v>
      </c>
      <c r="V13" s="770" t="s">
        <v>21</v>
      </c>
      <c r="W13" s="771">
        <f t="shared" si="2"/>
        <v>100</v>
      </c>
      <c r="X13" s="772"/>
      <c r="Y13" s="3054"/>
      <c r="Z13" s="55">
        <f t="shared" si="7"/>
        <v>111</v>
      </c>
      <c r="AA13" s="773">
        <f t="shared" si="3"/>
        <v>1</v>
      </c>
      <c r="AB13" s="773">
        <f t="shared" si="4"/>
        <v>1</v>
      </c>
      <c r="AC13" s="773">
        <f t="shared" si="5"/>
        <v>1</v>
      </c>
    </row>
    <row r="14" spans="1:29" ht="15.75"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27"/>
      <c r="Q14" s="1795">
        <f t="shared" si="6"/>
        <v>111</v>
      </c>
      <c r="R14" s="770" t="s">
        <v>21</v>
      </c>
      <c r="S14" s="771">
        <f t="shared" si="0"/>
        <v>100</v>
      </c>
      <c r="T14" s="770" t="s">
        <v>21</v>
      </c>
      <c r="U14" s="771">
        <f t="shared" si="1"/>
        <v>100</v>
      </c>
      <c r="V14" s="770" t="s">
        <v>21</v>
      </c>
      <c r="W14" s="771">
        <f t="shared" si="2"/>
        <v>100</v>
      </c>
      <c r="X14" s="772"/>
      <c r="Y14" s="3054"/>
      <c r="Z14" s="55">
        <f t="shared" si="7"/>
        <v>111</v>
      </c>
      <c r="AA14" s="773">
        <f t="shared" si="3"/>
        <v>1</v>
      </c>
      <c r="AB14" s="773">
        <f t="shared" si="4"/>
        <v>1</v>
      </c>
      <c r="AC14" s="773">
        <f t="shared" si="5"/>
        <v>1</v>
      </c>
    </row>
    <row r="15" spans="1:29" ht="199.5">
      <c r="A15" s="440" t="s">
        <v>2558</v>
      </c>
      <c r="B15" s="69" t="s">
        <v>2084</v>
      </c>
      <c r="C15" s="2601" t="str">
        <f>估价对象房地状况!C3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4" t="s">
        <v>2559</v>
      </c>
      <c r="Q15" s="1810" t="str">
        <f t="shared" si="6"/>
        <v>居住社区成熟度</v>
      </c>
      <c r="R15" s="774" t="s">
        <v>21</v>
      </c>
      <c r="S15" s="775">
        <f t="shared" si="0"/>
        <v>100</v>
      </c>
      <c r="T15" s="774" t="s">
        <v>21</v>
      </c>
      <c r="U15" s="775">
        <f t="shared" si="1"/>
        <v>100</v>
      </c>
      <c r="V15" s="774" t="s">
        <v>21</v>
      </c>
      <c r="W15" s="775">
        <f t="shared" si="2"/>
        <v>100</v>
      </c>
      <c r="X15" s="1813"/>
      <c r="Y15" s="3247" t="s">
        <v>2559</v>
      </c>
      <c r="Z15" s="1814" t="str">
        <f t="shared" si="7"/>
        <v>居住社区成熟度</v>
      </c>
      <c r="AA15" s="1811">
        <f t="shared" si="3"/>
        <v>1</v>
      </c>
      <c r="AB15" s="1811">
        <f t="shared" si="4"/>
        <v>1</v>
      </c>
      <c r="AC15" s="1811">
        <f t="shared" si="5"/>
        <v>1</v>
      </c>
    </row>
    <row r="16" spans="1:29" ht="15">
      <c r="A16" s="428"/>
      <c r="B16" s="446"/>
      <c r="C16" s="447" t="s">
        <v>3068</v>
      </c>
      <c r="D16" s="448"/>
      <c r="E16" s="2602" t="s">
        <v>3068</v>
      </c>
      <c r="F16" s="448"/>
      <c r="G16" s="2603" t="s">
        <v>3068</v>
      </c>
      <c r="H16" s="450"/>
      <c r="I16" s="2603" t="s">
        <v>3068</v>
      </c>
      <c r="J16" s="448"/>
      <c r="K16" s="2604"/>
      <c r="L16" s="1140"/>
      <c r="M16" s="1131"/>
      <c r="N16" s="1131"/>
      <c r="O16" s="1131"/>
      <c r="P16" s="3255"/>
      <c r="Q16" s="1810"/>
      <c r="R16" s="774"/>
      <c r="S16" s="775"/>
      <c r="T16" s="774"/>
      <c r="U16" s="775"/>
      <c r="V16" s="774"/>
      <c r="W16" s="775"/>
      <c r="X16" s="1813"/>
      <c r="Y16" s="3248"/>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5"/>
      <c r="Q17" s="1810" t="str">
        <f>B17</f>
        <v>交通便捷度</v>
      </c>
      <c r="R17" s="774" t="s">
        <v>21</v>
      </c>
      <c r="S17" s="775">
        <f>F17</f>
        <v>100</v>
      </c>
      <c r="T17" s="774" t="s">
        <v>21</v>
      </c>
      <c r="U17" s="775">
        <f>H17</f>
        <v>100</v>
      </c>
      <c r="V17" s="774" t="s">
        <v>21</v>
      </c>
      <c r="W17" s="775">
        <f>J17</f>
        <v>100</v>
      </c>
      <c r="X17" s="1813"/>
      <c r="Y17" s="3248"/>
      <c r="Z17" s="1814" t="str">
        <f>Q17</f>
        <v>交通便捷度</v>
      </c>
      <c r="AA17" s="1811">
        <f t="shared" si="3"/>
        <v>1</v>
      </c>
      <c r="AB17" s="1811">
        <f t="shared" si="4"/>
        <v>1</v>
      </c>
      <c r="AC17" s="1811">
        <f t="shared" si="5"/>
        <v>1</v>
      </c>
    </row>
    <row r="18" spans="1:29" ht="15">
      <c r="A18" s="428"/>
      <c r="B18" s="456"/>
      <c r="C18" s="2606" t="s">
        <v>3069</v>
      </c>
      <c r="D18" s="450"/>
      <c r="E18" s="2607" t="s">
        <v>3069</v>
      </c>
      <c r="F18" s="450"/>
      <c r="G18" s="2608" t="s">
        <v>3069</v>
      </c>
      <c r="H18" s="448"/>
      <c r="I18" s="2608" t="s">
        <v>3069</v>
      </c>
      <c r="J18" s="448"/>
      <c r="K18" s="2604"/>
      <c r="L18" s="1140"/>
      <c r="M18" s="1131"/>
      <c r="N18" s="1131"/>
      <c r="O18" s="1131"/>
      <c r="P18" s="3255"/>
      <c r="Q18" s="1810"/>
      <c r="R18" s="774"/>
      <c r="S18" s="775"/>
      <c r="T18" s="774"/>
      <c r="U18" s="775"/>
      <c r="V18" s="774"/>
      <c r="W18" s="775"/>
      <c r="X18" s="1813"/>
      <c r="Y18" s="3248"/>
      <c r="Z18" s="1814"/>
      <c r="AA18" s="1811">
        <v>1</v>
      </c>
      <c r="AB18" s="1811">
        <v>1</v>
      </c>
      <c r="AC18" s="1811">
        <v>1</v>
      </c>
    </row>
    <row r="19" spans="1:29" ht="42.75">
      <c r="A19" s="428"/>
      <c r="B19" s="451" t="s">
        <v>2093</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5"/>
      <c r="Q19" s="1810" t="str">
        <f>B19</f>
        <v>公共配套设施</v>
      </c>
      <c r="R19" s="774" t="s">
        <v>21</v>
      </c>
      <c r="S19" s="775">
        <f>F19</f>
        <v>100</v>
      </c>
      <c r="T19" s="774" t="s">
        <v>21</v>
      </c>
      <c r="U19" s="775">
        <f>H19</f>
        <v>100</v>
      </c>
      <c r="V19" s="774" t="s">
        <v>21</v>
      </c>
      <c r="W19" s="775">
        <f>J19</f>
        <v>100</v>
      </c>
      <c r="X19" s="1813"/>
      <c r="Y19" s="3248"/>
      <c r="Z19" s="1814" t="str">
        <f>Q19</f>
        <v>公共配套设施</v>
      </c>
      <c r="AA19" s="1811">
        <f t="shared" si="3"/>
        <v>1</v>
      </c>
      <c r="AB19" s="1811">
        <f t="shared" si="4"/>
        <v>1</v>
      </c>
      <c r="AC19" s="1811">
        <f t="shared" si="5"/>
        <v>1</v>
      </c>
    </row>
    <row r="20" spans="1:29" ht="15">
      <c r="A20" s="428"/>
      <c r="B20" s="456"/>
      <c r="C20" s="447" t="s">
        <v>3069</v>
      </c>
      <c r="D20" s="448"/>
      <c r="E20" s="2602" t="s">
        <v>3069</v>
      </c>
      <c r="F20" s="448"/>
      <c r="G20" s="2603" t="s">
        <v>3069</v>
      </c>
      <c r="H20" s="448"/>
      <c r="I20" s="2603" t="s">
        <v>3069</v>
      </c>
      <c r="J20" s="448"/>
      <c r="K20" s="2604"/>
      <c r="L20" s="1140"/>
      <c r="M20" s="1131"/>
      <c r="N20" s="1131"/>
      <c r="O20" s="1131"/>
      <c r="P20" s="3255"/>
      <c r="Q20" s="1810"/>
      <c r="R20" s="774"/>
      <c r="S20" s="775"/>
      <c r="T20" s="774"/>
      <c r="U20" s="775"/>
      <c r="V20" s="774"/>
      <c r="W20" s="775"/>
      <c r="X20" s="1813"/>
      <c r="Y20" s="3248"/>
      <c r="Z20" s="1814"/>
      <c r="AA20" s="1811">
        <v>1</v>
      </c>
      <c r="AB20" s="1811">
        <v>1</v>
      </c>
      <c r="AC20" s="1811">
        <v>1</v>
      </c>
    </row>
    <row r="21" spans="1:29" ht="15">
      <c r="A21" s="428"/>
      <c r="B21" s="1384" t="s">
        <v>2096</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1811">
        <f t="shared" ref="AC21" si="10">D21/J21</f>
        <v>1</v>
      </c>
    </row>
    <row r="22" spans="1:29" ht="15">
      <c r="A22" s="428"/>
      <c r="B22" s="1384"/>
      <c r="C22" s="2606" t="s">
        <v>3070</v>
      </c>
      <c r="D22" s="448"/>
      <c r="E22" s="447" t="s">
        <v>3070</v>
      </c>
      <c r="F22" s="448"/>
      <c r="G22" s="2609" t="s">
        <v>3070</v>
      </c>
      <c r="H22" s="448"/>
      <c r="I22" s="447" t="s">
        <v>3070</v>
      </c>
      <c r="J22" s="448"/>
      <c r="K22" s="2610"/>
      <c r="L22" s="1140"/>
      <c r="M22" s="1131"/>
      <c r="N22" s="1131"/>
      <c r="O22" s="1131"/>
      <c r="P22" s="3255"/>
      <c r="Q22" s="1810"/>
      <c r="R22" s="774"/>
      <c r="S22" s="775"/>
      <c r="T22" s="774"/>
      <c r="U22" s="775"/>
      <c r="V22" s="774"/>
      <c r="W22" s="775"/>
      <c r="X22" s="1813"/>
      <c r="Y22" s="3248"/>
      <c r="Z22" s="1814"/>
      <c r="AA22" s="1811">
        <v>1</v>
      </c>
      <c r="AB22" s="1811">
        <v>1</v>
      </c>
      <c r="AC22" s="1811">
        <v>1</v>
      </c>
    </row>
    <row r="23" spans="1:29" ht="114">
      <c r="A23" s="428"/>
      <c r="B23" s="451" t="s">
        <v>2100</v>
      </c>
      <c r="C23" s="2605" t="str">
        <f>估价对象房地状况!C9</f>
        <v>区域自然环境：体育公园、南海子公园、凉水河；人文环境：北京电子科技职业学院(亦庄校区)；综合评价环境状况一般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5"/>
      <c r="Q23" s="1810" t="str">
        <f>B23</f>
        <v>自然及人文环境</v>
      </c>
      <c r="R23" s="774" t="s">
        <v>21</v>
      </c>
      <c r="S23" s="775">
        <f>F23</f>
        <v>100</v>
      </c>
      <c r="T23" s="774" t="s">
        <v>21</v>
      </c>
      <c r="U23" s="775">
        <f>H23</f>
        <v>100</v>
      </c>
      <c r="V23" s="774" t="s">
        <v>21</v>
      </c>
      <c r="W23" s="775">
        <f>J23</f>
        <v>100</v>
      </c>
      <c r="X23" s="1813"/>
      <c r="Y23" s="3248"/>
      <c r="Z23" s="1814" t="str">
        <f>Q23</f>
        <v>自然及人文环境</v>
      </c>
      <c r="AA23" s="1811">
        <f>D23/F23</f>
        <v>1</v>
      </c>
      <c r="AB23" s="1811">
        <f>D23/H23</f>
        <v>1</v>
      </c>
      <c r="AC23" s="1811">
        <f>D23/J23</f>
        <v>1</v>
      </c>
    </row>
    <row r="24" spans="1:29" ht="15">
      <c r="A24" s="428"/>
      <c r="B24" s="456"/>
      <c r="C24" s="447" t="s">
        <v>3069</v>
      </c>
      <c r="D24" s="448"/>
      <c r="E24" s="2602" t="s">
        <v>3069</v>
      </c>
      <c r="F24" s="448"/>
      <c r="G24" s="2603" t="s">
        <v>3069</v>
      </c>
      <c r="H24" s="448"/>
      <c r="I24" s="2603" t="s">
        <v>3069</v>
      </c>
      <c r="J24" s="448"/>
      <c r="K24" s="2604"/>
      <c r="L24" s="1140"/>
      <c r="M24" s="1131"/>
      <c r="N24" s="1131"/>
      <c r="O24" s="1131"/>
      <c r="P24" s="3255"/>
      <c r="Q24" s="1810"/>
      <c r="R24" s="774"/>
      <c r="S24" s="775"/>
      <c r="T24" s="774"/>
      <c r="U24" s="775"/>
      <c r="V24" s="774"/>
      <c r="W24" s="775"/>
      <c r="X24" s="1813"/>
      <c r="Y24" s="3248"/>
      <c r="Z24" s="1814"/>
      <c r="AA24" s="1811">
        <v>1</v>
      </c>
      <c r="AB24" s="1811">
        <v>1</v>
      </c>
      <c r="AC24" s="1811">
        <v>1</v>
      </c>
    </row>
    <row r="25" spans="1:29" ht="15" hidden="1">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5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8"/>
      <c r="Z25" s="1814" t="str">
        <f>Q25</f>
        <v>楼层-1</v>
      </c>
      <c r="AA25" s="1811">
        <f t="shared" ref="AA25:AA46" si="15">D25/F25</f>
        <v>1</v>
      </c>
      <c r="AB25" s="1811">
        <f t="shared" ref="AB25:AB46" si="16">D25/H25</f>
        <v>1</v>
      </c>
      <c r="AC25" s="1811">
        <f t="shared" ref="AC25:AC46" si="17">D25/J25</f>
        <v>1</v>
      </c>
    </row>
    <row r="26" spans="1:29" ht="15">
      <c r="A26" s="428"/>
      <c r="B26" s="422" t="s">
        <v>2561</v>
      </c>
      <c r="C26" s="460" t="s">
        <v>3092</v>
      </c>
      <c r="D26" s="435">
        <v>100</v>
      </c>
      <c r="E26" s="2611" t="s">
        <v>3092</v>
      </c>
      <c r="F26" s="435">
        <f>SUMIF(88:88,E26,89:89)-SUMIF(88:88,C26,89:89)+100</f>
        <v>100</v>
      </c>
      <c r="G26" s="2612" t="s">
        <v>3092</v>
      </c>
      <c r="H26" s="435">
        <f>SUMIF(88:88,G26,89:89)-SUMIF(88:88,C26,89:89)+100</f>
        <v>100</v>
      </c>
      <c r="I26" s="2612" t="s">
        <v>3092</v>
      </c>
      <c r="J26" s="435">
        <f>SUMIF(88:88,I26,89:89)-SUMIF(88:88,C26,89:89)+100</f>
        <v>100</v>
      </c>
      <c r="K26" s="426"/>
      <c r="L26" s="1140"/>
      <c r="M26" s="1131"/>
      <c r="N26" s="1131"/>
      <c r="O26" s="1131"/>
      <c r="P26" s="3255"/>
      <c r="Q26" s="1810" t="str">
        <f t="shared" si="11"/>
        <v>朝向</v>
      </c>
      <c r="R26" s="774" t="s">
        <v>21</v>
      </c>
      <c r="S26" s="775">
        <f t="shared" si="12"/>
        <v>100</v>
      </c>
      <c r="T26" s="774" t="s">
        <v>21</v>
      </c>
      <c r="U26" s="775">
        <f t="shared" si="13"/>
        <v>100</v>
      </c>
      <c r="V26" s="774" t="s">
        <v>21</v>
      </c>
      <c r="W26" s="775">
        <f t="shared" si="14"/>
        <v>100</v>
      </c>
      <c r="X26" s="1813"/>
      <c r="Y26" s="3248"/>
      <c r="Z26" s="1814" t="str">
        <f>Q26</f>
        <v>朝向</v>
      </c>
      <c r="AA26" s="1811">
        <f t="shared" si="15"/>
        <v>1</v>
      </c>
      <c r="AB26" s="1811">
        <f t="shared" si="16"/>
        <v>1</v>
      </c>
      <c r="AC26" s="1811">
        <f t="shared" si="17"/>
        <v>1</v>
      </c>
    </row>
    <row r="27" spans="1:29" s="117" customFormat="1" ht="29.25" thickBot="1">
      <c r="A27" s="431"/>
      <c r="B27" s="2957" t="s">
        <v>3094</v>
      </c>
      <c r="C27" s="432" t="str">
        <f>C90</f>
        <v>城市次干道——兴海路</v>
      </c>
      <c r="D27" s="462">
        <v>100</v>
      </c>
      <c r="E27" s="432" t="str">
        <f>E90</f>
        <v>城市次干道——博兴十路</v>
      </c>
      <c r="F27" s="462">
        <f>SUMIF(90:90,E27,91:91)-SUMIF(90:90,C27,91:91)+100</f>
        <v>100</v>
      </c>
      <c r="G27" s="2670" t="str">
        <f>C90</f>
        <v>城市次干道——兴海路</v>
      </c>
      <c r="H27" s="462">
        <f>SUMIF(90:90,G27,91:91)-SUMIF(90:90,C27,91:91)+100</f>
        <v>100</v>
      </c>
      <c r="I27" s="2670" t="str">
        <f>D90</f>
        <v>城市次干道——博兴八路</v>
      </c>
      <c r="J27" s="462">
        <f>SUMIF(90:90,I27,91:91)-SUMIF(90:90,C27,91:91)+100</f>
        <v>100</v>
      </c>
      <c r="K27" s="2599"/>
      <c r="L27" s="1132"/>
      <c r="M27" s="1133"/>
      <c r="N27" s="1133"/>
      <c r="O27" s="1133"/>
      <c r="P27" s="3255"/>
      <c r="Q27" s="1795" t="str">
        <f t="shared" si="11"/>
        <v>临路状况</v>
      </c>
      <c r="R27" s="770" t="s">
        <v>21</v>
      </c>
      <c r="S27" s="771">
        <f t="shared" si="12"/>
        <v>100</v>
      </c>
      <c r="T27" s="770" t="s">
        <v>21</v>
      </c>
      <c r="U27" s="771">
        <f t="shared" si="13"/>
        <v>100</v>
      </c>
      <c r="V27" s="770" t="s">
        <v>21</v>
      </c>
      <c r="W27" s="771">
        <f t="shared" si="14"/>
        <v>100</v>
      </c>
      <c r="X27" s="772"/>
      <c r="Y27" s="3248"/>
      <c r="Z27" s="55" t="str">
        <f>Q27</f>
        <v>临路状况</v>
      </c>
      <c r="AA27" s="1811">
        <f t="shared" si="15"/>
        <v>1</v>
      </c>
      <c r="AB27" s="1811">
        <f t="shared" si="16"/>
        <v>1</v>
      </c>
      <c r="AC27" s="1811">
        <f t="shared" si="17"/>
        <v>1</v>
      </c>
    </row>
    <row r="28" spans="1:29" ht="15" hidden="1">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55"/>
      <c r="Q28" s="1810">
        <f t="shared" si="11"/>
        <v>111</v>
      </c>
      <c r="R28" s="774" t="s">
        <v>21</v>
      </c>
      <c r="S28" s="775">
        <f t="shared" si="12"/>
        <v>100</v>
      </c>
      <c r="T28" s="774" t="s">
        <v>21</v>
      </c>
      <c r="U28" s="775">
        <f t="shared" si="13"/>
        <v>100</v>
      </c>
      <c r="V28" s="774" t="s">
        <v>21</v>
      </c>
      <c r="W28" s="775">
        <f t="shared" si="14"/>
        <v>100</v>
      </c>
      <c r="X28" s="1813"/>
      <c r="Y28" s="3248"/>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55"/>
      <c r="Q29" s="1810">
        <f t="shared" si="11"/>
        <v>111</v>
      </c>
      <c r="R29" s="774" t="s">
        <v>21</v>
      </c>
      <c r="S29" s="775">
        <f t="shared" si="12"/>
        <v>100</v>
      </c>
      <c r="T29" s="774" t="s">
        <v>21</v>
      </c>
      <c r="U29" s="775">
        <f t="shared" si="13"/>
        <v>100</v>
      </c>
      <c r="V29" s="774" t="s">
        <v>21</v>
      </c>
      <c r="W29" s="775">
        <f t="shared" si="14"/>
        <v>100</v>
      </c>
      <c r="X29" s="1813"/>
      <c r="Y29" s="3248"/>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55"/>
      <c r="Q30" s="1810">
        <f t="shared" si="11"/>
        <v>111</v>
      </c>
      <c r="R30" s="774" t="s">
        <v>21</v>
      </c>
      <c r="S30" s="775">
        <f t="shared" si="12"/>
        <v>100</v>
      </c>
      <c r="T30" s="774" t="s">
        <v>21</v>
      </c>
      <c r="U30" s="775">
        <f t="shared" si="13"/>
        <v>100</v>
      </c>
      <c r="V30" s="774" t="s">
        <v>21</v>
      </c>
      <c r="W30" s="775">
        <f t="shared" si="14"/>
        <v>100</v>
      </c>
      <c r="X30" s="1813"/>
      <c r="Y30" s="3248"/>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55"/>
      <c r="Q31" s="1810">
        <f t="shared" si="11"/>
        <v>111</v>
      </c>
      <c r="R31" s="774" t="s">
        <v>21</v>
      </c>
      <c r="S31" s="775">
        <f t="shared" si="12"/>
        <v>100</v>
      </c>
      <c r="T31" s="774" t="s">
        <v>21</v>
      </c>
      <c r="U31" s="775">
        <f t="shared" si="13"/>
        <v>100</v>
      </c>
      <c r="V31" s="774" t="s">
        <v>21</v>
      </c>
      <c r="W31" s="775">
        <f t="shared" si="14"/>
        <v>100</v>
      </c>
      <c r="X31" s="1813"/>
      <c r="Y31" s="3248"/>
      <c r="Z31" s="1814">
        <f t="shared" si="18"/>
        <v>111</v>
      </c>
      <c r="AA31" s="1811">
        <f t="shared" si="15"/>
        <v>1</v>
      </c>
      <c r="AB31" s="1811">
        <f t="shared" si="16"/>
        <v>1</v>
      </c>
      <c r="AC31" s="1811">
        <f t="shared" si="17"/>
        <v>1</v>
      </c>
    </row>
    <row r="32" spans="1:29" ht="15">
      <c r="A32" s="440" t="s">
        <v>2562</v>
      </c>
      <c r="B32" s="71" t="s">
        <v>2563</v>
      </c>
      <c r="C32" s="2615" t="s">
        <v>3071</v>
      </c>
      <c r="D32" s="467">
        <v>100</v>
      </c>
      <c r="E32" s="2616" t="s">
        <v>3071</v>
      </c>
      <c r="F32" s="461">
        <f>SUMIF(100:100,E32,101:101)-SUMIF(100:100,C32,101:101)+100</f>
        <v>100</v>
      </c>
      <c r="G32" s="2615" t="s">
        <v>3071</v>
      </c>
      <c r="H32" s="467">
        <f>SUMIF(100:100,G32,101:101)-SUMIF(100:100,C32,101:101)+100</f>
        <v>100</v>
      </c>
      <c r="I32" s="2616" t="s">
        <v>3072</v>
      </c>
      <c r="J32" s="435">
        <f>SUMIF(100:100,I32,101:101)-SUMIF(100:100,C32,101:101)+100</f>
        <v>102</v>
      </c>
      <c r="K32" s="426">
        <v>2</v>
      </c>
      <c r="L32" s="1140"/>
      <c r="M32" s="1131"/>
      <c r="N32" s="1131"/>
      <c r="O32" s="1131"/>
      <c r="P32" s="3249" t="s">
        <v>2564</v>
      </c>
      <c r="Q32" s="1810" t="str">
        <f t="shared" si="11"/>
        <v>建筑类型</v>
      </c>
      <c r="R32" s="774" t="s">
        <v>21</v>
      </c>
      <c r="S32" s="775">
        <f t="shared" si="12"/>
        <v>100</v>
      </c>
      <c r="T32" s="774" t="s">
        <v>21</v>
      </c>
      <c r="U32" s="775">
        <f t="shared" si="13"/>
        <v>100</v>
      </c>
      <c r="V32" s="774" t="s">
        <v>21</v>
      </c>
      <c r="W32" s="775">
        <f t="shared" si="14"/>
        <v>102</v>
      </c>
      <c r="X32" s="1813"/>
      <c r="Y32" s="3252" t="s">
        <v>2564</v>
      </c>
      <c r="Z32" s="1814" t="str">
        <f t="shared" si="18"/>
        <v>建筑类型</v>
      </c>
      <c r="AA32" s="1811">
        <f t="shared" si="15"/>
        <v>1</v>
      </c>
      <c r="AB32" s="1811">
        <f t="shared" si="16"/>
        <v>1</v>
      </c>
      <c r="AC32" s="1811">
        <f t="shared" si="17"/>
        <v>0.98039215686274506</v>
      </c>
    </row>
    <row r="33" spans="1:29" s="471" customFormat="1" ht="15">
      <c r="A33" s="468"/>
      <c r="B33" s="422" t="s">
        <v>2565</v>
      </c>
      <c r="C33" s="469">
        <v>86971.4</v>
      </c>
      <c r="D33" s="136">
        <v>100</v>
      </c>
      <c r="E33" s="430">
        <v>112334</v>
      </c>
      <c r="F33" s="425">
        <f>LOOKUP(E33,103:103,104:104)-LOOKUP(C33,103:103,104:104)+100</f>
        <v>100</v>
      </c>
      <c r="G33" s="429">
        <v>95303</v>
      </c>
      <c r="H33" s="136">
        <f>LOOKUP(G33,103:103,104:104)-LOOKUP(C33,103:103,104:104)+100</f>
        <v>100</v>
      </c>
      <c r="I33" s="430">
        <v>165717</v>
      </c>
      <c r="J33" s="136">
        <f>LOOKUP(I33,103:103,104:104)-LOOKUP(C33,103:103,104:104)+100</f>
        <v>100</v>
      </c>
      <c r="K33" s="2599"/>
      <c r="L33" s="1138"/>
      <c r="M33" s="1141"/>
      <c r="N33" s="1141"/>
      <c r="O33" s="1141"/>
      <c r="P33" s="3250"/>
      <c r="Q33" s="776" t="str">
        <f t="shared" si="11"/>
        <v>项目建筑规模</v>
      </c>
      <c r="R33" s="777" t="s">
        <v>21</v>
      </c>
      <c r="S33" s="778">
        <f t="shared" si="12"/>
        <v>100</v>
      </c>
      <c r="T33" s="777" t="s">
        <v>21</v>
      </c>
      <c r="U33" s="778">
        <f t="shared" si="13"/>
        <v>100</v>
      </c>
      <c r="V33" s="777" t="s">
        <v>21</v>
      </c>
      <c r="W33" s="778">
        <f t="shared" si="14"/>
        <v>100</v>
      </c>
      <c r="X33" s="779"/>
      <c r="Y33" s="3252"/>
      <c r="Z33" s="780" t="str">
        <f t="shared" si="18"/>
        <v>项目建筑规模</v>
      </c>
      <c r="AA33" s="1811">
        <f t="shared" si="15"/>
        <v>1</v>
      </c>
      <c r="AB33" s="1811">
        <f t="shared" si="16"/>
        <v>1</v>
      </c>
      <c r="AC33" s="1811">
        <f t="shared" si="17"/>
        <v>1</v>
      </c>
    </row>
    <row r="34" spans="1:29" ht="15">
      <c r="A34" s="472"/>
      <c r="B34" s="422" t="s">
        <v>2566</v>
      </c>
      <c r="C34" s="2617" t="s">
        <v>3089</v>
      </c>
      <c r="D34" s="435">
        <v>100</v>
      </c>
      <c r="E34" s="2618" t="s">
        <v>3089</v>
      </c>
      <c r="F34" s="461">
        <f>SUMIF(105:105,E34,106:106)-SUMIF(105:105,C34,106:106)+100</f>
        <v>100</v>
      </c>
      <c r="G34" s="2617" t="s">
        <v>3089</v>
      </c>
      <c r="H34" s="435">
        <f>SUMIF(105:105,G34,106:106)-SUMIF(105:105,C34,106:106)+100</f>
        <v>100</v>
      </c>
      <c r="I34" s="2618" t="s">
        <v>3089</v>
      </c>
      <c r="J34" s="435">
        <f>SUMIF(105:105,I34,106:106)-SUMIF(105:105,C34,106:106)+100</f>
        <v>100</v>
      </c>
      <c r="K34" s="426"/>
      <c r="L34" s="1140"/>
      <c r="M34" s="1131"/>
      <c r="N34" s="1131"/>
      <c r="O34" s="1131"/>
      <c r="P34" s="3250"/>
      <c r="Q34" s="1810" t="str">
        <f t="shared" si="11"/>
        <v>建筑结构</v>
      </c>
      <c r="R34" s="774" t="s">
        <v>21</v>
      </c>
      <c r="S34" s="775">
        <f t="shared" si="12"/>
        <v>100</v>
      </c>
      <c r="T34" s="774" t="s">
        <v>21</v>
      </c>
      <c r="U34" s="775">
        <f t="shared" si="13"/>
        <v>100</v>
      </c>
      <c r="V34" s="774" t="s">
        <v>21</v>
      </c>
      <c r="W34" s="775">
        <f t="shared" si="14"/>
        <v>100</v>
      </c>
      <c r="X34" s="1813"/>
      <c r="Y34" s="3252"/>
      <c r="Z34" s="1814" t="str">
        <f t="shared" si="18"/>
        <v>建筑结构</v>
      </c>
      <c r="AA34" s="1811">
        <f t="shared" si="15"/>
        <v>1</v>
      </c>
      <c r="AB34" s="1811">
        <f t="shared" si="16"/>
        <v>1</v>
      </c>
      <c r="AC34" s="1811">
        <f t="shared" si="17"/>
        <v>1</v>
      </c>
    </row>
    <row r="35" spans="1:29" ht="15" hidden="1">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0"/>
      <c r="Q35" s="1810" t="str">
        <f t="shared" si="11"/>
        <v>建筑品质</v>
      </c>
      <c r="R35" s="774" t="s">
        <v>21</v>
      </c>
      <c r="S35" s="775">
        <f t="shared" si="12"/>
        <v>100</v>
      </c>
      <c r="T35" s="774" t="s">
        <v>21</v>
      </c>
      <c r="U35" s="775">
        <f t="shared" si="13"/>
        <v>100</v>
      </c>
      <c r="V35" s="774" t="s">
        <v>21</v>
      </c>
      <c r="W35" s="775">
        <f t="shared" si="14"/>
        <v>100</v>
      </c>
      <c r="X35" s="1813"/>
      <c r="Y35" s="3252"/>
      <c r="Z35" s="1814" t="str">
        <f t="shared" si="18"/>
        <v>建筑品质</v>
      </c>
      <c r="AA35" s="1811">
        <f t="shared" si="15"/>
        <v>1</v>
      </c>
      <c r="AB35" s="1811">
        <f t="shared" si="16"/>
        <v>1</v>
      </c>
      <c r="AC35" s="1811">
        <f t="shared" si="17"/>
        <v>1</v>
      </c>
    </row>
    <row r="36" spans="1:29" ht="15">
      <c r="A36" s="472"/>
      <c r="B36" s="422" t="s">
        <v>2568</v>
      </c>
      <c r="C36" s="2611" t="s">
        <v>3074</v>
      </c>
      <c r="D36" s="435">
        <v>100</v>
      </c>
      <c r="E36" s="2612" t="s">
        <v>3074</v>
      </c>
      <c r="F36" s="461">
        <f>SUMIF(109:109,E36,110:110)-SUMIF(109:109,C36,110:110)+100</f>
        <v>100</v>
      </c>
      <c r="G36" s="2611" t="s">
        <v>3074</v>
      </c>
      <c r="H36" s="435">
        <f>SUMIF(109:109,G36,110:110)-SUMIF(109:109,C36,110:110)+100</f>
        <v>100</v>
      </c>
      <c r="I36" s="2612" t="s">
        <v>3074</v>
      </c>
      <c r="J36" s="435">
        <f>SUMIF(109:109,I36,110:110)-SUMIF(109:109,C36,110:110)+100</f>
        <v>100</v>
      </c>
      <c r="K36" s="426"/>
      <c r="L36" s="1140"/>
      <c r="M36" s="1131"/>
      <c r="N36" s="1131"/>
      <c r="O36" s="1131"/>
      <c r="P36" s="3250"/>
      <c r="Q36" s="1810" t="str">
        <f t="shared" si="11"/>
        <v>公共部分装修</v>
      </c>
      <c r="R36" s="774" t="s">
        <v>21</v>
      </c>
      <c r="S36" s="775">
        <f t="shared" si="12"/>
        <v>100</v>
      </c>
      <c r="T36" s="774" t="s">
        <v>21</v>
      </c>
      <c r="U36" s="775">
        <f t="shared" si="13"/>
        <v>100</v>
      </c>
      <c r="V36" s="774" t="s">
        <v>21</v>
      </c>
      <c r="W36" s="775">
        <f t="shared" si="14"/>
        <v>100</v>
      </c>
      <c r="X36" s="1813"/>
      <c r="Y36" s="3252"/>
      <c r="Z36" s="1814" t="str">
        <f t="shared" si="18"/>
        <v>公共部分装修</v>
      </c>
      <c r="AA36" s="1811">
        <f t="shared" si="15"/>
        <v>1</v>
      </c>
      <c r="AB36" s="1811">
        <f t="shared" si="16"/>
        <v>1</v>
      </c>
      <c r="AC36" s="1811">
        <f t="shared" si="17"/>
        <v>1</v>
      </c>
    </row>
    <row r="37" spans="1:29" s="117" customFormat="1" ht="15"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50"/>
      <c r="Q37" s="1795" t="str">
        <f t="shared" si="11"/>
        <v>成新度</v>
      </c>
      <c r="R37" s="770" t="s">
        <v>21</v>
      </c>
      <c r="S37" s="771">
        <f t="shared" si="12"/>
        <v>100</v>
      </c>
      <c r="T37" s="770" t="s">
        <v>21</v>
      </c>
      <c r="U37" s="771">
        <f t="shared" si="13"/>
        <v>100</v>
      </c>
      <c r="V37" s="770" t="s">
        <v>21</v>
      </c>
      <c r="W37" s="771">
        <f t="shared" si="14"/>
        <v>100</v>
      </c>
      <c r="X37" s="772"/>
      <c r="Y37" s="3252"/>
      <c r="Z37" s="55" t="str">
        <f t="shared" si="18"/>
        <v>成新度</v>
      </c>
      <c r="AA37" s="773">
        <f t="shared" si="15"/>
        <v>1</v>
      </c>
      <c r="AB37" s="773">
        <f t="shared" si="16"/>
        <v>1</v>
      </c>
      <c r="AC37" s="773">
        <f t="shared" si="17"/>
        <v>1</v>
      </c>
    </row>
    <row r="38" spans="1:29" ht="15">
      <c r="A38" s="472"/>
      <c r="B38" s="422" t="s">
        <v>2570</v>
      </c>
      <c r="C38" s="2611" t="s">
        <v>3098</v>
      </c>
      <c r="D38" s="435">
        <v>100</v>
      </c>
      <c r="E38" s="2612" t="s">
        <v>3098</v>
      </c>
      <c r="F38" s="461">
        <f>SUMIF(114:114,E38,115:115)-SUMIF(114:114,C38,115:115)+100</f>
        <v>100</v>
      </c>
      <c r="G38" s="2611" t="s">
        <v>3098</v>
      </c>
      <c r="H38" s="435">
        <f>SUMIF(114:114,G38,115:115)-SUMIF(114:114,C38,115:115)+100</f>
        <v>100</v>
      </c>
      <c r="I38" s="2612" t="s">
        <v>3098</v>
      </c>
      <c r="J38" s="435">
        <f>SUMIF(114:114,I38,115:115)-SUMIF(114:114,C38,115:115)+100</f>
        <v>100</v>
      </c>
      <c r="K38" s="426"/>
      <c r="L38" s="1140"/>
      <c r="M38" s="1131"/>
      <c r="N38" s="1131"/>
      <c r="O38" s="1131"/>
      <c r="P38" s="3250" t="s">
        <v>2564</v>
      </c>
      <c r="Q38" s="1810" t="str">
        <f t="shared" si="11"/>
        <v>物业管理</v>
      </c>
      <c r="R38" s="774" t="s">
        <v>21</v>
      </c>
      <c r="S38" s="775">
        <f t="shared" si="12"/>
        <v>100</v>
      </c>
      <c r="T38" s="774" t="s">
        <v>21</v>
      </c>
      <c r="U38" s="775">
        <f t="shared" si="13"/>
        <v>100</v>
      </c>
      <c r="V38" s="774" t="s">
        <v>21</v>
      </c>
      <c r="W38" s="775">
        <f t="shared" si="14"/>
        <v>100</v>
      </c>
      <c r="X38" s="1813"/>
      <c r="Y38" s="3252" t="s">
        <v>2564</v>
      </c>
      <c r="Z38" s="1814" t="str">
        <f t="shared" si="18"/>
        <v>物业管理</v>
      </c>
      <c r="AA38" s="1811">
        <f t="shared" si="15"/>
        <v>1</v>
      </c>
      <c r="AB38" s="1811">
        <f t="shared" si="16"/>
        <v>1</v>
      </c>
      <c r="AC38" s="1811">
        <f t="shared" si="17"/>
        <v>1</v>
      </c>
    </row>
    <row r="39" spans="1:29" ht="15">
      <c r="A39" s="472"/>
      <c r="B39" s="422" t="s">
        <v>2571</v>
      </c>
      <c r="C39" s="2611" t="s">
        <v>3070</v>
      </c>
      <c r="D39" s="435">
        <v>100</v>
      </c>
      <c r="E39" s="2612" t="s">
        <v>3070</v>
      </c>
      <c r="F39" s="461">
        <f>SUMIF(116:116,E39,117:117)-SUMIF(116:116,C39,117:117)+100</f>
        <v>100</v>
      </c>
      <c r="G39" s="2611" t="s">
        <v>3070</v>
      </c>
      <c r="H39" s="435">
        <f>SUMIF(116:116,G39,117:117)-SUMIF(116:116,C39,117:117)+100</f>
        <v>100</v>
      </c>
      <c r="I39" s="2612" t="s">
        <v>3070</v>
      </c>
      <c r="J39" s="435">
        <f>SUMIF(116:116,I39,117:117)-SUMIF(116:116,C39,117:117)+100</f>
        <v>100</v>
      </c>
      <c r="K39" s="426"/>
      <c r="L39" s="1140"/>
      <c r="M39" s="1131"/>
      <c r="N39" s="1131"/>
      <c r="O39" s="1131"/>
      <c r="P39" s="3250"/>
      <c r="Q39" s="1810" t="str">
        <f t="shared" si="11"/>
        <v>市政基础设施</v>
      </c>
      <c r="R39" s="774" t="s">
        <v>21</v>
      </c>
      <c r="S39" s="775">
        <f t="shared" si="12"/>
        <v>100</v>
      </c>
      <c r="T39" s="774" t="s">
        <v>21</v>
      </c>
      <c r="U39" s="775">
        <f t="shared" si="13"/>
        <v>100</v>
      </c>
      <c r="V39" s="774" t="s">
        <v>21</v>
      </c>
      <c r="W39" s="775">
        <f t="shared" si="14"/>
        <v>100</v>
      </c>
      <c r="X39" s="1813"/>
      <c r="Y39" s="3252"/>
      <c r="Z39" s="1814" t="str">
        <f t="shared" si="18"/>
        <v>市政基础设施</v>
      </c>
      <c r="AA39" s="1811">
        <f t="shared" si="15"/>
        <v>1</v>
      </c>
      <c r="AB39" s="1811">
        <f t="shared" si="16"/>
        <v>1</v>
      </c>
      <c r="AC39" s="1811">
        <f t="shared" si="17"/>
        <v>1</v>
      </c>
    </row>
    <row r="40" spans="1:29" ht="15">
      <c r="A40" s="472"/>
      <c r="B40" s="422" t="s">
        <v>2572</v>
      </c>
      <c r="C40" s="2611" t="s">
        <v>3101</v>
      </c>
      <c r="D40" s="435">
        <v>100</v>
      </c>
      <c r="E40" s="2612" t="s">
        <v>3101</v>
      </c>
      <c r="F40" s="461">
        <f>SUMIF(118:118,E40,119:119)-SUMIF(118:118,C40,119:119)+100</f>
        <v>100</v>
      </c>
      <c r="G40" s="2611" t="s">
        <v>3101</v>
      </c>
      <c r="H40" s="435">
        <f>SUMIF(118:118,G40,119:119)-SUMIF(118:118,C40,119:119)+100</f>
        <v>100</v>
      </c>
      <c r="I40" s="2612" t="s">
        <v>3101</v>
      </c>
      <c r="J40" s="435">
        <f>SUMIF(118:118,I40,119:119)-SUMIF(118:118,C40,119:119)+100</f>
        <v>100</v>
      </c>
      <c r="K40" s="426"/>
      <c r="L40" s="1140"/>
      <c r="M40" s="1131"/>
      <c r="N40" s="1131"/>
      <c r="O40" s="1131"/>
      <c r="P40" s="3250"/>
      <c r="Q40" s="1810" t="str">
        <f t="shared" si="11"/>
        <v>房型</v>
      </c>
      <c r="R40" s="774" t="s">
        <v>21</v>
      </c>
      <c r="S40" s="775">
        <f t="shared" si="12"/>
        <v>100</v>
      </c>
      <c r="T40" s="774" t="s">
        <v>21</v>
      </c>
      <c r="U40" s="775">
        <f t="shared" si="13"/>
        <v>100</v>
      </c>
      <c r="V40" s="774" t="s">
        <v>21</v>
      </c>
      <c r="W40" s="775">
        <f t="shared" si="14"/>
        <v>100</v>
      </c>
      <c r="X40" s="1813"/>
      <c r="Y40" s="3252"/>
      <c r="Z40" s="1814" t="str">
        <f t="shared" si="18"/>
        <v>房型</v>
      </c>
      <c r="AA40" s="1811">
        <f t="shared" si="15"/>
        <v>1</v>
      </c>
      <c r="AB40" s="1811">
        <f t="shared" si="16"/>
        <v>1</v>
      </c>
      <c r="AC40" s="1811">
        <f t="shared" si="17"/>
        <v>1</v>
      </c>
    </row>
    <row r="41" spans="1:29" s="471" customFormat="1" ht="28.5">
      <c r="A41" s="468"/>
      <c r="B41" s="422" t="s">
        <v>2573</v>
      </c>
      <c r="C41" s="469" t="str">
        <f>C120</f>
        <v>80-90</v>
      </c>
      <c r="D41" s="136">
        <v>100</v>
      </c>
      <c r="E41" s="430" t="str">
        <f>C41</f>
        <v>80-90</v>
      </c>
      <c r="F41" s="425">
        <f>SUMIF(120:120,E41,121:121)-SUMIF(120:120,C41,121:121)+100</f>
        <v>100</v>
      </c>
      <c r="G41" s="429" t="str">
        <f>C41</f>
        <v>80-90</v>
      </c>
      <c r="H41" s="136">
        <f>SUMIF(120:120,G41,121:121)-SUMIF(120:120,C41,121:121)+100</f>
        <v>100</v>
      </c>
      <c r="I41" s="477" t="str">
        <f>C41</f>
        <v>80-90</v>
      </c>
      <c r="J41" s="435">
        <f>SUMIF(120:120,I41,121:121)-SUMIF(120:120,C41,121:121)+100</f>
        <v>100</v>
      </c>
      <c r="K41" s="2599"/>
      <c r="L41" s="1138"/>
      <c r="M41" s="1141"/>
      <c r="N41" s="1141"/>
      <c r="O41" s="1141"/>
      <c r="P41" s="3250"/>
      <c r="Q41" s="776" t="str">
        <f t="shared" si="11"/>
        <v>单套/主力户型建筑面积</v>
      </c>
      <c r="R41" s="777" t="s">
        <v>21</v>
      </c>
      <c r="S41" s="778">
        <f t="shared" si="12"/>
        <v>100</v>
      </c>
      <c r="T41" s="777" t="s">
        <v>21</v>
      </c>
      <c r="U41" s="778">
        <f t="shared" si="13"/>
        <v>100</v>
      </c>
      <c r="V41" s="777" t="s">
        <v>21</v>
      </c>
      <c r="W41" s="778">
        <f t="shared" si="14"/>
        <v>100</v>
      </c>
      <c r="X41" s="779"/>
      <c r="Y41" s="3252"/>
      <c r="Z41" s="780" t="str">
        <f t="shared" si="18"/>
        <v>单套/主力户型建筑面积</v>
      </c>
      <c r="AA41" s="1811">
        <f t="shared" si="15"/>
        <v>1</v>
      </c>
      <c r="AB41" s="1811">
        <f t="shared" si="16"/>
        <v>1</v>
      </c>
      <c r="AC41" s="1811">
        <f t="shared" si="17"/>
        <v>1</v>
      </c>
    </row>
    <row r="42" spans="1:29" ht="15">
      <c r="A42" s="472"/>
      <c r="B42" s="422" t="s">
        <v>2574</v>
      </c>
      <c r="C42" s="2611" t="s">
        <v>3077</v>
      </c>
      <c r="D42" s="435">
        <v>100</v>
      </c>
      <c r="E42" s="2612" t="s">
        <v>3077</v>
      </c>
      <c r="F42" s="461">
        <f>SUMIF(122:122,E42,123:123)-SUMIF(122:122,C42,123:123)+100</f>
        <v>100</v>
      </c>
      <c r="G42" s="2611" t="s">
        <v>3079</v>
      </c>
      <c r="H42" s="435">
        <f>SUMIF(122:122,G42,123:123)-SUMIF(122:122,C42,123:123)+100</f>
        <v>94</v>
      </c>
      <c r="I42" s="2612" t="s">
        <v>3075</v>
      </c>
      <c r="J42" s="435">
        <f>SUMIF(122:122,I42,123:123)-SUMIF(122:122,C42,123:123)+100</f>
        <v>97</v>
      </c>
      <c r="K42" s="426">
        <v>3</v>
      </c>
      <c r="L42" s="1140"/>
      <c r="M42" s="1131"/>
      <c r="N42" s="1131"/>
      <c r="O42" s="1131"/>
      <c r="P42" s="3250"/>
      <c r="Q42" s="1810" t="str">
        <f t="shared" si="11"/>
        <v>内部装修</v>
      </c>
      <c r="R42" s="774" t="s">
        <v>21</v>
      </c>
      <c r="S42" s="775">
        <f t="shared" si="12"/>
        <v>100</v>
      </c>
      <c r="T42" s="774" t="s">
        <v>21</v>
      </c>
      <c r="U42" s="775">
        <f t="shared" si="13"/>
        <v>94</v>
      </c>
      <c r="V42" s="774" t="s">
        <v>21</v>
      </c>
      <c r="W42" s="775">
        <f t="shared" si="14"/>
        <v>97</v>
      </c>
      <c r="X42" s="1813"/>
      <c r="Y42" s="3252"/>
      <c r="Z42" s="1814" t="str">
        <f t="shared" si="18"/>
        <v>内部装修</v>
      </c>
      <c r="AA42" s="1811">
        <f t="shared" si="15"/>
        <v>1</v>
      </c>
      <c r="AB42" s="1811">
        <f t="shared" si="16"/>
        <v>1.0638297872340425</v>
      </c>
      <c r="AC42" s="1811">
        <f t="shared" si="17"/>
        <v>1.0309278350515463</v>
      </c>
    </row>
    <row r="43" spans="1:29" ht="15" hidden="1">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0"/>
      <c r="Q43" s="1810" t="str">
        <f t="shared" si="11"/>
        <v>内部装修维护情况</v>
      </c>
      <c r="R43" s="774" t="s">
        <v>21</v>
      </c>
      <c r="S43" s="775">
        <f t="shared" si="12"/>
        <v>100</v>
      </c>
      <c r="T43" s="774" t="s">
        <v>21</v>
      </c>
      <c r="U43" s="775">
        <f t="shared" si="13"/>
        <v>100</v>
      </c>
      <c r="V43" s="774" t="s">
        <v>21</v>
      </c>
      <c r="W43" s="775">
        <f t="shared" si="14"/>
        <v>100</v>
      </c>
      <c r="X43" s="1813"/>
      <c r="Y43" s="3252"/>
      <c r="Z43" s="1814" t="str">
        <f t="shared" si="18"/>
        <v>内部装修维护情况</v>
      </c>
      <c r="AA43" s="1811">
        <f t="shared" si="15"/>
        <v>1</v>
      </c>
      <c r="AB43" s="1811">
        <f t="shared" si="16"/>
        <v>1</v>
      </c>
      <c r="AC43" s="1811">
        <f t="shared" si="17"/>
        <v>1</v>
      </c>
    </row>
    <row r="44" spans="1:29" s="117" customFormat="1" ht="15">
      <c r="A44" s="473"/>
      <c r="B44" s="2957" t="s">
        <v>3081</v>
      </c>
      <c r="C44" s="469">
        <v>2021.9</v>
      </c>
      <c r="D44" s="136">
        <v>100</v>
      </c>
      <c r="E44" s="2965">
        <f>F126</f>
        <v>2022.1</v>
      </c>
      <c r="F44" s="425">
        <f>SUMIF(126:126,E44,127:127)-SUMIF(126:126,C44,127:127)+100</f>
        <v>98</v>
      </c>
      <c r="G44" s="2965">
        <f>C126</f>
        <v>2021.1</v>
      </c>
      <c r="H44" s="136">
        <f>SUMIF(126:126,G44,127:127)-SUMIF(126:126,C44,127:127)+100</f>
        <v>100</v>
      </c>
      <c r="I44" s="469">
        <f>D126</f>
        <v>2020.12</v>
      </c>
      <c r="J44" s="136">
        <f>SUMIF(126:126,I44,127:127)-SUMIF(126:126,C44,127:127)+100</f>
        <v>102</v>
      </c>
      <c r="K44" s="2599"/>
      <c r="L44" s="1132"/>
      <c r="M44" s="1133"/>
      <c r="N44" s="1133"/>
      <c r="O44" s="1133"/>
      <c r="P44" s="3250"/>
      <c r="Q44" s="1795" t="str">
        <f t="shared" si="11"/>
        <v>交房时间</v>
      </c>
      <c r="R44" s="770" t="s">
        <v>21</v>
      </c>
      <c r="S44" s="771">
        <f t="shared" si="12"/>
        <v>98</v>
      </c>
      <c r="T44" s="770" t="s">
        <v>21</v>
      </c>
      <c r="U44" s="771">
        <f t="shared" si="13"/>
        <v>100</v>
      </c>
      <c r="V44" s="770" t="s">
        <v>21</v>
      </c>
      <c r="W44" s="771">
        <f t="shared" si="14"/>
        <v>102</v>
      </c>
      <c r="X44" s="772"/>
      <c r="Y44" s="3252"/>
      <c r="Z44" s="55" t="str">
        <f t="shared" si="18"/>
        <v>交房时间</v>
      </c>
      <c r="AA44" s="773">
        <f t="shared" si="15"/>
        <v>1.0204081632653061</v>
      </c>
      <c r="AB44" s="773">
        <f t="shared" si="16"/>
        <v>1</v>
      </c>
      <c r="AC44" s="773">
        <f t="shared" si="17"/>
        <v>0.98039215686274506</v>
      </c>
    </row>
    <row r="45" spans="1:29" ht="15.75" thickBot="1">
      <c r="A45" s="472"/>
      <c r="B45" s="2957" t="s">
        <v>3091</v>
      </c>
      <c r="C45" s="434" t="str">
        <f>C128</f>
        <v>一梯多户</v>
      </c>
      <c r="D45" s="435">
        <v>100</v>
      </c>
      <c r="E45" s="434" t="str">
        <f>C45</f>
        <v>一梯多户</v>
      </c>
      <c r="F45" s="461">
        <f>SUMIF(128:128,E45,129:129)-SUMIF(128:128,C45,129:129)+100</f>
        <v>100</v>
      </c>
      <c r="G45" s="2967" t="s">
        <v>3109</v>
      </c>
      <c r="H45" s="435">
        <f>SUMIF(128:128,G45,129:129)-SUMIF(128:128,C45,129:129)+100</f>
        <v>100</v>
      </c>
      <c r="I45" s="434" t="str">
        <f>C45</f>
        <v>一梯多户</v>
      </c>
      <c r="J45" s="435">
        <f>SUMIF(128:128,I45,129:129)-SUMIF(128:128,C45,129:129)+100</f>
        <v>100</v>
      </c>
      <c r="K45" s="2599"/>
      <c r="L45" s="1140"/>
      <c r="M45" s="1131"/>
      <c r="N45" s="1131"/>
      <c r="O45" s="1131"/>
      <c r="P45" s="3250"/>
      <c r="Q45" s="1810" t="str">
        <f t="shared" si="11"/>
        <v>梯户比</v>
      </c>
      <c r="R45" s="774" t="s">
        <v>21</v>
      </c>
      <c r="S45" s="775">
        <f t="shared" si="12"/>
        <v>100</v>
      </c>
      <c r="T45" s="774" t="s">
        <v>21</v>
      </c>
      <c r="U45" s="775">
        <f t="shared" si="13"/>
        <v>100</v>
      </c>
      <c r="V45" s="774" t="s">
        <v>21</v>
      </c>
      <c r="W45" s="775">
        <f t="shared" si="14"/>
        <v>100</v>
      </c>
      <c r="X45" s="1813"/>
      <c r="Y45" s="3252"/>
      <c r="Z45" s="1814" t="str">
        <f t="shared" si="18"/>
        <v>梯户比</v>
      </c>
      <c r="AA45" s="1811">
        <f t="shared" si="15"/>
        <v>1</v>
      </c>
      <c r="AB45" s="1811">
        <f t="shared" si="16"/>
        <v>1</v>
      </c>
      <c r="AC45" s="1811">
        <f t="shared" si="17"/>
        <v>1</v>
      </c>
    </row>
    <row r="46" spans="1:29" ht="15.75" hidden="1"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1"/>
      <c r="Q46" s="1810">
        <f t="shared" si="11"/>
        <v>111</v>
      </c>
      <c r="R46" s="774" t="s">
        <v>20</v>
      </c>
      <c r="S46" s="775">
        <f t="shared" si="12"/>
        <v>100</v>
      </c>
      <c r="T46" s="774" t="s">
        <v>20</v>
      </c>
      <c r="U46" s="775">
        <f t="shared" si="13"/>
        <v>100</v>
      </c>
      <c r="V46" s="774" t="s">
        <v>20</v>
      </c>
      <c r="W46" s="775">
        <f t="shared" si="14"/>
        <v>100</v>
      </c>
      <c r="X46" s="1813"/>
      <c r="Y46" s="3253"/>
      <c r="Z46" s="1814">
        <f t="shared" si="18"/>
        <v>111</v>
      </c>
      <c r="AA46" s="1811">
        <f t="shared" si="15"/>
        <v>1</v>
      </c>
      <c r="AB46" s="1811">
        <f t="shared" si="16"/>
        <v>1</v>
      </c>
      <c r="AC46" s="1811">
        <f t="shared" si="17"/>
        <v>1</v>
      </c>
    </row>
    <row r="47" spans="1:29" ht="15">
      <c r="A47" s="479" t="s">
        <v>2576</v>
      </c>
      <c r="B47" s="480"/>
      <c r="C47" s="1407" t="s">
        <v>19</v>
      </c>
      <c r="D47" s="1408"/>
      <c r="E47" s="1409">
        <v>44766</v>
      </c>
      <c r="F47" s="1410"/>
      <c r="G47" s="1411">
        <v>44362</v>
      </c>
      <c r="H47" s="1412"/>
      <c r="I47" s="1409">
        <v>50599</v>
      </c>
      <c r="J47" s="1412"/>
      <c r="K47" s="2619"/>
      <c r="L47" s="1143"/>
      <c r="M47" s="1144"/>
      <c r="N47" s="1131"/>
      <c r="O47" s="1144"/>
      <c r="P47" s="3245" t="str">
        <f>A47</f>
        <v>成交单价（元/平方米）</v>
      </c>
      <c r="Q47" s="3245"/>
      <c r="R47" s="3246">
        <f>E47</f>
        <v>44766</v>
      </c>
      <c r="S47" s="3246"/>
      <c r="T47" s="3246">
        <f>G47</f>
        <v>44362</v>
      </c>
      <c r="U47" s="3246"/>
      <c r="V47" s="3246">
        <f>I47</f>
        <v>50599</v>
      </c>
      <c r="W47" s="3246"/>
      <c r="X47" s="759"/>
      <c r="Y47" s="781"/>
      <c r="Z47" s="759"/>
      <c r="AA47" s="759"/>
      <c r="AB47" s="759"/>
      <c r="AC47" s="759"/>
    </row>
    <row r="48" spans="1:29" ht="15.75" thickBot="1">
      <c r="A48" s="486" t="s">
        <v>2577</v>
      </c>
      <c r="B48" s="487"/>
      <c r="C48" s="1413">
        <f>R49</f>
        <v>47975</v>
      </c>
      <c r="D48" s="1414"/>
      <c r="E48" s="1415">
        <f>R48</f>
        <v>46612</v>
      </c>
      <c r="F48" s="1415"/>
      <c r="G48" s="1413">
        <f>T48</f>
        <v>48157</v>
      </c>
      <c r="H48" s="1414"/>
      <c r="I48" s="1415">
        <f>V48</f>
        <v>49155</v>
      </c>
      <c r="J48" s="1414"/>
      <c r="K48" s="2620"/>
      <c r="L48" s="1143"/>
      <c r="M48" s="1144"/>
      <c r="N48" s="1144"/>
      <c r="O48" s="1144"/>
      <c r="P48" s="3245" t="str">
        <f>A48</f>
        <v>比较价值（元/平方米）</v>
      </c>
      <c r="Q48" s="3245"/>
      <c r="R48" s="3246">
        <f>IF(F1="售价",ROUND(PRODUCT(R47,AA7:AA46),0),ROUND(PRODUCT(R47,AA7:AA46),1))</f>
        <v>46612</v>
      </c>
      <c r="S48" s="3246"/>
      <c r="T48" s="3246">
        <f>IF(F1="售价",ROUND(PRODUCT(T47,AB7:AB46),0),ROUND(PRODUCT(T47,AB7:AB46),1))</f>
        <v>48157</v>
      </c>
      <c r="U48" s="3246"/>
      <c r="V48" s="3246">
        <f>IF(F1="售价",ROUND(PRODUCT(V47,AC7:AC46),0),ROUND(PRODUCT(V47,AC7:AC46),1))</f>
        <v>49155</v>
      </c>
      <c r="W48" s="3246"/>
      <c r="X48" s="759"/>
      <c r="Y48" s="759"/>
      <c r="Z48" s="759"/>
      <c r="AA48" s="759"/>
      <c r="AB48" s="759"/>
      <c r="AC48" s="759"/>
    </row>
    <row r="49" spans="1:29" ht="15.75" thickBot="1">
      <c r="A49" s="492" t="s">
        <v>2578</v>
      </c>
      <c r="B49" s="493"/>
      <c r="C49" s="1416">
        <f>R49</f>
        <v>47975</v>
      </c>
      <c r="D49" s="1417"/>
      <c r="E49" s="1417"/>
      <c r="F49" s="1417"/>
      <c r="G49" s="1417"/>
      <c r="H49" s="1417"/>
      <c r="I49" s="1417"/>
      <c r="J49" s="1417"/>
      <c r="K49" s="2621"/>
      <c r="L49" s="1143"/>
      <c r="M49" s="1144"/>
      <c r="N49" s="1144"/>
      <c r="O49" s="1144"/>
      <c r="P49" s="3242" t="str">
        <f>A49</f>
        <v>估价对象XX用房的比较价值（楼面单价，元/平方米）</v>
      </c>
      <c r="Q49" s="3243"/>
      <c r="R49" s="3244">
        <f>IF(F1="售价",ROUND(AVERAGE(R48:V48),0),ROUND(AVERAGE(R48:V48),1))</f>
        <v>47975</v>
      </c>
      <c r="S49" s="3244"/>
      <c r="T49" s="3244"/>
      <c r="U49" s="3244"/>
      <c r="V49" s="3244"/>
      <c r="W49" s="324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f>IF(E47&lt;E48,E48/E47-1,E47/E48-1)</f>
        <v>4.1236652816869945E-2</v>
      </c>
      <c r="F52" s="500" t="str">
        <f>IF(OR(E52&gt;=0.3,E52&lt;=-0.3),"超过30%","")</f>
        <v/>
      </c>
      <c r="G52" s="499">
        <f>IF(G47&lt;G48,G48/G47-1,G47/G48-1)</f>
        <v>8.5546188179072225E-2</v>
      </c>
      <c r="H52" s="500" t="str">
        <f>IF(OR(G52&gt;=0.3,G52&lt;=-0.3),"超过30%","")</f>
        <v/>
      </c>
      <c r="I52" s="499">
        <f>IF(I47&lt;I48,I48/I47-1,I47/I48-1)</f>
        <v>2.9376462211372134E-2</v>
      </c>
      <c r="J52" s="500" t="str">
        <f>IF(OR(I52&gt;=0.3,I52&lt;=-0.3),"超过30%","")</f>
        <v/>
      </c>
      <c r="K52" s="1105"/>
      <c r="L52" s="1106"/>
      <c r="M52" s="1144"/>
      <c r="N52" s="1144"/>
      <c r="O52" s="1144"/>
      <c r="R52" s="403">
        <f>ROUND(PRODUCT(1,AA7:AA45),5)</f>
        <v>1.0412300000000001</v>
      </c>
      <c r="T52" s="403">
        <f>ROUND(PRODUCT(1,AB7:AB45),5)</f>
        <v>1.0855399999999999</v>
      </c>
      <c r="V52" s="403">
        <f>ROUND(PRODUCT(1,AC7:AC45),5)</f>
        <v>0.97146999999999994</v>
      </c>
    </row>
    <row r="53" spans="1:29" ht="13.5" customHeight="1">
      <c r="A53" s="1144"/>
      <c r="B53" s="1144"/>
      <c r="C53" s="497" t="s">
        <v>2580</v>
      </c>
      <c r="D53" s="501"/>
      <c r="E53" s="499">
        <f>IF(E48&lt;G48,G48/E48-1,E48/G48-1)</f>
        <v>3.3145970994593599E-2</v>
      </c>
      <c r="F53" s="500" t="str">
        <f>IF(OR(E53&gt;=0.2,E53&lt;=-0.2),"超过20%","")</f>
        <v/>
      </c>
      <c r="G53" s="499">
        <f>IF(G48&lt;I48,I48/G48-1,G48/I48-1)</f>
        <v>2.0723882301638463E-2</v>
      </c>
      <c r="H53" s="500" t="str">
        <f>IF(OR(G53&gt;=0.2,G53&lt;=-0.2),"超过20%","")</f>
        <v/>
      </c>
      <c r="I53" s="499">
        <f>IF(I48&lt;E48,E48/I48-1,I48/E48-1)</f>
        <v>5.4556766497897646E-2</v>
      </c>
      <c r="J53" s="500" t="str">
        <f>IF(OR(I53&gt;=0.2,I53&lt;=-0.2),"超过20%","")</f>
        <v/>
      </c>
      <c r="K53" s="1105"/>
      <c r="L53" s="1106"/>
      <c r="M53" s="1144"/>
      <c r="N53" s="1144"/>
      <c r="O53" s="1144"/>
    </row>
    <row r="54" spans="1:29" s="502" customFormat="1" ht="13.5" customHeight="1">
      <c r="A54" s="1145"/>
      <c r="B54" s="1145"/>
      <c r="C54" s="497" t="s">
        <v>2581</v>
      </c>
      <c r="D54" s="501"/>
      <c r="E54" s="499">
        <f>IF(E47&lt;G47,G47/E47-1,E47/G47-1)</f>
        <v>9.1068932870475017E-3</v>
      </c>
      <c r="F54" s="500" t="str">
        <f>IF(OR(E54&gt;=0.3,E54&lt;=-0.3),"超过30%","")</f>
        <v/>
      </c>
      <c r="G54" s="499">
        <f>IF(G47&lt;I47,I47/G47-1,G47/I47-1)</f>
        <v>0.14059330057256214</v>
      </c>
      <c r="H54" s="500" t="str">
        <f>IF(OR(G54&gt;=0.3,G54&lt;=-0.3),"超过30%","")</f>
        <v/>
      </c>
      <c r="I54" s="499">
        <f>IF(I47&lt;E47,E47/I47-1,I47/E47-1)</f>
        <v>0.1302997810838582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4"/>
      <c r="Q57" s="504"/>
    </row>
    <row r="58" spans="1:29" s="508" customFormat="1" ht="15">
      <c r="A58" s="505" t="s">
        <v>2583</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2978" t="s">
        <v>3126</v>
      </c>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2557</v>
      </c>
      <c r="C67" s="547" t="str">
        <f>C68&amp;"（含）"&amp;"-"&amp;D68</f>
        <v>0（含）-2</v>
      </c>
      <c r="D67" s="547" t="str">
        <f t="shared" ref="D67:L67" si="21">D68&amp;"（含）"&amp;"-"&amp;E68</f>
        <v>2（含）-2.5</v>
      </c>
      <c r="E67" s="547" t="str">
        <f t="shared" si="21"/>
        <v>2.5（含）-3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2</v>
      </c>
      <c r="E68" s="549">
        <v>2.5</v>
      </c>
      <c r="F68" s="549">
        <v>3</v>
      </c>
      <c r="G68" s="549"/>
      <c r="H68" s="549"/>
      <c r="I68" s="549"/>
      <c r="J68" s="549"/>
      <c r="K68" s="550"/>
      <c r="L68" s="551"/>
      <c r="M68" s="552"/>
      <c r="N68" s="1152"/>
      <c r="O68" s="1152"/>
      <c r="P68" s="2628"/>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2610</v>
      </c>
      <c r="C88" s="2956" t="s">
        <v>3093</v>
      </c>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27.75" thickTop="1">
      <c r="A90" s="553"/>
      <c r="B90" s="538" t="str">
        <f>B27</f>
        <v>临路状况</v>
      </c>
      <c r="C90" s="2956" t="s">
        <v>3095</v>
      </c>
      <c r="D90" s="2956" t="s">
        <v>3096</v>
      </c>
      <c r="E90" s="2956" t="s">
        <v>3105</v>
      </c>
      <c r="F90" s="554"/>
      <c r="G90" s="554"/>
      <c r="H90" s="555"/>
      <c r="I90" s="555"/>
      <c r="J90" s="555"/>
      <c r="K90" s="555"/>
      <c r="L90" s="556"/>
      <c r="M90" s="557"/>
      <c r="N90" s="1154"/>
      <c r="O90" s="1154"/>
      <c r="P90" s="2629"/>
      <c r="Q90" s="559"/>
    </row>
    <row r="91" spans="1:17" s="471" customFormat="1" ht="15.75" thickBot="1">
      <c r="A91" s="553"/>
      <c r="B91" s="543"/>
      <c r="C91" s="560">
        <v>100</v>
      </c>
      <c r="D91" s="560">
        <v>100</v>
      </c>
      <c r="E91" s="560">
        <v>100</v>
      </c>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2611</v>
      </c>
      <c r="C100" s="2955" t="s">
        <v>3107</v>
      </c>
      <c r="D100" s="2955" t="s">
        <v>3108</v>
      </c>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15.75" thickTop="1">
      <c r="A102" s="534"/>
      <c r="B102" s="538" t="s">
        <v>2612</v>
      </c>
      <c r="C102" s="578" t="str">
        <f>C103&amp;"(含)"&amp;"-"&amp;D103</f>
        <v>50000(含)-12000</v>
      </c>
      <c r="D102" s="578" t="str">
        <f t="shared" ref="D102:L102" si="27">D103&amp;"(含)"&amp;"-"&amp;E103</f>
        <v>12000(含)-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50000</v>
      </c>
      <c r="D103" s="595">
        <v>12000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c r="E104" s="536"/>
      <c r="F104" s="536"/>
      <c r="G104" s="536"/>
      <c r="H104" s="536"/>
      <c r="I104" s="536"/>
      <c r="J104" s="536"/>
      <c r="K104" s="536"/>
      <c r="L104" s="536"/>
      <c r="M104" s="536"/>
      <c r="N104" s="1153"/>
      <c r="O104" s="1153"/>
      <c r="P104" s="2629"/>
      <c r="Q104" s="559"/>
    </row>
    <row r="105" spans="1:17" ht="15" thickTop="1">
      <c r="A105" s="599"/>
      <c r="B105" s="538" t="s">
        <v>2613</v>
      </c>
      <c r="C105" s="2956" t="s">
        <v>3090</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2614</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2615</v>
      </c>
      <c r="C109" s="2956" t="s">
        <v>3097</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2616</v>
      </c>
      <c r="C114" s="2956" t="s">
        <v>3099</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2617</v>
      </c>
      <c r="C116" s="2956" t="s">
        <v>3100</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2618</v>
      </c>
      <c r="C118" s="2963" t="s">
        <v>3102</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2573</v>
      </c>
      <c r="C120" s="554" t="s">
        <v>3073</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2619</v>
      </c>
      <c r="C122" s="2956" t="s">
        <v>3078</v>
      </c>
      <c r="D122" s="2956" t="s">
        <v>3076</v>
      </c>
      <c r="E122" s="2956" t="s">
        <v>3080</v>
      </c>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t="str">
        <f>B44</f>
        <v>交房时间</v>
      </c>
      <c r="C126" s="2958">
        <v>2021.1</v>
      </c>
      <c r="D126" s="554">
        <v>2020.12</v>
      </c>
      <c r="E126" s="554"/>
      <c r="F126" s="2958">
        <v>2022.1</v>
      </c>
      <c r="G126" s="554">
        <v>2021.9</v>
      </c>
      <c r="H126" s="555"/>
      <c r="I126" s="555"/>
      <c r="J126" s="555"/>
      <c r="K126" s="555"/>
      <c r="L126" s="556"/>
      <c r="M126" s="557"/>
      <c r="N126" s="1154"/>
      <c r="O126" s="1154"/>
      <c r="P126" s="2629"/>
      <c r="Q126" s="559"/>
    </row>
    <row r="127" spans="1:17" s="471" customFormat="1" ht="15.75" thickBot="1">
      <c r="A127" s="553"/>
      <c r="B127" s="543"/>
      <c r="C127" s="560">
        <v>100</v>
      </c>
      <c r="D127" s="536">
        <v>102</v>
      </c>
      <c r="E127" s="536"/>
      <c r="F127" s="536">
        <v>98</v>
      </c>
      <c r="G127" s="560">
        <v>100</v>
      </c>
      <c r="H127" s="562"/>
      <c r="I127" s="562"/>
      <c r="J127" s="562"/>
      <c r="K127" s="562"/>
      <c r="L127" s="562"/>
      <c r="M127" s="563"/>
      <c r="N127" s="1154"/>
      <c r="O127" s="1154"/>
      <c r="P127" s="2629"/>
      <c r="Q127" s="559"/>
    </row>
    <row r="128" spans="1:17" ht="15" thickTop="1">
      <c r="A128" s="599"/>
      <c r="B128" s="538" t="str">
        <f>B45</f>
        <v>梯户比</v>
      </c>
      <c r="C128" s="2956" t="s">
        <v>3103</v>
      </c>
      <c r="D128" s="554"/>
      <c r="E128" s="554"/>
      <c r="F128" s="554"/>
      <c r="G128" s="583"/>
      <c r="H128" s="583"/>
      <c r="I128" s="583"/>
      <c r="J128" s="583"/>
      <c r="K128" s="584"/>
      <c r="L128" s="585"/>
      <c r="M128" s="586"/>
      <c r="N128" s="1152"/>
      <c r="O128" s="1152"/>
      <c r="P128" s="2628"/>
      <c r="Q128" s="504"/>
    </row>
    <row r="129" spans="1:17" ht="15.75" thickBot="1">
      <c r="A129" s="534"/>
      <c r="B129" s="543"/>
      <c r="C129" s="2964">
        <v>100</v>
      </c>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4">
        <v>6</v>
      </c>
      <c r="C139" s="1085">
        <v>96</v>
      </c>
      <c r="D139" s="2646" t="s">
        <v>2630</v>
      </c>
      <c r="E139" s="1086">
        <v>100</v>
      </c>
      <c r="F139" s="1087">
        <v>102.5</v>
      </c>
      <c r="G139" s="2646" t="s">
        <v>2630</v>
      </c>
      <c r="H139" s="1088">
        <v>105</v>
      </c>
      <c r="I139" s="2647" t="s">
        <v>2631</v>
      </c>
      <c r="J139" s="1085">
        <v>20</v>
      </c>
      <c r="K139" s="1089">
        <f>C145/(J139-2)</f>
        <v>4.0555555555555553E-3</v>
      </c>
    </row>
    <row r="140" spans="1:17" ht="15">
      <c r="B140" s="1090">
        <v>5</v>
      </c>
      <c r="C140" s="1091">
        <v>100</v>
      </c>
      <c r="D140" s="1091"/>
      <c r="E140" s="1092"/>
      <c r="F140" s="1093">
        <v>102</v>
      </c>
      <c r="G140" s="1091"/>
      <c r="H140" s="1094"/>
      <c r="I140" s="2648" t="s">
        <v>2632</v>
      </c>
      <c r="J140" s="315">
        <f>ROUNDUP((J139-1)/2,0)</f>
        <v>10</v>
      </c>
      <c r="K140" s="1095">
        <v>100</v>
      </c>
    </row>
    <row r="141" spans="1:17" ht="15">
      <c r="B141" s="1090">
        <v>4</v>
      </c>
      <c r="C141" s="1091">
        <v>102</v>
      </c>
      <c r="D141" s="1091"/>
      <c r="E141" s="1092"/>
      <c r="F141" s="1093">
        <v>101.5</v>
      </c>
      <c r="G141" s="1091"/>
      <c r="H141" s="1094"/>
      <c r="I141" s="2648" t="s">
        <v>2633</v>
      </c>
      <c r="J141" s="315">
        <v>1</v>
      </c>
      <c r="K141" s="1096">
        <f>ROUND(100+(J141-J140)*K139*100,1)</f>
        <v>96.4</v>
      </c>
    </row>
    <row r="142" spans="1:17" ht="15">
      <c r="B142" s="1090">
        <v>3</v>
      </c>
      <c r="C142" s="1091">
        <v>103</v>
      </c>
      <c r="D142" s="1091"/>
      <c r="E142" s="1092"/>
      <c r="F142" s="1093">
        <v>101</v>
      </c>
      <c r="G142" s="1091"/>
      <c r="H142" s="1094"/>
      <c r="I142" s="2648" t="s">
        <v>2634</v>
      </c>
      <c r="J142" s="315">
        <f>J139</f>
        <v>20</v>
      </c>
      <c r="K142" s="1097">
        <v>95</v>
      </c>
    </row>
    <row r="143" spans="1:17" ht="15">
      <c r="B143" s="1090">
        <v>2</v>
      </c>
      <c r="C143" s="1091">
        <v>100</v>
      </c>
      <c r="D143" s="1091"/>
      <c r="E143" s="1092"/>
      <c r="F143" s="1093">
        <v>100.5</v>
      </c>
      <c r="G143" s="1091"/>
      <c r="H143" s="1094"/>
      <c r="I143" s="2648" t="s">
        <v>2635</v>
      </c>
      <c r="J143" s="1091">
        <v>15</v>
      </c>
      <c r="K143" s="1096">
        <f>ROUND(100+(J143-J140)*K139*100,1)</f>
        <v>102</v>
      </c>
    </row>
    <row r="144" spans="1:17" ht="15">
      <c r="B144" s="1090">
        <v>1</v>
      </c>
      <c r="C144" s="1091">
        <v>98</v>
      </c>
      <c r="D144" s="2649" t="s">
        <v>2636</v>
      </c>
      <c r="E144" s="1092">
        <v>102</v>
      </c>
      <c r="F144" s="1098">
        <v>100</v>
      </c>
      <c r="G144" s="2649" t="s">
        <v>2636</v>
      </c>
      <c r="H144" s="1094">
        <v>105</v>
      </c>
      <c r="I144" s="2648" t="s">
        <v>2635</v>
      </c>
      <c r="J144" s="1091">
        <v>18</v>
      </c>
      <c r="K144" s="1096">
        <f>ROUND(100+(J144-J140)*K139*100,1)</f>
        <v>103.2</v>
      </c>
    </row>
    <row r="145" spans="2:11" ht="15.75" thickBot="1">
      <c r="B145" s="2650" t="s">
        <v>2637</v>
      </c>
      <c r="C145" s="1099">
        <f>ROUND(MAX(C139:C144)/MIN(C139:C144)-1,3)</f>
        <v>7.2999999999999995E-2</v>
      </c>
      <c r="D145" s="1100"/>
      <c r="E145" s="1100"/>
      <c r="F145" s="2651" t="s">
        <v>2638</v>
      </c>
      <c r="G145" s="2652"/>
      <c r="H145" s="2653"/>
      <c r="I145" s="2654" t="s">
        <v>2635</v>
      </c>
      <c r="J145" s="1101">
        <v>8</v>
      </c>
      <c r="K145" s="1102">
        <f>ROUND(100+(J145-J140)*K139*100,1)</f>
        <v>99.2</v>
      </c>
    </row>
    <row r="147" spans="2:11">
      <c r="B147" s="2635" t="s">
        <v>2639</v>
      </c>
    </row>
    <row r="148" spans="2:11">
      <c r="B148" s="263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2641</v>
      </c>
      <c r="C1" s="1634" t="s">
        <v>2529</v>
      </c>
      <c r="D1" s="1621"/>
      <c r="E1" s="2655"/>
      <c r="F1" s="2582"/>
      <c r="G1" s="1631" t="s">
        <v>2642</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2643</v>
      </c>
      <c r="D3" s="399">
        <f>IF(D1="",'数据-汇总表'!E3,SUMIF('数据-汇总表'!$C19:$C33,D1,'数据-汇总表'!$E19:$E33))</f>
        <v>86971.4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2644</v>
      </c>
      <c r="B4" s="402"/>
      <c r="C4" s="3228" t="s">
        <v>2645</v>
      </c>
      <c r="D4" s="3229"/>
      <c r="E4" s="3230" t="s">
        <v>2646</v>
      </c>
      <c r="F4" s="3231"/>
      <c r="G4" s="3228" t="s">
        <v>2647</v>
      </c>
      <c r="H4" s="3229"/>
      <c r="I4" s="3228" t="s">
        <v>2648</v>
      </c>
      <c r="J4" s="3229"/>
      <c r="K4" s="610" t="s">
        <v>2649</v>
      </c>
      <c r="L4" s="1130"/>
      <c r="M4" s="1131"/>
      <c r="N4" s="1131"/>
      <c r="O4" s="1131"/>
      <c r="P4" s="3232" t="s">
        <v>2650</v>
      </c>
      <c r="Q4" s="3233"/>
      <c r="R4" s="3214" t="s">
        <v>2646</v>
      </c>
      <c r="S4" s="3215"/>
      <c r="T4" s="3214" t="s">
        <v>2647</v>
      </c>
      <c r="U4" s="3215"/>
      <c r="V4" s="3240" t="s">
        <v>2648</v>
      </c>
      <c r="W4" s="3240"/>
      <c r="X4" s="1813"/>
      <c r="Y4" s="3214" t="s">
        <v>2650</v>
      </c>
      <c r="Z4" s="3215"/>
      <c r="AA4" s="3209" t="s">
        <v>2646</v>
      </c>
      <c r="AB4" s="3240" t="s">
        <v>2647</v>
      </c>
      <c r="AC4" s="3209" t="s">
        <v>2648</v>
      </c>
    </row>
    <row r="5" spans="1:29" ht="15">
      <c r="A5" s="404"/>
      <c r="B5" s="405"/>
      <c r="C5" s="3257" t="s">
        <v>2541</v>
      </c>
      <c r="D5" s="3221"/>
      <c r="E5" s="3256" t="s">
        <v>2542</v>
      </c>
      <c r="F5" s="3219"/>
      <c r="G5" s="3257" t="s">
        <v>2543</v>
      </c>
      <c r="H5" s="3221"/>
      <c r="I5" s="3257" t="s">
        <v>2544</v>
      </c>
      <c r="J5" s="3221"/>
      <c r="K5" s="610"/>
      <c r="L5" s="1130"/>
      <c r="M5" s="1131"/>
      <c r="N5" s="1131"/>
      <c r="O5" s="1131"/>
      <c r="P5" s="3234"/>
      <c r="Q5" s="3235"/>
      <c r="R5" s="3216"/>
      <c r="S5" s="3217"/>
      <c r="T5" s="3216"/>
      <c r="U5" s="3217"/>
      <c r="V5" s="3240"/>
      <c r="W5" s="3240"/>
      <c r="X5" s="1813"/>
      <c r="Y5" s="3216"/>
      <c r="Z5" s="3217"/>
      <c r="AA5" s="3210"/>
      <c r="AB5" s="3240"/>
      <c r="AC5" s="3210"/>
    </row>
    <row r="6" spans="1:29" ht="15.75" thickBot="1">
      <c r="A6" s="406"/>
      <c r="B6" s="407"/>
      <c r="C6" s="3226" t="s">
        <v>2545</v>
      </c>
      <c r="D6" s="3223"/>
      <c r="E6" s="3224" t="s">
        <v>2545</v>
      </c>
      <c r="F6" s="3225"/>
      <c r="G6" s="3226" t="s">
        <v>2545</v>
      </c>
      <c r="H6" s="3223"/>
      <c r="I6" s="3226" t="s">
        <v>2545</v>
      </c>
      <c r="J6" s="3223"/>
      <c r="K6" s="610" t="s">
        <v>2546</v>
      </c>
      <c r="L6" s="1130"/>
      <c r="M6" s="1131"/>
      <c r="N6" s="1131"/>
      <c r="O6" s="1131"/>
      <c r="P6" s="3236"/>
      <c r="Q6" s="3237"/>
      <c r="R6" s="3216"/>
      <c r="S6" s="3217"/>
      <c r="T6" s="3238"/>
      <c r="U6" s="3239"/>
      <c r="V6" s="3240"/>
      <c r="W6" s="3240"/>
      <c r="X6" s="1813"/>
      <c r="Y6" s="3238"/>
      <c r="Z6" s="3239"/>
      <c r="AA6" s="3211"/>
      <c r="AB6" s="3240"/>
      <c r="AC6" s="3211"/>
    </row>
    <row r="7" spans="1:29" s="117" customFormat="1" ht="15.75" thickBot="1">
      <c r="A7" s="408" t="s">
        <v>2547</v>
      </c>
      <c r="B7" s="409"/>
      <c r="C7" s="410">
        <f>'数据-取费表'!B2</f>
        <v>43847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2548</v>
      </c>
      <c r="Q7" s="3241"/>
      <c r="R7" s="770" t="s">
        <v>17</v>
      </c>
      <c r="S7" s="771">
        <f t="shared" ref="S7:S15" si="0">F7</f>
        <v>0</v>
      </c>
      <c r="T7" s="770" t="s">
        <v>17</v>
      </c>
      <c r="U7" s="771">
        <f t="shared" ref="U7:U15" si="1">H7</f>
        <v>0</v>
      </c>
      <c r="V7" s="770" t="s">
        <v>17</v>
      </c>
      <c r="W7" s="771">
        <f t="shared" ref="W7:W15" si="2">J7</f>
        <v>0</v>
      </c>
      <c r="X7" s="772"/>
      <c r="Y7" s="3212" t="s">
        <v>2548</v>
      </c>
      <c r="Z7" s="321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2551</v>
      </c>
      <c r="Q8" s="3213"/>
      <c r="R8" s="770" t="s">
        <v>17</v>
      </c>
      <c r="S8" s="771">
        <f t="shared" si="0"/>
        <v>0</v>
      </c>
      <c r="T8" s="770" t="s">
        <v>17</v>
      </c>
      <c r="U8" s="771">
        <f t="shared" si="1"/>
        <v>0</v>
      </c>
      <c r="V8" s="770" t="s">
        <v>17</v>
      </c>
      <c r="W8" s="771">
        <f t="shared" si="2"/>
        <v>0</v>
      </c>
      <c r="X8" s="772"/>
      <c r="Y8" s="3212" t="s">
        <v>2551</v>
      </c>
      <c r="Z8" s="321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7" t="s">
        <v>2554</v>
      </c>
      <c r="Q9" s="1795" t="str">
        <f t="shared" ref="Q9:Q15" si="6">B9</f>
        <v>用途</v>
      </c>
      <c r="R9" s="770" t="s">
        <v>17</v>
      </c>
      <c r="S9" s="771">
        <f t="shared" si="0"/>
        <v>100</v>
      </c>
      <c r="T9" s="770" t="s">
        <v>17</v>
      </c>
      <c r="U9" s="771">
        <f t="shared" si="1"/>
        <v>100</v>
      </c>
      <c r="V9" s="770" t="s">
        <v>17</v>
      </c>
      <c r="W9" s="771">
        <f t="shared" si="2"/>
        <v>100</v>
      </c>
      <c r="X9" s="772"/>
      <c r="Y9" s="305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7"/>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7"/>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7"/>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7"/>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7"/>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71.25">
      <c r="A15" s="440" t="s">
        <v>2558</v>
      </c>
      <c r="B15" s="69" t="s">
        <v>2652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4" t="s">
        <v>2559</v>
      </c>
      <c r="Q15" s="1810" t="str">
        <f t="shared" si="6"/>
        <v>商业繁华度</v>
      </c>
      <c r="R15" s="774" t="s">
        <v>17</v>
      </c>
      <c r="S15" s="775">
        <f t="shared" si="0"/>
        <v>100</v>
      </c>
      <c r="T15" s="774" t="s">
        <v>17</v>
      </c>
      <c r="U15" s="775">
        <f t="shared" si="1"/>
        <v>100</v>
      </c>
      <c r="V15" s="774" t="s">
        <v>17</v>
      </c>
      <c r="W15" s="775">
        <f t="shared" si="2"/>
        <v>100</v>
      </c>
      <c r="X15" s="1813"/>
      <c r="Y15" s="3247"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5"/>
      <c r="Q16" s="1810"/>
      <c r="R16" s="774"/>
      <c r="S16" s="775"/>
      <c r="T16" s="774"/>
      <c r="U16" s="775"/>
      <c r="V16" s="774"/>
      <c r="W16" s="775"/>
      <c r="X16" s="1813"/>
      <c r="Y16" s="3248"/>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5"/>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55"/>
      <c r="Q18" s="1810"/>
      <c r="R18" s="774"/>
      <c r="S18" s="775"/>
      <c r="T18" s="774"/>
      <c r="U18" s="775"/>
      <c r="V18" s="774"/>
      <c r="W18" s="775"/>
      <c r="X18" s="1813"/>
      <c r="Y18" s="3248"/>
      <c r="Z18" s="1814"/>
      <c r="AA18" s="1811">
        <v>1</v>
      </c>
      <c r="AB18" s="1811">
        <v>1</v>
      </c>
      <c r="AC18" s="1811">
        <v>1</v>
      </c>
    </row>
    <row r="19" spans="1:29" ht="42.75">
      <c r="A19" s="428"/>
      <c r="B19" s="451" t="s">
        <v>2653</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5"/>
      <c r="Q19" s="1810" t="str">
        <f>B19</f>
        <v>公共配套设施</v>
      </c>
      <c r="R19" s="774" t="s">
        <v>17</v>
      </c>
      <c r="S19" s="775">
        <f>F19</f>
        <v>100</v>
      </c>
      <c r="T19" s="774" t="s">
        <v>17</v>
      </c>
      <c r="U19" s="775">
        <f>H19</f>
        <v>100</v>
      </c>
      <c r="V19" s="774" t="s">
        <v>17</v>
      </c>
      <c r="W19" s="775">
        <f>J19</f>
        <v>100</v>
      </c>
      <c r="X19" s="1813"/>
      <c r="Y19" s="324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55"/>
      <c r="Q20" s="1810"/>
      <c r="R20" s="774"/>
      <c r="S20" s="775"/>
      <c r="T20" s="774"/>
      <c r="U20" s="775"/>
      <c r="V20" s="774"/>
      <c r="W20" s="775"/>
      <c r="X20" s="1813"/>
      <c r="Y20" s="3248"/>
      <c r="Z20" s="1814"/>
      <c r="AA20" s="1811">
        <v>1</v>
      </c>
      <c r="AB20" s="1811">
        <v>1</v>
      </c>
      <c r="AC20" s="1811">
        <v>1</v>
      </c>
    </row>
    <row r="21" spans="1:29" ht="15">
      <c r="A21" s="428"/>
      <c r="B21" s="1384" t="s">
        <v>2654</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55"/>
      <c r="Q22" s="1810"/>
      <c r="R22" s="774"/>
      <c r="S22" s="775"/>
      <c r="T22" s="774"/>
      <c r="U22" s="775"/>
      <c r="V22" s="774"/>
      <c r="W22" s="775"/>
      <c r="X22" s="1813"/>
      <c r="Y22" s="3248"/>
      <c r="Z22" s="1814"/>
      <c r="AA22" s="1811">
        <v>1</v>
      </c>
      <c r="AB22" s="1811">
        <v>1</v>
      </c>
      <c r="AC22" s="1811">
        <v>1</v>
      </c>
    </row>
    <row r="23" spans="1:29" ht="114">
      <c r="A23" s="428"/>
      <c r="B23" s="451" t="s">
        <v>2100</v>
      </c>
      <c r="C23" s="2662" t="str">
        <f>估价对象房地状况!C9</f>
        <v>区域自然环境：体育公园、南海子公园、凉水河；人文环境：北京电子科技职业学院(亦庄校区)；综合评价环境状况一般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5"/>
      <c r="Q23" s="1810" t="str">
        <f>B23</f>
        <v>自然及人文环境</v>
      </c>
      <c r="R23" s="774" t="s">
        <v>17</v>
      </c>
      <c r="S23" s="775">
        <f>F23</f>
        <v>100</v>
      </c>
      <c r="T23" s="774" t="s">
        <v>17</v>
      </c>
      <c r="U23" s="775">
        <f>H23</f>
        <v>100</v>
      </c>
      <c r="V23" s="774" t="s">
        <v>17</v>
      </c>
      <c r="W23" s="775">
        <f>J23</f>
        <v>100</v>
      </c>
      <c r="X23" s="1813"/>
      <c r="Y23" s="3248"/>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55"/>
      <c r="Q24" s="1810"/>
      <c r="R24" s="774"/>
      <c r="S24" s="775"/>
      <c r="T24" s="774"/>
      <c r="U24" s="775"/>
      <c r="V24" s="774"/>
      <c r="W24" s="775"/>
      <c r="X24" s="1813"/>
      <c r="Y24" s="3248"/>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5"/>
      <c r="Q25" s="1810" t="str">
        <f t="shared" ref="Q25:Q46" si="11">B25</f>
        <v>临街状况</v>
      </c>
      <c r="R25" s="774" t="s">
        <v>17</v>
      </c>
      <c r="S25" s="775">
        <f>F25</f>
        <v>100</v>
      </c>
      <c r="T25" s="774" t="s">
        <v>17</v>
      </c>
      <c r="U25" s="775">
        <f>H25</f>
        <v>100</v>
      </c>
      <c r="V25" s="774" t="s">
        <v>17</v>
      </c>
      <c r="W25" s="775">
        <f>J25</f>
        <v>100</v>
      </c>
      <c r="X25" s="1813"/>
      <c r="Y25" s="3248"/>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5"/>
      <c r="Q26" s="1810" t="str">
        <f t="shared" si="11"/>
        <v>平面位置/可视性</v>
      </c>
      <c r="R26" s="774" t="s">
        <v>17</v>
      </c>
      <c r="S26" s="775">
        <f>F26</f>
        <v>100</v>
      </c>
      <c r="T26" s="774" t="s">
        <v>17</v>
      </c>
      <c r="U26" s="775">
        <f>H26</f>
        <v>100</v>
      </c>
      <c r="V26" s="774" t="s">
        <v>17</v>
      </c>
      <c r="W26" s="775">
        <f>J26</f>
        <v>100</v>
      </c>
      <c r="X26" s="1813"/>
      <c r="Y26" s="3248"/>
      <c r="Z26" s="1814" t="str">
        <f>Q26</f>
        <v>平面位置/可视性</v>
      </c>
      <c r="AA26" s="1811">
        <f t="shared" si="3"/>
        <v>1</v>
      </c>
      <c r="AB26" s="1811">
        <f t="shared" si="4"/>
        <v>1</v>
      </c>
      <c r="AC26" s="1811">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55"/>
      <c r="Q27" s="1795" t="str">
        <f t="shared" si="11"/>
        <v>人流量</v>
      </c>
      <c r="R27" s="770" t="s">
        <v>17</v>
      </c>
      <c r="S27" s="771">
        <f>F27</f>
        <v>100</v>
      </c>
      <c r="T27" s="770" t="s">
        <v>17</v>
      </c>
      <c r="U27" s="771">
        <f>H27</f>
        <v>100</v>
      </c>
      <c r="V27" s="770" t="s">
        <v>17</v>
      </c>
      <c r="W27" s="771">
        <f>J27</f>
        <v>100</v>
      </c>
      <c r="X27" s="772"/>
      <c r="Y27" s="3248"/>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5"/>
      <c r="Q29" s="1810">
        <f t="shared" si="11"/>
        <v>111</v>
      </c>
      <c r="R29" s="774" t="s">
        <v>17</v>
      </c>
      <c r="S29" s="775">
        <f t="shared" si="12"/>
        <v>100</v>
      </c>
      <c r="T29" s="774" t="s">
        <v>17</v>
      </c>
      <c r="U29" s="775">
        <f t="shared" si="13"/>
        <v>100</v>
      </c>
      <c r="V29" s="774" t="s">
        <v>17</v>
      </c>
      <c r="W29" s="775">
        <f t="shared" si="14"/>
        <v>100</v>
      </c>
      <c r="X29" s="1813"/>
      <c r="Y29" s="324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5"/>
      <c r="Q30" s="1810">
        <f t="shared" si="11"/>
        <v>111</v>
      </c>
      <c r="R30" s="774" t="s">
        <v>17</v>
      </c>
      <c r="S30" s="775">
        <f t="shared" si="12"/>
        <v>100</v>
      </c>
      <c r="T30" s="774" t="s">
        <v>17</v>
      </c>
      <c r="U30" s="775">
        <f t="shared" si="13"/>
        <v>100</v>
      </c>
      <c r="V30" s="774" t="s">
        <v>17</v>
      </c>
      <c r="W30" s="775">
        <f t="shared" si="14"/>
        <v>100</v>
      </c>
      <c r="X30" s="1813"/>
      <c r="Y30" s="324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5"/>
      <c r="Q31" s="1810">
        <f t="shared" si="11"/>
        <v>111</v>
      </c>
      <c r="R31" s="774" t="s">
        <v>17</v>
      </c>
      <c r="S31" s="775">
        <f t="shared" si="12"/>
        <v>100</v>
      </c>
      <c r="T31" s="774" t="s">
        <v>17</v>
      </c>
      <c r="U31" s="775">
        <f t="shared" si="13"/>
        <v>100</v>
      </c>
      <c r="V31" s="774" t="s">
        <v>17</v>
      </c>
      <c r="W31" s="775">
        <f t="shared" si="14"/>
        <v>100</v>
      </c>
      <c r="X31" s="1813"/>
      <c r="Y31" s="3248"/>
      <c r="Z31" s="1814">
        <f t="shared" si="15"/>
        <v>111</v>
      </c>
      <c r="AA31" s="1811">
        <f t="shared" si="3"/>
        <v>1</v>
      </c>
      <c r="AB31" s="1811">
        <f t="shared" si="4"/>
        <v>1</v>
      </c>
      <c r="AC31" s="1811">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49" t="s">
        <v>2564</v>
      </c>
      <c r="Q32" s="1810" t="str">
        <f t="shared" si="11"/>
        <v>商业类型</v>
      </c>
      <c r="R32" s="774" t="s">
        <v>17</v>
      </c>
      <c r="S32" s="775">
        <f t="shared" si="12"/>
        <v>100</v>
      </c>
      <c r="T32" s="774" t="s">
        <v>17</v>
      </c>
      <c r="U32" s="775">
        <f t="shared" si="13"/>
        <v>100</v>
      </c>
      <c r="V32" s="774" t="s">
        <v>17</v>
      </c>
      <c r="W32" s="775">
        <f t="shared" si="14"/>
        <v>100</v>
      </c>
      <c r="X32" s="1813"/>
      <c r="Y32" s="3252"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0"/>
      <c r="Q33" s="776" t="str">
        <f t="shared" si="11"/>
        <v>项目建筑规模</v>
      </c>
      <c r="R33" s="777" t="s">
        <v>17</v>
      </c>
      <c r="S33" s="778" t="e">
        <f t="shared" si="12"/>
        <v>#N/A</v>
      </c>
      <c r="T33" s="777" t="s">
        <v>17</v>
      </c>
      <c r="U33" s="778" t="e">
        <f t="shared" si="13"/>
        <v>#N/A</v>
      </c>
      <c r="V33" s="777" t="s">
        <v>17</v>
      </c>
      <c r="W33" s="778" t="e">
        <f t="shared" si="14"/>
        <v>#N/A</v>
      </c>
      <c r="X33" s="779"/>
      <c r="Y33" s="3252"/>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0"/>
      <c r="Q34" s="1810" t="str">
        <f t="shared" si="11"/>
        <v>建筑结构</v>
      </c>
      <c r="R34" s="774" t="s">
        <v>17</v>
      </c>
      <c r="S34" s="775">
        <f t="shared" si="12"/>
        <v>100</v>
      </c>
      <c r="T34" s="774" t="s">
        <v>17</v>
      </c>
      <c r="U34" s="775">
        <f t="shared" si="13"/>
        <v>100</v>
      </c>
      <c r="V34" s="774" t="s">
        <v>17</v>
      </c>
      <c r="W34" s="775">
        <f t="shared" si="14"/>
        <v>100</v>
      </c>
      <c r="X34" s="1813"/>
      <c r="Y34" s="3252"/>
      <c r="Z34" s="1814" t="str">
        <f t="shared" si="15"/>
        <v>建筑结构</v>
      </c>
      <c r="AA34" s="1811">
        <f t="shared" si="3"/>
        <v>1</v>
      </c>
      <c r="AB34" s="1811">
        <f t="shared" si="4"/>
        <v>1</v>
      </c>
      <c r="AC34" s="1811">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0"/>
      <c r="Q35" s="1810" t="str">
        <f t="shared" si="11"/>
        <v>公共部分装修</v>
      </c>
      <c r="R35" s="774" t="s">
        <v>17</v>
      </c>
      <c r="S35" s="775">
        <f t="shared" si="12"/>
        <v>100</v>
      </c>
      <c r="T35" s="774" t="s">
        <v>17</v>
      </c>
      <c r="U35" s="775">
        <f t="shared" si="13"/>
        <v>100</v>
      </c>
      <c r="V35" s="774" t="s">
        <v>17</v>
      </c>
      <c r="W35" s="775">
        <f t="shared" si="14"/>
        <v>100</v>
      </c>
      <c r="X35" s="1813"/>
      <c r="Y35" s="3252"/>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0"/>
      <c r="Q36" s="1810" t="str">
        <f t="shared" si="11"/>
        <v>成新度</v>
      </c>
      <c r="R36" s="774" t="s">
        <v>17</v>
      </c>
      <c r="S36" s="775" t="e">
        <f t="shared" si="12"/>
        <v>#N/A</v>
      </c>
      <c r="T36" s="774" t="s">
        <v>17</v>
      </c>
      <c r="U36" s="775" t="e">
        <f t="shared" si="13"/>
        <v>#N/A</v>
      </c>
      <c r="V36" s="774" t="s">
        <v>17</v>
      </c>
      <c r="W36" s="775" t="e">
        <f t="shared" si="14"/>
        <v>#N/A</v>
      </c>
      <c r="X36" s="1813"/>
      <c r="Y36" s="3252"/>
      <c r="Z36" s="1814" t="str">
        <f t="shared" si="15"/>
        <v>成新度</v>
      </c>
      <c r="AA36" s="1811" t="e">
        <f t="shared" si="3"/>
        <v>#N/A</v>
      </c>
      <c r="AB36" s="1811" t="e">
        <f t="shared" si="4"/>
        <v>#N/A</v>
      </c>
      <c r="AC36" s="1811"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0"/>
      <c r="Q37" s="1795" t="str">
        <f t="shared" si="11"/>
        <v>市政基础设施</v>
      </c>
      <c r="R37" s="770" t="s">
        <v>17</v>
      </c>
      <c r="S37" s="771">
        <f t="shared" si="12"/>
        <v>100</v>
      </c>
      <c r="T37" s="770" t="s">
        <v>17</v>
      </c>
      <c r="U37" s="771">
        <f t="shared" si="13"/>
        <v>100</v>
      </c>
      <c r="V37" s="770" t="s">
        <v>17</v>
      </c>
      <c r="W37" s="771">
        <f t="shared" si="14"/>
        <v>100</v>
      </c>
      <c r="X37" s="772"/>
      <c r="Y37" s="3252"/>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0" t="s">
        <v>2564</v>
      </c>
      <c r="Q38" s="1810" t="str">
        <f t="shared" si="11"/>
        <v>业态</v>
      </c>
      <c r="R38" s="774" t="s">
        <v>17</v>
      </c>
      <c r="S38" s="775">
        <f t="shared" si="12"/>
        <v>100</v>
      </c>
      <c r="T38" s="774" t="s">
        <v>17</v>
      </c>
      <c r="U38" s="775">
        <f t="shared" si="13"/>
        <v>100</v>
      </c>
      <c r="V38" s="774" t="s">
        <v>17</v>
      </c>
      <c r="W38" s="775">
        <f t="shared" si="14"/>
        <v>100</v>
      </c>
      <c r="X38" s="1813"/>
      <c r="Y38" s="3252" t="s">
        <v>2564</v>
      </c>
      <c r="Z38" s="1814" t="str">
        <f t="shared" si="15"/>
        <v>业态</v>
      </c>
      <c r="AA38" s="1811">
        <f t="shared" si="3"/>
        <v>1</v>
      </c>
      <c r="AB38" s="1811">
        <f t="shared" si="4"/>
        <v>1</v>
      </c>
      <c r="AC38" s="1811">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0"/>
      <c r="Q39" s="1810" t="str">
        <f t="shared" si="11"/>
        <v>层高</v>
      </c>
      <c r="R39" s="774" t="s">
        <v>17</v>
      </c>
      <c r="S39" s="775">
        <f t="shared" si="12"/>
        <v>100</v>
      </c>
      <c r="T39" s="774" t="s">
        <v>17</v>
      </c>
      <c r="U39" s="775">
        <f t="shared" si="13"/>
        <v>100</v>
      </c>
      <c r="V39" s="774" t="s">
        <v>17</v>
      </c>
      <c r="W39" s="775">
        <f t="shared" si="14"/>
        <v>100</v>
      </c>
      <c r="X39" s="1813"/>
      <c r="Y39" s="3252"/>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0"/>
      <c r="Q40" s="1810" t="str">
        <f t="shared" si="11"/>
        <v>单套建筑面积</v>
      </c>
      <c r="R40" s="774" t="s">
        <v>17</v>
      </c>
      <c r="S40" s="775">
        <f t="shared" si="12"/>
        <v>100</v>
      </c>
      <c r="T40" s="774" t="s">
        <v>17</v>
      </c>
      <c r="U40" s="775">
        <f t="shared" si="13"/>
        <v>100</v>
      </c>
      <c r="V40" s="774" t="s">
        <v>17</v>
      </c>
      <c r="W40" s="775">
        <f t="shared" si="14"/>
        <v>100</v>
      </c>
      <c r="X40" s="1813"/>
      <c r="Y40" s="3252"/>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0"/>
      <c r="Q41" s="776" t="str">
        <f t="shared" si="11"/>
        <v>进深比</v>
      </c>
      <c r="R41" s="777" t="s">
        <v>17</v>
      </c>
      <c r="S41" s="778">
        <f t="shared" si="12"/>
        <v>100</v>
      </c>
      <c r="T41" s="777" t="s">
        <v>17</v>
      </c>
      <c r="U41" s="778">
        <f t="shared" si="13"/>
        <v>100</v>
      </c>
      <c r="V41" s="777" t="s">
        <v>17</v>
      </c>
      <c r="W41" s="778">
        <f t="shared" si="14"/>
        <v>100</v>
      </c>
      <c r="X41" s="779"/>
      <c r="Y41" s="3252"/>
      <c r="Z41" s="780" t="str">
        <f t="shared" si="15"/>
        <v>进深比</v>
      </c>
      <c r="AA41" s="1811">
        <f t="shared" si="3"/>
        <v>1</v>
      </c>
      <c r="AB41" s="1811">
        <f t="shared" si="4"/>
        <v>1</v>
      </c>
      <c r="AC41" s="1811">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0"/>
      <c r="Q42" s="1810" t="str">
        <f t="shared" si="11"/>
        <v>内部装修</v>
      </c>
      <c r="R42" s="774" t="s">
        <v>17</v>
      </c>
      <c r="S42" s="775">
        <f t="shared" si="12"/>
        <v>100</v>
      </c>
      <c r="T42" s="774" t="s">
        <v>17</v>
      </c>
      <c r="U42" s="775">
        <f t="shared" si="13"/>
        <v>100</v>
      </c>
      <c r="V42" s="774" t="s">
        <v>17</v>
      </c>
      <c r="W42" s="775">
        <f t="shared" si="14"/>
        <v>100</v>
      </c>
      <c r="X42" s="1813"/>
      <c r="Y42" s="3252"/>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0"/>
      <c r="Q43" s="1810" t="str">
        <f t="shared" si="11"/>
        <v>内部装修维护情况</v>
      </c>
      <c r="R43" s="774" t="s">
        <v>17</v>
      </c>
      <c r="S43" s="775">
        <f t="shared" si="12"/>
        <v>100</v>
      </c>
      <c r="T43" s="774" t="s">
        <v>17</v>
      </c>
      <c r="U43" s="775">
        <f t="shared" si="13"/>
        <v>100</v>
      </c>
      <c r="V43" s="774" t="s">
        <v>17</v>
      </c>
      <c r="W43" s="775">
        <f t="shared" si="14"/>
        <v>100</v>
      </c>
      <c r="X43" s="1813"/>
      <c r="Y43" s="325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0"/>
      <c r="Q44" s="1795">
        <f t="shared" si="11"/>
        <v>111</v>
      </c>
      <c r="R44" s="770" t="s">
        <v>17</v>
      </c>
      <c r="S44" s="771">
        <f t="shared" si="12"/>
        <v>100</v>
      </c>
      <c r="T44" s="770" t="s">
        <v>17</v>
      </c>
      <c r="U44" s="771">
        <f t="shared" si="13"/>
        <v>100</v>
      </c>
      <c r="V44" s="770" t="s">
        <v>17</v>
      </c>
      <c r="W44" s="771">
        <f t="shared" si="14"/>
        <v>100</v>
      </c>
      <c r="X44" s="772"/>
      <c r="Y44" s="325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0"/>
      <c r="Q45" s="1810">
        <f t="shared" si="11"/>
        <v>111</v>
      </c>
      <c r="R45" s="774" t="s">
        <v>17</v>
      </c>
      <c r="S45" s="775">
        <f t="shared" si="12"/>
        <v>100</v>
      </c>
      <c r="T45" s="774" t="s">
        <v>17</v>
      </c>
      <c r="U45" s="775">
        <f t="shared" si="13"/>
        <v>100</v>
      </c>
      <c r="V45" s="774" t="s">
        <v>17</v>
      </c>
      <c r="W45" s="775">
        <f t="shared" si="14"/>
        <v>100</v>
      </c>
      <c r="X45" s="1813"/>
      <c r="Y45" s="3252"/>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1"/>
      <c r="Q46" s="1810">
        <f t="shared" si="11"/>
        <v>111</v>
      </c>
      <c r="R46" s="774" t="s">
        <v>17</v>
      </c>
      <c r="S46" s="775">
        <f t="shared" si="12"/>
        <v>100</v>
      </c>
      <c r="T46" s="774" t="s">
        <v>17</v>
      </c>
      <c r="U46" s="775">
        <f t="shared" si="13"/>
        <v>100</v>
      </c>
      <c r="V46" s="774" t="s">
        <v>17</v>
      </c>
      <c r="W46" s="775">
        <f t="shared" si="14"/>
        <v>100</v>
      </c>
      <c r="X46" s="1813"/>
      <c r="Y46" s="3253"/>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45" t="str">
        <f>A47</f>
        <v>成交单价（元/平方米）</v>
      </c>
      <c r="Q47" s="3245"/>
      <c r="R47" s="3240">
        <f>E47</f>
        <v>0</v>
      </c>
      <c r="S47" s="3240"/>
      <c r="T47" s="3240">
        <f>G47</f>
        <v>0</v>
      </c>
      <c r="U47" s="3240"/>
      <c r="V47" s="3240">
        <f>I47</f>
        <v>0</v>
      </c>
      <c r="W47" s="3240"/>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45" t="str">
        <f>A48</f>
        <v>比较价值（元/平方米）</v>
      </c>
      <c r="Q48" s="3245"/>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42" t="str">
        <f>A49</f>
        <v>估价对象XX用房的比较价值（楼面单价，元/平方米）</v>
      </c>
      <c r="Q49" s="3243"/>
      <c r="R49" s="3244" t="e">
        <f>IF(F1="售价",ROUND(AVERAGE(R48:V48),0),ROUND(AVERAGE(R48:V48),1))</f>
        <v>#DIV/0!</v>
      </c>
      <c r="S49" s="3244"/>
      <c r="T49" s="3244"/>
      <c r="U49" s="3244"/>
      <c r="V49" s="3244"/>
      <c r="W49" s="324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2680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2615</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2683</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2685</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86971.4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28" t="s">
        <v>2645</v>
      </c>
      <c r="D4" s="3229"/>
      <c r="E4" s="3230" t="s">
        <v>2646</v>
      </c>
      <c r="F4" s="3231"/>
      <c r="G4" s="3228" t="s">
        <v>2647</v>
      </c>
      <c r="H4" s="3229"/>
      <c r="I4" s="3228" t="s">
        <v>2648</v>
      </c>
      <c r="J4" s="3229"/>
      <c r="K4" s="610" t="s">
        <v>2649</v>
      </c>
      <c r="L4" s="1130"/>
      <c r="M4" s="1131"/>
      <c r="N4" s="1131"/>
      <c r="O4" s="1131"/>
      <c r="P4" s="3264" t="s">
        <v>2650</v>
      </c>
      <c r="Q4" s="3265"/>
      <c r="R4" s="3259" t="s">
        <v>2646</v>
      </c>
      <c r="S4" s="3260"/>
      <c r="T4" s="3259" t="s">
        <v>2647</v>
      </c>
      <c r="U4" s="3260"/>
      <c r="V4" s="3268" t="s">
        <v>2648</v>
      </c>
      <c r="W4" s="3268"/>
      <c r="X4" s="2668"/>
      <c r="Y4" s="3259" t="s">
        <v>2650</v>
      </c>
      <c r="Z4" s="3260"/>
      <c r="AA4" s="3258" t="s">
        <v>2646</v>
      </c>
      <c r="AB4" s="3258" t="s">
        <v>2647</v>
      </c>
      <c r="AC4" s="3261" t="s">
        <v>2648</v>
      </c>
    </row>
    <row r="5" spans="1:29" ht="15">
      <c r="A5" s="404"/>
      <c r="B5" s="405"/>
      <c r="C5" s="3257" t="s">
        <v>2541</v>
      </c>
      <c r="D5" s="3221"/>
      <c r="E5" s="3256" t="s">
        <v>2542</v>
      </c>
      <c r="F5" s="3219"/>
      <c r="G5" s="3257" t="s">
        <v>2543</v>
      </c>
      <c r="H5" s="3221"/>
      <c r="I5" s="3257" t="s">
        <v>2544</v>
      </c>
      <c r="J5" s="3221"/>
      <c r="K5" s="610"/>
      <c r="L5" s="1130"/>
      <c r="M5" s="1131"/>
      <c r="N5" s="1131"/>
      <c r="O5" s="1131"/>
      <c r="P5" s="3266"/>
      <c r="Q5" s="3235"/>
      <c r="R5" s="3216"/>
      <c r="S5" s="3217"/>
      <c r="T5" s="3216"/>
      <c r="U5" s="3217"/>
      <c r="V5" s="3240"/>
      <c r="W5" s="3240"/>
      <c r="X5" s="1813"/>
      <c r="Y5" s="3216"/>
      <c r="Z5" s="3217"/>
      <c r="AA5" s="3210"/>
      <c r="AB5" s="3210"/>
      <c r="AC5" s="3262"/>
    </row>
    <row r="6" spans="1:29" ht="15.75" thickBot="1">
      <c r="A6" s="406"/>
      <c r="B6" s="407"/>
      <c r="C6" s="3226" t="s">
        <v>2545</v>
      </c>
      <c r="D6" s="3223"/>
      <c r="E6" s="3224" t="s">
        <v>2545</v>
      </c>
      <c r="F6" s="3225"/>
      <c r="G6" s="3226" t="s">
        <v>2545</v>
      </c>
      <c r="H6" s="3223"/>
      <c r="I6" s="3226" t="s">
        <v>2545</v>
      </c>
      <c r="J6" s="3223"/>
      <c r="K6" s="610" t="s">
        <v>2546</v>
      </c>
      <c r="L6" s="1130"/>
      <c r="M6" s="1131"/>
      <c r="N6" s="1131"/>
      <c r="O6" s="1131"/>
      <c r="P6" s="3267"/>
      <c r="Q6" s="3237"/>
      <c r="R6" s="3216"/>
      <c r="S6" s="3217"/>
      <c r="T6" s="3238"/>
      <c r="U6" s="3239"/>
      <c r="V6" s="3240"/>
      <c r="W6" s="3240"/>
      <c r="X6" s="1813"/>
      <c r="Y6" s="3238"/>
      <c r="Z6" s="3239"/>
      <c r="AA6" s="3211"/>
      <c r="AB6" s="3211"/>
      <c r="AC6" s="3263"/>
    </row>
    <row r="7" spans="1:29" s="117" customFormat="1" ht="15.75" thickBot="1">
      <c r="A7" s="408" t="s">
        <v>2547</v>
      </c>
      <c r="B7" s="409"/>
      <c r="C7" s="410">
        <f>'数据-取费表'!B2</f>
        <v>43847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9" t="s">
        <v>2548</v>
      </c>
      <c r="Q7" s="3241"/>
      <c r="R7" s="770" t="s">
        <v>17</v>
      </c>
      <c r="S7" s="771">
        <f t="shared" ref="S7:S15" si="0">F7</f>
        <v>0</v>
      </c>
      <c r="T7" s="770" t="s">
        <v>17</v>
      </c>
      <c r="U7" s="771">
        <f t="shared" ref="U7:U15" si="1">H7</f>
        <v>0</v>
      </c>
      <c r="V7" s="770" t="s">
        <v>17</v>
      </c>
      <c r="W7" s="771">
        <f t="shared" ref="W7:W15" si="2">J7</f>
        <v>0</v>
      </c>
      <c r="X7" s="772"/>
      <c r="Y7" s="3212" t="s">
        <v>2548</v>
      </c>
      <c r="Z7" s="3213"/>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9" t="s">
        <v>2551</v>
      </c>
      <c r="Q8" s="3213"/>
      <c r="R8" s="770" t="s">
        <v>17</v>
      </c>
      <c r="S8" s="771">
        <f t="shared" si="0"/>
        <v>0</v>
      </c>
      <c r="T8" s="770" t="s">
        <v>17</v>
      </c>
      <c r="U8" s="771">
        <f t="shared" si="1"/>
        <v>0</v>
      </c>
      <c r="V8" s="770" t="s">
        <v>17</v>
      </c>
      <c r="W8" s="771">
        <f t="shared" si="2"/>
        <v>0</v>
      </c>
      <c r="X8" s="772"/>
      <c r="Y8" s="3212" t="s">
        <v>2551</v>
      </c>
      <c r="Z8" s="3213"/>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7" t="s">
        <v>2554</v>
      </c>
      <c r="Q9" s="1795" t="str">
        <f t="shared" ref="Q9:Q15" si="6">B9</f>
        <v>用途</v>
      </c>
      <c r="R9" s="770" t="s">
        <v>17</v>
      </c>
      <c r="S9" s="771">
        <f t="shared" si="0"/>
        <v>100</v>
      </c>
      <c r="T9" s="770" t="s">
        <v>17</v>
      </c>
      <c r="U9" s="771">
        <f t="shared" si="1"/>
        <v>100</v>
      </c>
      <c r="V9" s="770" t="s">
        <v>17</v>
      </c>
      <c r="W9" s="771">
        <f t="shared" si="2"/>
        <v>100</v>
      </c>
      <c r="X9" s="772"/>
      <c r="Y9" s="3054"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7"/>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7"/>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27"/>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27"/>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27"/>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2669">
        <f t="shared" si="5"/>
        <v>1</v>
      </c>
    </row>
    <row r="15" spans="1:29" ht="71.25">
      <c r="A15" s="440" t="s">
        <v>2558</v>
      </c>
      <c r="B15" s="629" t="s">
        <v>2686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4" t="s">
        <v>2559</v>
      </c>
      <c r="Q15" s="1810" t="str">
        <f t="shared" si="6"/>
        <v>办公集聚程度</v>
      </c>
      <c r="R15" s="774" t="s">
        <v>17</v>
      </c>
      <c r="S15" s="775">
        <f t="shared" si="0"/>
        <v>100</v>
      </c>
      <c r="T15" s="774" t="s">
        <v>17</v>
      </c>
      <c r="U15" s="775">
        <f t="shared" si="1"/>
        <v>100</v>
      </c>
      <c r="V15" s="774" t="s">
        <v>17</v>
      </c>
      <c r="W15" s="775">
        <f t="shared" si="2"/>
        <v>100</v>
      </c>
      <c r="X15" s="1813"/>
      <c r="Y15" s="3247"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55"/>
      <c r="Q16" s="1810"/>
      <c r="R16" s="774"/>
      <c r="S16" s="775"/>
      <c r="T16" s="774"/>
      <c r="U16" s="775"/>
      <c r="V16" s="774"/>
      <c r="W16" s="775"/>
      <c r="X16" s="1813"/>
      <c r="Y16" s="3248"/>
      <c r="Z16" s="1814"/>
      <c r="AA16" s="1811">
        <v>1</v>
      </c>
      <c r="AB16" s="1811">
        <v>1</v>
      </c>
      <c r="AC16" s="2672">
        <v>1</v>
      </c>
    </row>
    <row r="17" spans="1:29" ht="114">
      <c r="A17" s="428"/>
      <c r="B17" s="631" t="s">
        <v>2095</v>
      </c>
      <c r="C17" s="2673" t="str">
        <f>估价对象房地状况!C6</f>
        <v>估价对象周边有开发区3路、快速直达专线181路、578路多条公交线路，距地铁8号线（瀛海站）约4公里，综合评价交通便捷度一般。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5"/>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55"/>
      <c r="Q18" s="1810"/>
      <c r="R18" s="774"/>
      <c r="S18" s="775"/>
      <c r="T18" s="774"/>
      <c r="U18" s="775"/>
      <c r="V18" s="774"/>
      <c r="W18" s="775"/>
      <c r="X18" s="1813"/>
      <c r="Y18" s="3248"/>
      <c r="Z18" s="1814"/>
      <c r="AA18" s="1811">
        <v>1</v>
      </c>
      <c r="AB18" s="1811">
        <v>1</v>
      </c>
      <c r="AC18" s="2672">
        <v>1</v>
      </c>
    </row>
    <row r="19" spans="1:29" ht="42.75">
      <c r="A19" s="428"/>
      <c r="B19" s="631" t="s">
        <v>2687</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5"/>
      <c r="Q19" s="1810" t="str">
        <f>B19</f>
        <v>公共配套设施</v>
      </c>
      <c r="R19" s="774" t="s">
        <v>17</v>
      </c>
      <c r="S19" s="775">
        <f>F19</f>
        <v>100</v>
      </c>
      <c r="T19" s="774" t="s">
        <v>17</v>
      </c>
      <c r="U19" s="775">
        <f>H19</f>
        <v>100</v>
      </c>
      <c r="V19" s="774" t="s">
        <v>17</v>
      </c>
      <c r="W19" s="775">
        <f>J19</f>
        <v>100</v>
      </c>
      <c r="X19" s="1813"/>
      <c r="Y19" s="3248"/>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55"/>
      <c r="Q20" s="1810"/>
      <c r="R20" s="774"/>
      <c r="S20" s="775"/>
      <c r="T20" s="774"/>
      <c r="U20" s="775"/>
      <c r="V20" s="774"/>
      <c r="W20" s="775"/>
      <c r="X20" s="1813"/>
      <c r="Y20" s="3248"/>
      <c r="Z20" s="1814"/>
      <c r="AA20" s="1811">
        <v>1</v>
      </c>
      <c r="AB20" s="1811">
        <v>1</v>
      </c>
      <c r="AC20" s="2672">
        <v>1</v>
      </c>
    </row>
    <row r="21" spans="1:29" ht="15">
      <c r="A21" s="428"/>
      <c r="B21" s="633" t="s">
        <v>2688</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5"/>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55"/>
      <c r="Q22" s="1810"/>
      <c r="R22" s="774"/>
      <c r="S22" s="775"/>
      <c r="T22" s="774"/>
      <c r="U22" s="775"/>
      <c r="V22" s="774"/>
      <c r="W22" s="775"/>
      <c r="X22" s="1813"/>
      <c r="Y22" s="3248"/>
      <c r="Z22" s="1814"/>
      <c r="AA22" s="1811">
        <v>1</v>
      </c>
      <c r="AB22" s="1811">
        <v>1</v>
      </c>
      <c r="AC22" s="2672">
        <v>1</v>
      </c>
    </row>
    <row r="23" spans="1:29" ht="99.75">
      <c r="A23" s="428"/>
      <c r="B23" s="631" t="s">
        <v>2689</v>
      </c>
      <c r="C23" s="2673" t="str">
        <f>估价对象房地状况!C9</f>
        <v>区域自然环境：体育公园、南海子公园、凉水河；人文环境：北京电子科技职业学院(亦庄校区)；综合评价环境状况一般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5"/>
      <c r="Q23" s="1810" t="str">
        <f>B23</f>
        <v>环境质量</v>
      </c>
      <c r="R23" s="774" t="s">
        <v>17</v>
      </c>
      <c r="S23" s="775">
        <f>F23</f>
        <v>100</v>
      </c>
      <c r="T23" s="774" t="s">
        <v>17</v>
      </c>
      <c r="U23" s="775">
        <f>H23</f>
        <v>100</v>
      </c>
      <c r="V23" s="774" t="s">
        <v>17</v>
      </c>
      <c r="W23" s="775">
        <f>J23</f>
        <v>100</v>
      </c>
      <c r="X23" s="1813"/>
      <c r="Y23" s="3248"/>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55"/>
      <c r="Q24" s="1810"/>
      <c r="R24" s="774"/>
      <c r="S24" s="775"/>
      <c r="T24" s="774"/>
      <c r="U24" s="775"/>
      <c r="V24" s="774"/>
      <c r="W24" s="775"/>
      <c r="X24" s="1813"/>
      <c r="Y24" s="3248"/>
      <c r="Z24" s="1814"/>
      <c r="AA24" s="1811">
        <v>1</v>
      </c>
      <c r="AB24" s="1811">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55"/>
      <c r="Q25" s="1810" t="str">
        <f>B25</f>
        <v>毗邻道路的类型与等级</v>
      </c>
      <c r="R25" s="774" t="s">
        <v>17</v>
      </c>
      <c r="S25" s="775">
        <f>F25</f>
        <v>100</v>
      </c>
      <c r="T25" s="774" t="s">
        <v>17</v>
      </c>
      <c r="U25" s="775">
        <f>H25</f>
        <v>100</v>
      </c>
      <c r="V25" s="774" t="s">
        <v>17</v>
      </c>
      <c r="W25" s="775">
        <f>J25</f>
        <v>100</v>
      </c>
      <c r="X25" s="1813"/>
      <c r="Y25" s="3248"/>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55"/>
      <c r="Q26" s="1810"/>
      <c r="R26" s="774"/>
      <c r="S26" s="775"/>
      <c r="T26" s="774"/>
      <c r="U26" s="775"/>
      <c r="V26" s="774"/>
      <c r="W26" s="775"/>
      <c r="X26" s="1813"/>
      <c r="Y26" s="3248"/>
      <c r="Z26" s="1814"/>
      <c r="AA26" s="1811">
        <v>1</v>
      </c>
      <c r="AB26" s="1811">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5"/>
      <c r="Q27" s="1810" t="str">
        <f t="shared" ref="Q27:Q47" si="11">B27</f>
        <v>楼层</v>
      </c>
      <c r="R27" s="774" t="s">
        <v>17</v>
      </c>
      <c r="S27" s="775">
        <f>F27</f>
        <v>100</v>
      </c>
      <c r="T27" s="774" t="s">
        <v>17</v>
      </c>
      <c r="U27" s="775">
        <f>H27</f>
        <v>100</v>
      </c>
      <c r="V27" s="774" t="s">
        <v>17</v>
      </c>
      <c r="W27" s="775">
        <f>J27</f>
        <v>100</v>
      </c>
      <c r="X27" s="1813"/>
      <c r="Y27" s="3248"/>
      <c r="Z27" s="1814" t="str">
        <f>Q27</f>
        <v>楼层</v>
      </c>
      <c r="AA27" s="1811">
        <f t="shared" si="3"/>
        <v>1</v>
      </c>
      <c r="AB27" s="1811">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55"/>
      <c r="Q28" s="1795" t="str">
        <f t="shared" si="11"/>
        <v>朝向</v>
      </c>
      <c r="R28" s="770" t="s">
        <v>17</v>
      </c>
      <c r="S28" s="771">
        <f>F28</f>
        <v>100</v>
      </c>
      <c r="T28" s="770" t="s">
        <v>17</v>
      </c>
      <c r="U28" s="771">
        <f>H28</f>
        <v>100</v>
      </c>
      <c r="V28" s="770" t="s">
        <v>17</v>
      </c>
      <c r="W28" s="771">
        <f>J28</f>
        <v>100</v>
      </c>
      <c r="X28" s="772"/>
      <c r="Y28" s="3248"/>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55"/>
      <c r="Q29" s="1810">
        <f t="shared" si="11"/>
        <v>111</v>
      </c>
      <c r="R29" s="774" t="s">
        <v>17</v>
      </c>
      <c r="S29" s="775">
        <f t="shared" ref="S29:S47" si="12">F29</f>
        <v>100</v>
      </c>
      <c r="T29" s="774" t="s">
        <v>17</v>
      </c>
      <c r="U29" s="775">
        <f t="shared" ref="U29:U47" si="13">H29</f>
        <v>100</v>
      </c>
      <c r="V29" s="774" t="s">
        <v>17</v>
      </c>
      <c r="W29" s="775">
        <f t="shared" ref="W29:W47" si="14">J29</f>
        <v>100</v>
      </c>
      <c r="X29" s="1813"/>
      <c r="Y29" s="3248"/>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55"/>
      <c r="Q30" s="1810">
        <f t="shared" si="11"/>
        <v>111</v>
      </c>
      <c r="R30" s="774" t="s">
        <v>17</v>
      </c>
      <c r="S30" s="775">
        <f t="shared" si="12"/>
        <v>100</v>
      </c>
      <c r="T30" s="774" t="s">
        <v>17</v>
      </c>
      <c r="U30" s="775">
        <f t="shared" si="13"/>
        <v>100</v>
      </c>
      <c r="V30" s="774" t="s">
        <v>17</v>
      </c>
      <c r="W30" s="775">
        <f t="shared" si="14"/>
        <v>100</v>
      </c>
      <c r="X30" s="1813"/>
      <c r="Y30" s="3248"/>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55"/>
      <c r="Q31" s="1810">
        <f t="shared" si="11"/>
        <v>111</v>
      </c>
      <c r="R31" s="774" t="s">
        <v>17</v>
      </c>
      <c r="S31" s="775">
        <f t="shared" si="12"/>
        <v>100</v>
      </c>
      <c r="T31" s="774" t="s">
        <v>17</v>
      </c>
      <c r="U31" s="775">
        <f t="shared" si="13"/>
        <v>100</v>
      </c>
      <c r="V31" s="774" t="s">
        <v>17</v>
      </c>
      <c r="W31" s="775">
        <f t="shared" si="14"/>
        <v>100</v>
      </c>
      <c r="X31" s="1813"/>
      <c r="Y31" s="3248"/>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55"/>
      <c r="Q32" s="1810">
        <f t="shared" si="11"/>
        <v>111</v>
      </c>
      <c r="R32" s="774" t="s">
        <v>17</v>
      </c>
      <c r="S32" s="775">
        <f t="shared" si="12"/>
        <v>100</v>
      </c>
      <c r="T32" s="774" t="s">
        <v>17</v>
      </c>
      <c r="U32" s="775">
        <f t="shared" si="13"/>
        <v>100</v>
      </c>
      <c r="V32" s="774" t="s">
        <v>17</v>
      </c>
      <c r="W32" s="775">
        <f t="shared" si="14"/>
        <v>100</v>
      </c>
      <c r="X32" s="1813"/>
      <c r="Y32" s="3248"/>
      <c r="Z32" s="1814">
        <f t="shared" si="15"/>
        <v>111</v>
      </c>
      <c r="AA32" s="1811">
        <f t="shared" si="3"/>
        <v>1</v>
      </c>
      <c r="AB32" s="1811">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49" t="s">
        <v>2564</v>
      </c>
      <c r="Q33" s="1810" t="str">
        <f t="shared" si="11"/>
        <v>建筑类型</v>
      </c>
      <c r="R33" s="774" t="s">
        <v>17</v>
      </c>
      <c r="S33" s="775">
        <f t="shared" si="12"/>
        <v>100</v>
      </c>
      <c r="T33" s="774" t="s">
        <v>17</v>
      </c>
      <c r="U33" s="775">
        <f t="shared" si="13"/>
        <v>100</v>
      </c>
      <c r="V33" s="774" t="s">
        <v>17</v>
      </c>
      <c r="W33" s="775">
        <f t="shared" si="14"/>
        <v>100</v>
      </c>
      <c r="X33" s="1813"/>
      <c r="Y33" s="3252"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0"/>
      <c r="Q34" s="776" t="str">
        <f t="shared" si="11"/>
        <v>项目建筑规模</v>
      </c>
      <c r="R34" s="777" t="s">
        <v>17</v>
      </c>
      <c r="S34" s="778" t="e">
        <f t="shared" si="12"/>
        <v>#N/A</v>
      </c>
      <c r="T34" s="777" t="s">
        <v>17</v>
      </c>
      <c r="U34" s="778" t="e">
        <f t="shared" si="13"/>
        <v>#N/A</v>
      </c>
      <c r="V34" s="777" t="s">
        <v>17</v>
      </c>
      <c r="W34" s="778" t="e">
        <f t="shared" si="14"/>
        <v>#N/A</v>
      </c>
      <c r="X34" s="779"/>
      <c r="Y34" s="3252"/>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0"/>
      <c r="Q35" s="1810" t="str">
        <f t="shared" si="11"/>
        <v>建筑结构</v>
      </c>
      <c r="R35" s="774" t="s">
        <v>17</v>
      </c>
      <c r="S35" s="775">
        <f t="shared" si="12"/>
        <v>100</v>
      </c>
      <c r="T35" s="774" t="s">
        <v>17</v>
      </c>
      <c r="U35" s="775">
        <f t="shared" si="13"/>
        <v>100</v>
      </c>
      <c r="V35" s="774" t="s">
        <v>17</v>
      </c>
      <c r="W35" s="775">
        <f t="shared" si="14"/>
        <v>100</v>
      </c>
      <c r="X35" s="1813"/>
      <c r="Y35" s="3252"/>
      <c r="Z35" s="1814" t="str">
        <f t="shared" si="15"/>
        <v>建筑结构</v>
      </c>
      <c r="AA35" s="1811">
        <f t="shared" si="3"/>
        <v>1</v>
      </c>
      <c r="AB35" s="1811">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0"/>
      <c r="Q36" s="1810" t="str">
        <f t="shared" si="11"/>
        <v>公共部分装修</v>
      </c>
      <c r="R36" s="774" t="s">
        <v>17</v>
      </c>
      <c r="S36" s="775">
        <f t="shared" si="12"/>
        <v>100</v>
      </c>
      <c r="T36" s="774" t="s">
        <v>17</v>
      </c>
      <c r="U36" s="775">
        <f t="shared" si="13"/>
        <v>100</v>
      </c>
      <c r="V36" s="774" t="s">
        <v>17</v>
      </c>
      <c r="W36" s="775">
        <f t="shared" si="14"/>
        <v>100</v>
      </c>
      <c r="X36" s="1813"/>
      <c r="Y36" s="3252"/>
      <c r="Z36" s="1814" t="str">
        <f t="shared" si="15"/>
        <v>公共部分装修</v>
      </c>
      <c r="AA36" s="1811">
        <f t="shared" si="3"/>
        <v>1</v>
      </c>
      <c r="AB36" s="1811">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0"/>
      <c r="Q37" s="1810" t="str">
        <f t="shared" si="11"/>
        <v>成新度</v>
      </c>
      <c r="R37" s="774" t="s">
        <v>17</v>
      </c>
      <c r="S37" s="775" t="e">
        <f t="shared" si="12"/>
        <v>#N/A</v>
      </c>
      <c r="T37" s="774" t="s">
        <v>17</v>
      </c>
      <c r="U37" s="775" t="e">
        <f t="shared" si="13"/>
        <v>#N/A</v>
      </c>
      <c r="V37" s="774" t="s">
        <v>17</v>
      </c>
      <c r="W37" s="775" t="e">
        <f t="shared" si="14"/>
        <v>#N/A</v>
      </c>
      <c r="X37" s="1813"/>
      <c r="Y37" s="3252"/>
      <c r="Z37" s="1814" t="str">
        <f t="shared" si="15"/>
        <v>成新度</v>
      </c>
      <c r="AA37" s="1811" t="e">
        <f t="shared" si="3"/>
        <v>#N/A</v>
      </c>
      <c r="AB37" s="1811"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0"/>
      <c r="Q38" s="1795" t="str">
        <f t="shared" si="11"/>
        <v>写字楼等级</v>
      </c>
      <c r="R38" s="770" t="s">
        <v>17</v>
      </c>
      <c r="S38" s="771">
        <f t="shared" si="12"/>
        <v>100</v>
      </c>
      <c r="T38" s="770" t="s">
        <v>17</v>
      </c>
      <c r="U38" s="771">
        <f t="shared" si="13"/>
        <v>100</v>
      </c>
      <c r="V38" s="770" t="s">
        <v>17</v>
      </c>
      <c r="W38" s="771">
        <f t="shared" si="14"/>
        <v>100</v>
      </c>
      <c r="X38" s="772"/>
      <c r="Y38" s="3252"/>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0" t="s">
        <v>2564</v>
      </c>
      <c r="Q39" s="1810" t="str">
        <f t="shared" si="11"/>
        <v>物业管理</v>
      </c>
      <c r="R39" s="774" t="s">
        <v>17</v>
      </c>
      <c r="S39" s="775">
        <f t="shared" si="12"/>
        <v>100</v>
      </c>
      <c r="T39" s="774" t="s">
        <v>17</v>
      </c>
      <c r="U39" s="775">
        <f t="shared" si="13"/>
        <v>100</v>
      </c>
      <c r="V39" s="774" t="s">
        <v>17</v>
      </c>
      <c r="W39" s="775">
        <f t="shared" si="14"/>
        <v>100</v>
      </c>
      <c r="X39" s="1813"/>
      <c r="Y39" s="3252" t="s">
        <v>2564</v>
      </c>
      <c r="Z39" s="1814" t="str">
        <f t="shared" si="15"/>
        <v>物业管理</v>
      </c>
      <c r="AA39" s="1811">
        <f t="shared" si="3"/>
        <v>1</v>
      </c>
      <c r="AB39" s="1811">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0"/>
      <c r="Q40" s="1810" t="str">
        <f t="shared" si="11"/>
        <v>市政基础设施</v>
      </c>
      <c r="R40" s="774" t="s">
        <v>17</v>
      </c>
      <c r="S40" s="775">
        <f t="shared" si="12"/>
        <v>100</v>
      </c>
      <c r="T40" s="774" t="s">
        <v>17</v>
      </c>
      <c r="U40" s="775">
        <f t="shared" si="13"/>
        <v>100</v>
      </c>
      <c r="V40" s="774" t="s">
        <v>17</v>
      </c>
      <c r="W40" s="775">
        <f t="shared" si="14"/>
        <v>100</v>
      </c>
      <c r="X40" s="1813"/>
      <c r="Y40" s="3252"/>
      <c r="Z40" s="1814" t="str">
        <f t="shared" si="15"/>
        <v>市政基础设施</v>
      </c>
      <c r="AA40" s="1811">
        <f t="shared" si="3"/>
        <v>1</v>
      </c>
      <c r="AB40" s="1811">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0"/>
      <c r="Q41" s="1810" t="str">
        <f t="shared" si="11"/>
        <v>层高</v>
      </c>
      <c r="R41" s="774" t="s">
        <v>17</v>
      </c>
      <c r="S41" s="775">
        <f t="shared" si="12"/>
        <v>100</v>
      </c>
      <c r="T41" s="774" t="s">
        <v>17</v>
      </c>
      <c r="U41" s="775">
        <f t="shared" si="13"/>
        <v>100</v>
      </c>
      <c r="V41" s="774" t="s">
        <v>17</v>
      </c>
      <c r="W41" s="775">
        <f t="shared" si="14"/>
        <v>100</v>
      </c>
      <c r="X41" s="1813"/>
      <c r="Y41" s="3252"/>
      <c r="Z41" s="1814" t="str">
        <f t="shared" si="15"/>
        <v>层高</v>
      </c>
      <c r="AA41" s="1811">
        <f t="shared" si="3"/>
        <v>1</v>
      </c>
      <c r="AB41" s="1811">
        <f t="shared" si="4"/>
        <v>1</v>
      </c>
      <c r="AC41" s="2672">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0"/>
      <c r="Q42" s="776" t="str">
        <f t="shared" si="11"/>
        <v>单套建筑面积</v>
      </c>
      <c r="R42" s="777" t="s">
        <v>17</v>
      </c>
      <c r="S42" s="778">
        <f t="shared" si="12"/>
        <v>100</v>
      </c>
      <c r="T42" s="777" t="s">
        <v>17</v>
      </c>
      <c r="U42" s="778">
        <f t="shared" si="13"/>
        <v>100</v>
      </c>
      <c r="V42" s="777" t="s">
        <v>17</v>
      </c>
      <c r="W42" s="778">
        <f t="shared" si="14"/>
        <v>100</v>
      </c>
      <c r="X42" s="779"/>
      <c r="Y42" s="3252"/>
      <c r="Z42" s="780" t="str">
        <f t="shared" si="15"/>
        <v>单套建筑面积</v>
      </c>
      <c r="AA42" s="1811">
        <f t="shared" si="3"/>
        <v>1</v>
      </c>
      <c r="AB42" s="1811">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0"/>
      <c r="Q43" s="1810" t="str">
        <f t="shared" si="11"/>
        <v>内部装修</v>
      </c>
      <c r="R43" s="774" t="s">
        <v>17</v>
      </c>
      <c r="S43" s="775">
        <f t="shared" si="12"/>
        <v>100</v>
      </c>
      <c r="T43" s="774" t="s">
        <v>17</v>
      </c>
      <c r="U43" s="775">
        <f t="shared" si="13"/>
        <v>100</v>
      </c>
      <c r="V43" s="774" t="s">
        <v>17</v>
      </c>
      <c r="W43" s="775">
        <f t="shared" si="14"/>
        <v>100</v>
      </c>
      <c r="X43" s="1813"/>
      <c r="Y43" s="3252"/>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0"/>
      <c r="Q44" s="1810" t="str">
        <f t="shared" si="11"/>
        <v>内部装修维护情况</v>
      </c>
      <c r="R44" s="774" t="s">
        <v>17</v>
      </c>
      <c r="S44" s="775">
        <f t="shared" si="12"/>
        <v>100</v>
      </c>
      <c r="T44" s="774" t="s">
        <v>17</v>
      </c>
      <c r="U44" s="775">
        <f t="shared" si="13"/>
        <v>100</v>
      </c>
      <c r="V44" s="774" t="s">
        <v>17</v>
      </c>
      <c r="W44" s="775">
        <f t="shared" si="14"/>
        <v>100</v>
      </c>
      <c r="X44" s="1813"/>
      <c r="Y44" s="3252"/>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0"/>
      <c r="Q45" s="1795">
        <f t="shared" si="11"/>
        <v>111</v>
      </c>
      <c r="R45" s="770" t="s">
        <v>17</v>
      </c>
      <c r="S45" s="771">
        <f t="shared" si="12"/>
        <v>100</v>
      </c>
      <c r="T45" s="770" t="s">
        <v>17</v>
      </c>
      <c r="U45" s="771">
        <f t="shared" si="13"/>
        <v>100</v>
      </c>
      <c r="V45" s="770" t="s">
        <v>17</v>
      </c>
      <c r="W45" s="771">
        <f t="shared" si="14"/>
        <v>100</v>
      </c>
      <c r="X45" s="772"/>
      <c r="Y45" s="3252"/>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0"/>
      <c r="Q46" s="1810">
        <f t="shared" si="11"/>
        <v>111</v>
      </c>
      <c r="R46" s="774" t="s">
        <v>17</v>
      </c>
      <c r="S46" s="775">
        <f t="shared" si="12"/>
        <v>100</v>
      </c>
      <c r="T46" s="774" t="s">
        <v>17</v>
      </c>
      <c r="U46" s="775">
        <f t="shared" si="13"/>
        <v>100</v>
      </c>
      <c r="V46" s="774" t="s">
        <v>17</v>
      </c>
      <c r="W46" s="775">
        <f t="shared" si="14"/>
        <v>100</v>
      </c>
      <c r="X46" s="1813"/>
      <c r="Y46" s="3252"/>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1"/>
      <c r="Q47" s="1810">
        <f t="shared" si="11"/>
        <v>111</v>
      </c>
      <c r="R47" s="774" t="s">
        <v>17</v>
      </c>
      <c r="S47" s="775">
        <f t="shared" si="12"/>
        <v>100</v>
      </c>
      <c r="T47" s="774" t="s">
        <v>17</v>
      </c>
      <c r="U47" s="775">
        <f t="shared" si="13"/>
        <v>100</v>
      </c>
      <c r="V47" s="774" t="s">
        <v>17</v>
      </c>
      <c r="W47" s="775">
        <f t="shared" si="14"/>
        <v>100</v>
      </c>
      <c r="X47" s="1813"/>
      <c r="Y47" s="3253"/>
      <c r="Z47" s="1814">
        <f t="shared" si="15"/>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227" t="str">
        <f>A48</f>
        <v>成交单价（元/平方米）</v>
      </c>
      <c r="Q48" s="3245"/>
      <c r="R48" s="3246">
        <f>E48</f>
        <v>0</v>
      </c>
      <c r="S48" s="3246"/>
      <c r="T48" s="3246">
        <f>G48</f>
        <v>0</v>
      </c>
      <c r="U48" s="3246"/>
      <c r="V48" s="3246">
        <f>I48</f>
        <v>0</v>
      </c>
      <c r="W48" s="3246"/>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27" t="str">
        <f>A49</f>
        <v>比较价值（元/平方米）</v>
      </c>
      <c r="Q49" s="3245"/>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70" t="str">
        <f>A50</f>
        <v>估价对象XX用房的比较价值（楼面单价，元/平方米）</v>
      </c>
      <c r="Q50" s="3271"/>
      <c r="R50" s="3272" t="e">
        <f>IF(F1="售价",ROUND(AVERAGE(R49:V49),0),ROUND(AVERAGE(R49:V49),1))</f>
        <v>#DIV/0!</v>
      </c>
      <c r="S50" s="3272"/>
      <c r="T50" s="3272"/>
      <c r="U50" s="3272"/>
      <c r="V50" s="3272"/>
      <c r="W50" s="3272"/>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2587</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2698</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2611</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2613</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2615</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2616</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2617</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2700</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2619</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2701</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86971.4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8" t="s">
        <v>2645</v>
      </c>
      <c r="D4" s="3229"/>
      <c r="E4" s="3230" t="s">
        <v>2646</v>
      </c>
      <c r="F4" s="3231"/>
      <c r="G4" s="3228" t="s">
        <v>2647</v>
      </c>
      <c r="H4" s="3229"/>
      <c r="I4" s="3228" t="s">
        <v>2648</v>
      </c>
      <c r="J4" s="3229"/>
      <c r="K4" s="610" t="s">
        <v>2649</v>
      </c>
      <c r="L4" s="1130"/>
      <c r="M4" s="1131"/>
      <c r="N4" s="1131"/>
      <c r="O4" s="1131"/>
      <c r="P4" s="3232" t="s">
        <v>2650</v>
      </c>
      <c r="Q4" s="3233"/>
      <c r="R4" s="3214" t="s">
        <v>2646</v>
      </c>
      <c r="S4" s="3215"/>
      <c r="T4" s="3214" t="s">
        <v>2647</v>
      </c>
      <c r="U4" s="3215"/>
      <c r="V4" s="3240" t="s">
        <v>2648</v>
      </c>
      <c r="W4" s="3240"/>
      <c r="X4" s="1813"/>
      <c r="Y4" s="3214" t="s">
        <v>2650</v>
      </c>
      <c r="Z4" s="3215"/>
      <c r="AA4" s="3209" t="s">
        <v>2646</v>
      </c>
      <c r="AB4" s="3210" t="s">
        <v>2647</v>
      </c>
      <c r="AC4" s="3209" t="s">
        <v>2648</v>
      </c>
    </row>
    <row r="5" spans="1:29" ht="15">
      <c r="A5" s="404"/>
      <c r="B5" s="405"/>
      <c r="C5" s="3257" t="s">
        <v>2541</v>
      </c>
      <c r="D5" s="3221"/>
      <c r="E5" s="3256" t="s">
        <v>2542</v>
      </c>
      <c r="F5" s="3219"/>
      <c r="G5" s="3257" t="s">
        <v>2543</v>
      </c>
      <c r="H5" s="3221"/>
      <c r="I5" s="3257" t="s">
        <v>2544</v>
      </c>
      <c r="J5" s="3221"/>
      <c r="K5" s="610"/>
      <c r="L5" s="1130"/>
      <c r="M5" s="1131"/>
      <c r="N5" s="1131"/>
      <c r="O5" s="1131"/>
      <c r="P5" s="3234"/>
      <c r="Q5" s="3235"/>
      <c r="R5" s="3216"/>
      <c r="S5" s="3217"/>
      <c r="T5" s="3216"/>
      <c r="U5" s="3217"/>
      <c r="V5" s="3240"/>
      <c r="W5" s="3240"/>
      <c r="X5" s="1813"/>
      <c r="Y5" s="3216"/>
      <c r="Z5" s="3217"/>
      <c r="AA5" s="3210"/>
      <c r="AB5" s="3210"/>
      <c r="AC5" s="3210"/>
    </row>
    <row r="6" spans="1:29" ht="15.75" thickBot="1">
      <c r="A6" s="406"/>
      <c r="B6" s="407"/>
      <c r="C6" s="3226" t="s">
        <v>2545</v>
      </c>
      <c r="D6" s="3223"/>
      <c r="E6" s="3224" t="s">
        <v>2545</v>
      </c>
      <c r="F6" s="3225"/>
      <c r="G6" s="3226" t="s">
        <v>2545</v>
      </c>
      <c r="H6" s="3223"/>
      <c r="I6" s="3226" t="s">
        <v>2545</v>
      </c>
      <c r="J6" s="3223"/>
      <c r="K6" s="610" t="s">
        <v>2546</v>
      </c>
      <c r="L6" s="1130"/>
      <c r="M6" s="1131"/>
      <c r="N6" s="1131"/>
      <c r="O6" s="1131"/>
      <c r="P6" s="3236"/>
      <c r="Q6" s="3237"/>
      <c r="R6" s="3216"/>
      <c r="S6" s="3217"/>
      <c r="T6" s="3238"/>
      <c r="U6" s="3239"/>
      <c r="V6" s="3240"/>
      <c r="W6" s="3240"/>
      <c r="X6" s="1813"/>
      <c r="Y6" s="3238"/>
      <c r="Z6" s="3239"/>
      <c r="AA6" s="3211"/>
      <c r="AB6" s="3211"/>
      <c r="AC6" s="3211"/>
    </row>
    <row r="7" spans="1:29" s="117" customFormat="1" ht="15.75" thickBot="1">
      <c r="A7" s="408" t="s">
        <v>2547</v>
      </c>
      <c r="B7" s="409"/>
      <c r="C7" s="410">
        <f>'数据-取费表'!B2</f>
        <v>43847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2548</v>
      </c>
      <c r="Q7" s="3241"/>
      <c r="R7" s="770" t="s">
        <v>17</v>
      </c>
      <c r="S7" s="771">
        <f t="shared" ref="S7:S15" si="0">F7</f>
        <v>0</v>
      </c>
      <c r="T7" s="770" t="s">
        <v>17</v>
      </c>
      <c r="U7" s="771">
        <f t="shared" ref="U7:U15" si="1">H7</f>
        <v>0</v>
      </c>
      <c r="V7" s="770" t="s">
        <v>17</v>
      </c>
      <c r="W7" s="771">
        <f t="shared" ref="W7:W15" si="2">J7</f>
        <v>0</v>
      </c>
      <c r="X7" s="772"/>
      <c r="Y7" s="3212" t="s">
        <v>2548</v>
      </c>
      <c r="Z7" s="321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2551</v>
      </c>
      <c r="Q8" s="3213"/>
      <c r="R8" s="770" t="s">
        <v>17</v>
      </c>
      <c r="S8" s="771">
        <f t="shared" si="0"/>
        <v>0</v>
      </c>
      <c r="T8" s="770" t="s">
        <v>17</v>
      </c>
      <c r="U8" s="771">
        <f t="shared" si="1"/>
        <v>0</v>
      </c>
      <c r="V8" s="770" t="s">
        <v>17</v>
      </c>
      <c r="W8" s="771">
        <f t="shared" si="2"/>
        <v>0</v>
      </c>
      <c r="X8" s="772"/>
      <c r="Y8" s="3212" t="s">
        <v>2551</v>
      </c>
      <c r="Z8" s="321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5" t="s">
        <v>2554</v>
      </c>
      <c r="Q9" s="1795" t="str">
        <f t="shared" ref="Q9:Q15" si="6">B9</f>
        <v>用途</v>
      </c>
      <c r="R9" s="770" t="s">
        <v>17</v>
      </c>
      <c r="S9" s="771">
        <f t="shared" si="0"/>
        <v>100</v>
      </c>
      <c r="T9" s="770" t="s">
        <v>17</v>
      </c>
      <c r="U9" s="771">
        <f t="shared" si="1"/>
        <v>100</v>
      </c>
      <c r="V9" s="770" t="s">
        <v>17</v>
      </c>
      <c r="W9" s="771">
        <f t="shared" si="2"/>
        <v>100</v>
      </c>
      <c r="X9" s="772"/>
      <c r="Y9" s="305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5"/>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5"/>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45"/>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45"/>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45"/>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7" t="s">
        <v>2559</v>
      </c>
      <c r="Q15" s="1810" t="str">
        <f t="shared" si="6"/>
        <v>产业集聚程度</v>
      </c>
      <c r="R15" s="774" t="s">
        <v>17</v>
      </c>
      <c r="S15" s="775">
        <f t="shared" si="0"/>
        <v>100</v>
      </c>
      <c r="T15" s="774" t="s">
        <v>17</v>
      </c>
      <c r="U15" s="775">
        <f t="shared" si="1"/>
        <v>100</v>
      </c>
      <c r="V15" s="774" t="s">
        <v>17</v>
      </c>
      <c r="W15" s="775">
        <f t="shared" si="2"/>
        <v>100</v>
      </c>
      <c r="X15" s="1813"/>
      <c r="Y15" s="3247"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8"/>
      <c r="Q16" s="1810"/>
      <c r="R16" s="774"/>
      <c r="S16" s="775"/>
      <c r="T16" s="774"/>
      <c r="U16" s="775"/>
      <c r="V16" s="774"/>
      <c r="W16" s="775"/>
      <c r="X16" s="1813"/>
      <c r="Y16" s="3248"/>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8"/>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48"/>
      <c r="Q18" s="1810"/>
      <c r="R18" s="774"/>
      <c r="S18" s="775"/>
      <c r="T18" s="774"/>
      <c r="U18" s="775"/>
      <c r="V18" s="774"/>
      <c r="W18" s="775"/>
      <c r="X18" s="1813"/>
      <c r="Y18" s="3248"/>
      <c r="Z18" s="1814"/>
      <c r="AA18" s="1811">
        <v>1</v>
      </c>
      <c r="AB18" s="1811">
        <v>1</v>
      </c>
      <c r="AC18" s="1811">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8"/>
      <c r="Q19" s="1810" t="str">
        <f>B19</f>
        <v>公共配套设施</v>
      </c>
      <c r="R19" s="774" t="s">
        <v>17</v>
      </c>
      <c r="S19" s="775">
        <f>F19</f>
        <v>100</v>
      </c>
      <c r="T19" s="774" t="s">
        <v>17</v>
      </c>
      <c r="U19" s="775">
        <f>H19</f>
        <v>100</v>
      </c>
      <c r="V19" s="774" t="s">
        <v>17</v>
      </c>
      <c r="W19" s="775">
        <f>J19</f>
        <v>100</v>
      </c>
      <c r="X19" s="1813"/>
      <c r="Y19" s="3248"/>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48"/>
      <c r="Q20" s="1810"/>
      <c r="R20" s="774"/>
      <c r="S20" s="775"/>
      <c r="T20" s="774"/>
      <c r="U20" s="775"/>
      <c r="V20" s="774"/>
      <c r="W20" s="775"/>
      <c r="X20" s="1813"/>
      <c r="Y20" s="3248"/>
      <c r="Z20" s="1814"/>
      <c r="AA20" s="1811">
        <v>1</v>
      </c>
      <c r="AB20" s="1811">
        <v>1</v>
      </c>
      <c r="AC20" s="1811">
        <v>1</v>
      </c>
    </row>
    <row r="21" spans="1:29" ht="28.5">
      <c r="A21" s="428"/>
      <c r="B21" s="1384"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8"/>
      <c r="Q21" s="1810" t="str">
        <f>B21</f>
        <v>基础设施水平</v>
      </c>
      <c r="R21" s="774" t="s">
        <v>17</v>
      </c>
      <c r="S21" s="775">
        <f>F21</f>
        <v>100</v>
      </c>
      <c r="T21" s="774" t="s">
        <v>17</v>
      </c>
      <c r="U21" s="775">
        <f>H21</f>
        <v>100</v>
      </c>
      <c r="V21" s="774" t="s">
        <v>17</v>
      </c>
      <c r="W21" s="775">
        <f>J21</f>
        <v>100</v>
      </c>
      <c r="X21" s="1813"/>
      <c r="Y21" s="3248"/>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48"/>
      <c r="Q22" s="1810"/>
      <c r="R22" s="774"/>
      <c r="S22" s="775"/>
      <c r="T22" s="774"/>
      <c r="U22" s="775"/>
      <c r="V22" s="774"/>
      <c r="W22" s="775"/>
      <c r="X22" s="1813"/>
      <c r="Y22" s="3248"/>
      <c r="Z22" s="1814"/>
      <c r="AA22" s="1811">
        <v>1</v>
      </c>
      <c r="AB22" s="1811">
        <v>1</v>
      </c>
      <c r="AC22" s="1811">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8"/>
      <c r="Q23" s="1810" t="str">
        <f>B23</f>
        <v>环境质量</v>
      </c>
      <c r="R23" s="774" t="s">
        <v>17</v>
      </c>
      <c r="S23" s="775">
        <f>F23</f>
        <v>100</v>
      </c>
      <c r="T23" s="774" t="s">
        <v>17</v>
      </c>
      <c r="U23" s="775">
        <f>H23</f>
        <v>100</v>
      </c>
      <c r="V23" s="774" t="s">
        <v>17</v>
      </c>
      <c r="W23" s="775">
        <f>J23</f>
        <v>100</v>
      </c>
      <c r="X23" s="1813"/>
      <c r="Y23" s="3248"/>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48"/>
      <c r="Q24" s="1810"/>
      <c r="R24" s="774"/>
      <c r="S24" s="775"/>
      <c r="T24" s="774"/>
      <c r="U24" s="775"/>
      <c r="V24" s="774"/>
      <c r="W24" s="775"/>
      <c r="X24" s="1813"/>
      <c r="Y24" s="324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8"/>
      <c r="Q25" s="1810">
        <f>B25</f>
        <v>111</v>
      </c>
      <c r="R25" s="774" t="s">
        <v>17</v>
      </c>
      <c r="S25" s="775">
        <f>F25</f>
        <v>100</v>
      </c>
      <c r="T25" s="774" t="s">
        <v>17</v>
      </c>
      <c r="U25" s="775">
        <f>H25</f>
        <v>100</v>
      </c>
      <c r="V25" s="774" t="s">
        <v>17</v>
      </c>
      <c r="W25" s="775">
        <f>J25</f>
        <v>100</v>
      </c>
      <c r="X25" s="1813"/>
      <c r="Y25" s="324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8"/>
      <c r="Q26" s="1810">
        <f t="shared" ref="Q26:Q40" si="11">B26</f>
        <v>111</v>
      </c>
      <c r="R26" s="774" t="s">
        <v>17</v>
      </c>
      <c r="S26" s="775">
        <f>F26</f>
        <v>100</v>
      </c>
      <c r="T26" s="774" t="s">
        <v>17</v>
      </c>
      <c r="U26" s="775">
        <f>H26</f>
        <v>100</v>
      </c>
      <c r="V26" s="774" t="s">
        <v>17</v>
      </c>
      <c r="W26" s="775">
        <f>J26</f>
        <v>100</v>
      </c>
      <c r="X26" s="1813"/>
      <c r="Y26" s="324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8"/>
      <c r="Q27" s="1795">
        <f t="shared" si="11"/>
        <v>111</v>
      </c>
      <c r="R27" s="770" t="s">
        <v>17</v>
      </c>
      <c r="S27" s="771">
        <f>F27</f>
        <v>100</v>
      </c>
      <c r="T27" s="770" t="s">
        <v>17</v>
      </c>
      <c r="U27" s="771">
        <f>H27</f>
        <v>100</v>
      </c>
      <c r="V27" s="770" t="s">
        <v>17</v>
      </c>
      <c r="W27" s="771">
        <f>J27</f>
        <v>100</v>
      </c>
      <c r="X27" s="772"/>
      <c r="Y27" s="324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8"/>
      <c r="Q28" s="1810">
        <f t="shared" si="11"/>
        <v>111</v>
      </c>
      <c r="R28" s="774" t="s">
        <v>17</v>
      </c>
      <c r="S28" s="775">
        <f t="shared" ref="S28:S40" si="12">F28</f>
        <v>100</v>
      </c>
      <c r="T28" s="774" t="s">
        <v>17</v>
      </c>
      <c r="U28" s="775">
        <f t="shared" ref="U28:U40" si="13">H28</f>
        <v>100</v>
      </c>
      <c r="V28" s="774" t="s">
        <v>17</v>
      </c>
      <c r="W28" s="775">
        <f t="shared" ref="W28:W40" si="14">J28</f>
        <v>100</v>
      </c>
      <c r="X28" s="1813"/>
      <c r="Y28" s="3248"/>
      <c r="Z28" s="1814">
        <f t="shared" ref="Z28:Z40" si="15">Q28</f>
        <v>111</v>
      </c>
      <c r="AA28" s="1811">
        <f t="shared" si="3"/>
        <v>1</v>
      </c>
      <c r="AB28" s="1811">
        <f t="shared" si="4"/>
        <v>1</v>
      </c>
      <c r="AC28" s="1811">
        <f t="shared" si="5"/>
        <v>1</v>
      </c>
    </row>
    <row r="29" spans="1:29" ht="28.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73" t="s">
        <v>2564</v>
      </c>
      <c r="Q29" s="1810" t="str">
        <f t="shared" si="11"/>
        <v>建筑类型</v>
      </c>
      <c r="R29" s="774" t="s">
        <v>17</v>
      </c>
      <c r="S29" s="775">
        <f t="shared" si="12"/>
        <v>100</v>
      </c>
      <c r="T29" s="774" t="s">
        <v>17</v>
      </c>
      <c r="U29" s="775">
        <f t="shared" si="13"/>
        <v>100</v>
      </c>
      <c r="V29" s="774" t="s">
        <v>17</v>
      </c>
      <c r="W29" s="775">
        <f t="shared" si="14"/>
        <v>100</v>
      </c>
      <c r="X29" s="1813"/>
      <c r="Y29" s="3252"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2"/>
      <c r="Q30" s="776" t="str">
        <f t="shared" si="11"/>
        <v>项目建筑规模</v>
      </c>
      <c r="R30" s="777" t="s">
        <v>17</v>
      </c>
      <c r="S30" s="778" t="e">
        <f t="shared" si="12"/>
        <v>#N/A</v>
      </c>
      <c r="T30" s="777" t="s">
        <v>17</v>
      </c>
      <c r="U30" s="778" t="e">
        <f t="shared" si="13"/>
        <v>#N/A</v>
      </c>
      <c r="V30" s="777" t="s">
        <v>17</v>
      </c>
      <c r="W30" s="778" t="e">
        <f t="shared" si="14"/>
        <v>#N/A</v>
      </c>
      <c r="X30" s="779"/>
      <c r="Y30" s="3252"/>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2"/>
      <c r="Q31" s="1810" t="str">
        <f t="shared" si="11"/>
        <v>建筑结构</v>
      </c>
      <c r="R31" s="774" t="s">
        <v>17</v>
      </c>
      <c r="S31" s="775">
        <f t="shared" si="12"/>
        <v>100</v>
      </c>
      <c r="T31" s="774" t="s">
        <v>17</v>
      </c>
      <c r="U31" s="775">
        <f t="shared" si="13"/>
        <v>100</v>
      </c>
      <c r="V31" s="774" t="s">
        <v>17</v>
      </c>
      <c r="W31" s="775">
        <f t="shared" si="14"/>
        <v>100</v>
      </c>
      <c r="X31" s="1813"/>
      <c r="Y31" s="3252"/>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2"/>
      <c r="Q32" s="1810" t="str">
        <f t="shared" si="11"/>
        <v>公共部分装修</v>
      </c>
      <c r="R32" s="774" t="s">
        <v>17</v>
      </c>
      <c r="S32" s="775">
        <f t="shared" si="12"/>
        <v>100</v>
      </c>
      <c r="T32" s="774" t="s">
        <v>17</v>
      </c>
      <c r="U32" s="775">
        <f t="shared" si="13"/>
        <v>100</v>
      </c>
      <c r="V32" s="774" t="s">
        <v>17</v>
      </c>
      <c r="W32" s="775">
        <f t="shared" si="14"/>
        <v>100</v>
      </c>
      <c r="X32" s="1813"/>
      <c r="Y32" s="3252"/>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2"/>
      <c r="Q33" s="1810" t="str">
        <f t="shared" si="11"/>
        <v>成新度</v>
      </c>
      <c r="R33" s="774" t="s">
        <v>17</v>
      </c>
      <c r="S33" s="775" t="e">
        <f t="shared" si="12"/>
        <v>#N/A</v>
      </c>
      <c r="T33" s="774" t="s">
        <v>17</v>
      </c>
      <c r="U33" s="775" t="e">
        <f t="shared" si="13"/>
        <v>#N/A</v>
      </c>
      <c r="V33" s="774" t="s">
        <v>17</v>
      </c>
      <c r="W33" s="775" t="e">
        <f t="shared" si="14"/>
        <v>#N/A</v>
      </c>
      <c r="X33" s="1813"/>
      <c r="Y33" s="3252"/>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2"/>
      <c r="Q34" s="1795" t="str">
        <f t="shared" si="11"/>
        <v>物业管理</v>
      </c>
      <c r="R34" s="770" t="s">
        <v>17</v>
      </c>
      <c r="S34" s="771">
        <f t="shared" si="12"/>
        <v>100</v>
      </c>
      <c r="T34" s="770" t="s">
        <v>17</v>
      </c>
      <c r="U34" s="771">
        <f t="shared" si="13"/>
        <v>100</v>
      </c>
      <c r="V34" s="770" t="s">
        <v>17</v>
      </c>
      <c r="W34" s="771">
        <f t="shared" si="14"/>
        <v>100</v>
      </c>
      <c r="X34" s="772"/>
      <c r="Y34" s="3252"/>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2" t="s">
        <v>2564</v>
      </c>
      <c r="Q35" s="1810" t="str">
        <f t="shared" si="11"/>
        <v>市政基础设施</v>
      </c>
      <c r="R35" s="774" t="s">
        <v>17</v>
      </c>
      <c r="S35" s="775">
        <f t="shared" si="12"/>
        <v>100</v>
      </c>
      <c r="T35" s="774" t="s">
        <v>17</v>
      </c>
      <c r="U35" s="775">
        <f t="shared" si="13"/>
        <v>100</v>
      </c>
      <c r="V35" s="774" t="s">
        <v>17</v>
      </c>
      <c r="W35" s="775">
        <f t="shared" si="14"/>
        <v>100</v>
      </c>
      <c r="X35" s="1813"/>
      <c r="Y35" s="3252"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2"/>
      <c r="Q36" s="1810" t="str">
        <f t="shared" si="11"/>
        <v>内部装修</v>
      </c>
      <c r="R36" s="774" t="s">
        <v>17</v>
      </c>
      <c r="S36" s="775">
        <f t="shared" si="12"/>
        <v>100</v>
      </c>
      <c r="T36" s="774" t="s">
        <v>17</v>
      </c>
      <c r="U36" s="775">
        <f t="shared" si="13"/>
        <v>100</v>
      </c>
      <c r="V36" s="774" t="s">
        <v>17</v>
      </c>
      <c r="W36" s="775">
        <f t="shared" si="14"/>
        <v>100</v>
      </c>
      <c r="X36" s="1813"/>
      <c r="Y36" s="3252"/>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2"/>
      <c r="Q37" s="1810" t="str">
        <f t="shared" si="11"/>
        <v>内部装修状况</v>
      </c>
      <c r="R37" s="774" t="s">
        <v>17</v>
      </c>
      <c r="S37" s="775">
        <f t="shared" si="12"/>
        <v>100</v>
      </c>
      <c r="T37" s="774" t="s">
        <v>17</v>
      </c>
      <c r="U37" s="775">
        <f t="shared" si="13"/>
        <v>100</v>
      </c>
      <c r="V37" s="774" t="s">
        <v>17</v>
      </c>
      <c r="W37" s="775">
        <f t="shared" si="14"/>
        <v>100</v>
      </c>
      <c r="X37" s="1813"/>
      <c r="Y37" s="325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2"/>
      <c r="Q38" s="776">
        <f t="shared" si="11"/>
        <v>111</v>
      </c>
      <c r="R38" s="777" t="s">
        <v>17</v>
      </c>
      <c r="S38" s="778">
        <f t="shared" si="12"/>
        <v>100</v>
      </c>
      <c r="T38" s="777" t="s">
        <v>17</v>
      </c>
      <c r="U38" s="778">
        <f t="shared" si="13"/>
        <v>100</v>
      </c>
      <c r="V38" s="777" t="s">
        <v>17</v>
      </c>
      <c r="W38" s="778">
        <f t="shared" si="14"/>
        <v>100</v>
      </c>
      <c r="X38" s="779"/>
      <c r="Y38" s="325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2"/>
      <c r="Q39" s="1810">
        <f t="shared" si="11"/>
        <v>111</v>
      </c>
      <c r="R39" s="774" t="s">
        <v>17</v>
      </c>
      <c r="S39" s="775">
        <f t="shared" si="12"/>
        <v>100</v>
      </c>
      <c r="T39" s="774" t="s">
        <v>17</v>
      </c>
      <c r="U39" s="775">
        <f t="shared" si="13"/>
        <v>100</v>
      </c>
      <c r="V39" s="774" t="s">
        <v>17</v>
      </c>
      <c r="W39" s="775">
        <f t="shared" si="14"/>
        <v>100</v>
      </c>
      <c r="X39" s="1813"/>
      <c r="Y39" s="3252"/>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3"/>
      <c r="Q40" s="1810">
        <f t="shared" si="11"/>
        <v>111</v>
      </c>
      <c r="R40" s="774" t="s">
        <v>17</v>
      </c>
      <c r="S40" s="775">
        <f t="shared" si="12"/>
        <v>100</v>
      </c>
      <c r="T40" s="774" t="s">
        <v>17</v>
      </c>
      <c r="U40" s="775">
        <f t="shared" si="13"/>
        <v>100</v>
      </c>
      <c r="V40" s="774" t="s">
        <v>17</v>
      </c>
      <c r="W40" s="775">
        <f t="shared" si="14"/>
        <v>100</v>
      </c>
      <c r="X40" s="1813"/>
      <c r="Y40" s="3253"/>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45" t="str">
        <f>A41</f>
        <v>成交单价（元/平方米）</v>
      </c>
      <c r="Q41" s="3245"/>
      <c r="R41" s="3246">
        <f>E41</f>
        <v>0</v>
      </c>
      <c r="S41" s="3246"/>
      <c r="T41" s="3246">
        <f>G41</f>
        <v>0</v>
      </c>
      <c r="U41" s="3246"/>
      <c r="V41" s="3246">
        <f>I41</f>
        <v>0</v>
      </c>
      <c r="W41" s="3246"/>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45" t="str">
        <f>A42</f>
        <v>比较价值（元/平方米）</v>
      </c>
      <c r="Q42" s="3245"/>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42" t="str">
        <f>A43</f>
        <v>估价对象XX用房的比较价值（楼面单价，元/平方米）</v>
      </c>
      <c r="Q43" s="3243"/>
      <c r="R43" s="3244" t="e">
        <f>IF(F1="售价",ROUND(AVERAGE(R42:V42),0),ROUND(AVERAGE(R42:V42),1))</f>
        <v>#DIV/0!</v>
      </c>
      <c r="S43" s="3244"/>
      <c r="T43" s="3244"/>
      <c r="U43" s="3244"/>
      <c r="V43" s="3244"/>
      <c r="W43" s="324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北京博大新元房地产开发有限公司：</v>
      </c>
    </row>
    <row r="4" spans="1:1" ht="36">
      <c r="A4" s="1947" t="str">
        <f>"受贵公司委托，我公司对"&amp;项目基本情况!S1&amp;"进行了预评估。"</f>
        <v>受贵公司委托，我公司对北京市北京经济技术开发区河西区X90R1、X90S1地块出让国有建设用地使用权及在建建筑物房地产抵押价值进行了预评估。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1" ht="57.75">
      <c r="A8" s="1950" t="s">
        <v>1608</v>
      </c>
    </row>
    <row r="9" spans="1:1" ht="18.75">
      <c r="A9" s="1949" t="s">
        <v>1609</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2020年1月17日（评估专业人员实地查勘之日）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本次评估采用的主估价方法为比较法和比较法。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2"/>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28" t="s">
        <v>2645</v>
      </c>
      <c r="D4" s="3229"/>
      <c r="E4" s="3230" t="s">
        <v>2646</v>
      </c>
      <c r="F4" s="3231"/>
      <c r="G4" s="3228" t="s">
        <v>2647</v>
      </c>
      <c r="H4" s="3229"/>
      <c r="I4" s="3228" t="s">
        <v>2648</v>
      </c>
      <c r="J4" s="3229"/>
      <c r="K4" s="610" t="s">
        <v>2649</v>
      </c>
      <c r="L4" s="1130"/>
      <c r="M4" s="1131"/>
      <c r="N4" s="1131"/>
      <c r="O4" s="1131"/>
      <c r="P4" s="3232" t="s">
        <v>2650</v>
      </c>
      <c r="Q4" s="3233"/>
      <c r="R4" s="3214" t="s">
        <v>2646</v>
      </c>
      <c r="S4" s="3215"/>
      <c r="T4" s="3214" t="s">
        <v>2647</v>
      </c>
      <c r="U4" s="3215"/>
      <c r="V4" s="3240" t="s">
        <v>2648</v>
      </c>
      <c r="W4" s="3240"/>
      <c r="X4" s="1813"/>
      <c r="Y4" s="3214" t="s">
        <v>2650</v>
      </c>
      <c r="Z4" s="3215"/>
      <c r="AA4" s="3209" t="s">
        <v>2646</v>
      </c>
      <c r="AB4" s="3210" t="s">
        <v>2647</v>
      </c>
      <c r="AC4" s="3209" t="s">
        <v>2648</v>
      </c>
    </row>
    <row r="5" spans="1:29" ht="15">
      <c r="A5" s="404"/>
      <c r="B5" s="405"/>
      <c r="C5" s="3257" t="s">
        <v>2541</v>
      </c>
      <c r="D5" s="3221"/>
      <c r="E5" s="3256" t="s">
        <v>2542</v>
      </c>
      <c r="F5" s="3219"/>
      <c r="G5" s="3257" t="s">
        <v>2543</v>
      </c>
      <c r="H5" s="3221"/>
      <c r="I5" s="3257" t="s">
        <v>2544</v>
      </c>
      <c r="J5" s="3221"/>
      <c r="K5" s="610"/>
      <c r="L5" s="1130"/>
      <c r="M5" s="1131"/>
      <c r="N5" s="1131"/>
      <c r="O5" s="1131"/>
      <c r="P5" s="3234"/>
      <c r="Q5" s="3235"/>
      <c r="R5" s="3216"/>
      <c r="S5" s="3217"/>
      <c r="T5" s="3216"/>
      <c r="U5" s="3217"/>
      <c r="V5" s="3240"/>
      <c r="W5" s="3240"/>
      <c r="X5" s="1813"/>
      <c r="Y5" s="3216"/>
      <c r="Z5" s="3217"/>
      <c r="AA5" s="3210"/>
      <c r="AB5" s="3210"/>
      <c r="AC5" s="3210"/>
    </row>
    <row r="6" spans="1:29" ht="15.75" thickBot="1">
      <c r="A6" s="406"/>
      <c r="B6" s="407"/>
      <c r="C6" s="3226" t="s">
        <v>2545</v>
      </c>
      <c r="D6" s="3223"/>
      <c r="E6" s="3224" t="s">
        <v>2545</v>
      </c>
      <c r="F6" s="3225"/>
      <c r="G6" s="3226" t="s">
        <v>2545</v>
      </c>
      <c r="H6" s="3223"/>
      <c r="I6" s="3226" t="s">
        <v>2545</v>
      </c>
      <c r="J6" s="3223"/>
      <c r="K6" s="610" t="s">
        <v>2546</v>
      </c>
      <c r="L6" s="1130"/>
      <c r="M6" s="1131"/>
      <c r="N6" s="1131"/>
      <c r="O6" s="1131"/>
      <c r="P6" s="3236"/>
      <c r="Q6" s="3237"/>
      <c r="R6" s="3216"/>
      <c r="S6" s="3217"/>
      <c r="T6" s="3238"/>
      <c r="U6" s="3239"/>
      <c r="V6" s="3240"/>
      <c r="W6" s="3240"/>
      <c r="X6" s="1813"/>
      <c r="Y6" s="3238"/>
      <c r="Z6" s="3239"/>
      <c r="AA6" s="3211"/>
      <c r="AB6" s="3211"/>
      <c r="AC6" s="3211"/>
    </row>
    <row r="7" spans="1:29" s="117" customFormat="1" ht="15.75" thickBot="1">
      <c r="A7" s="408" t="s">
        <v>2547</v>
      </c>
      <c r="B7" s="409"/>
      <c r="C7" s="410">
        <f>'数据-取费表'!B2</f>
        <v>43847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2548</v>
      </c>
      <c r="Q7" s="3241"/>
      <c r="R7" s="770" t="s">
        <v>17</v>
      </c>
      <c r="S7" s="771">
        <f t="shared" ref="S7:S14" si="0">F7</f>
        <v>0</v>
      </c>
      <c r="T7" s="770" t="s">
        <v>17</v>
      </c>
      <c r="U7" s="771">
        <f t="shared" ref="U7:U14" si="1">H7</f>
        <v>0</v>
      </c>
      <c r="V7" s="770" t="s">
        <v>17</v>
      </c>
      <c r="W7" s="771">
        <f t="shared" ref="W7:W14" si="2">J7</f>
        <v>0</v>
      </c>
      <c r="X7" s="772"/>
      <c r="Y7" s="3212" t="s">
        <v>2548</v>
      </c>
      <c r="Z7" s="321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2551</v>
      </c>
      <c r="Q8" s="3213"/>
      <c r="R8" s="770" t="s">
        <v>17</v>
      </c>
      <c r="S8" s="771">
        <f t="shared" si="0"/>
        <v>0</v>
      </c>
      <c r="T8" s="770" t="s">
        <v>17</v>
      </c>
      <c r="U8" s="771">
        <f t="shared" si="1"/>
        <v>0</v>
      </c>
      <c r="V8" s="770" t="s">
        <v>17</v>
      </c>
      <c r="W8" s="771">
        <f t="shared" si="2"/>
        <v>0</v>
      </c>
      <c r="X8" s="772"/>
      <c r="Y8" s="3212" t="s">
        <v>2551</v>
      </c>
      <c r="Z8" s="321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5" t="s">
        <v>2554</v>
      </c>
      <c r="Q9" s="1795" t="str">
        <f t="shared" ref="Q9:Q14" si="6">B9</f>
        <v>用途</v>
      </c>
      <c r="R9" s="770" t="s">
        <v>17</v>
      </c>
      <c r="S9" s="771">
        <f t="shared" si="0"/>
        <v>100</v>
      </c>
      <c r="T9" s="770" t="s">
        <v>17</v>
      </c>
      <c r="U9" s="771">
        <f t="shared" si="1"/>
        <v>100</v>
      </c>
      <c r="V9" s="770" t="s">
        <v>17</v>
      </c>
      <c r="W9" s="771">
        <f t="shared" si="2"/>
        <v>100</v>
      </c>
      <c r="X9" s="772"/>
      <c r="Y9" s="305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5"/>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5"/>
      <c r="Q11" s="1795">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5"/>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5"/>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28.25">
      <c r="A14" s="401" t="s">
        <v>2558</v>
      </c>
      <c r="B14" s="629" t="s">
        <v>2708</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7" t="s">
        <v>2559</v>
      </c>
      <c r="Q14" s="1810" t="str">
        <f t="shared" si="6"/>
        <v>交通便捷度</v>
      </c>
      <c r="R14" s="774" t="s">
        <v>17</v>
      </c>
      <c r="S14" s="775">
        <f t="shared" si="0"/>
        <v>100</v>
      </c>
      <c r="T14" s="774" t="s">
        <v>17</v>
      </c>
      <c r="U14" s="775">
        <f t="shared" si="1"/>
        <v>100</v>
      </c>
      <c r="V14" s="774" t="s">
        <v>17</v>
      </c>
      <c r="W14" s="775">
        <f t="shared" si="2"/>
        <v>100</v>
      </c>
      <c r="X14" s="1813"/>
      <c r="Y14" s="3247"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8"/>
      <c r="Q15" s="1810"/>
      <c r="R15" s="774"/>
      <c r="S15" s="775"/>
      <c r="T15" s="774"/>
      <c r="U15" s="775"/>
      <c r="V15" s="774"/>
      <c r="W15" s="775"/>
      <c r="X15" s="1813"/>
      <c r="Y15" s="3248"/>
      <c r="Z15" s="1814"/>
      <c r="AA15" s="1811">
        <v>1</v>
      </c>
      <c r="AB15" s="1811">
        <v>1</v>
      </c>
      <c r="AC15" s="1811">
        <v>1</v>
      </c>
    </row>
    <row r="16" spans="1:29" ht="42.75">
      <c r="A16" s="404"/>
      <c r="B16" s="631" t="s">
        <v>2687</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8"/>
      <c r="Q16" s="1810" t="str">
        <f>B16</f>
        <v>公共配套设施</v>
      </c>
      <c r="R16" s="774" t="s">
        <v>17</v>
      </c>
      <c r="S16" s="775">
        <f>F16</f>
        <v>100</v>
      </c>
      <c r="T16" s="774" t="s">
        <v>17</v>
      </c>
      <c r="U16" s="775">
        <f>H16</f>
        <v>100</v>
      </c>
      <c r="V16" s="774" t="s">
        <v>17</v>
      </c>
      <c r="W16" s="775">
        <f>J16</f>
        <v>100</v>
      </c>
      <c r="X16" s="1813"/>
      <c r="Y16" s="3248"/>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48"/>
      <c r="Q17" s="1810"/>
      <c r="R17" s="774"/>
      <c r="S17" s="775"/>
      <c r="T17" s="774"/>
      <c r="U17" s="775"/>
      <c r="V17" s="774"/>
      <c r="W17" s="775"/>
      <c r="X17" s="1813"/>
      <c r="Y17" s="3248"/>
      <c r="Z17" s="1814"/>
      <c r="AA17" s="1811">
        <v>1</v>
      </c>
      <c r="AB17" s="1811">
        <v>1</v>
      </c>
      <c r="AC17" s="1811">
        <v>1</v>
      </c>
    </row>
    <row r="18" spans="1:29" ht="15">
      <c r="A18" s="404"/>
      <c r="B18" s="633" t="s">
        <v>2688</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8"/>
      <c r="Q18" s="1810" t="str">
        <f>B18</f>
        <v>基础设施水平</v>
      </c>
      <c r="R18" s="774" t="s">
        <v>17</v>
      </c>
      <c r="S18" s="775">
        <f>F18</f>
        <v>100</v>
      </c>
      <c r="T18" s="774" t="s">
        <v>17</v>
      </c>
      <c r="U18" s="775">
        <f>H18</f>
        <v>100</v>
      </c>
      <c r="V18" s="774" t="s">
        <v>17</v>
      </c>
      <c r="W18" s="775">
        <f>J18</f>
        <v>100</v>
      </c>
      <c r="X18" s="1813"/>
      <c r="Y18" s="3248"/>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48"/>
      <c r="Q19" s="1810"/>
      <c r="R19" s="774"/>
      <c r="S19" s="775"/>
      <c r="T19" s="774"/>
      <c r="U19" s="775"/>
      <c r="V19" s="774"/>
      <c r="W19" s="775"/>
      <c r="X19" s="1813"/>
      <c r="Y19" s="3248"/>
      <c r="Z19" s="1814"/>
      <c r="AA19" s="1811">
        <v>1</v>
      </c>
      <c r="AB19" s="1811">
        <v>1</v>
      </c>
      <c r="AC19" s="1811">
        <v>1</v>
      </c>
    </row>
    <row r="20" spans="1:29" ht="114">
      <c r="A20" s="404"/>
      <c r="B20" s="631" t="s">
        <v>2709</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8"/>
      <c r="Q20" s="1810" t="str">
        <f>B20</f>
        <v>自然及人文环境</v>
      </c>
      <c r="R20" s="774" t="s">
        <v>17</v>
      </c>
      <c r="S20" s="775">
        <f>F20</f>
        <v>100</v>
      </c>
      <c r="T20" s="774" t="s">
        <v>17</v>
      </c>
      <c r="U20" s="775">
        <f>H20</f>
        <v>100</v>
      </c>
      <c r="V20" s="774" t="s">
        <v>17</v>
      </c>
      <c r="W20" s="775">
        <f>J20</f>
        <v>100</v>
      </c>
      <c r="X20" s="1813"/>
      <c r="Y20" s="3248"/>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8"/>
      <c r="Q21" s="1810"/>
      <c r="R21" s="774"/>
      <c r="S21" s="775"/>
      <c r="T21" s="774"/>
      <c r="U21" s="775"/>
      <c r="V21" s="774"/>
      <c r="W21" s="775"/>
      <c r="X21" s="1813"/>
      <c r="Y21" s="3248"/>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8"/>
      <c r="Q22" s="1810" t="str">
        <f>B22</f>
        <v>楼层</v>
      </c>
      <c r="R22" s="774" t="s">
        <v>17</v>
      </c>
      <c r="S22" s="775">
        <f>F22</f>
        <v>100</v>
      </c>
      <c r="T22" s="774" t="s">
        <v>17</v>
      </c>
      <c r="U22" s="775">
        <f>H22</f>
        <v>100</v>
      </c>
      <c r="V22" s="774" t="s">
        <v>17</v>
      </c>
      <c r="W22" s="775">
        <f>J22</f>
        <v>100</v>
      </c>
      <c r="X22" s="1813"/>
      <c r="Y22" s="324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8"/>
      <c r="Q23" s="1810">
        <f>B23</f>
        <v>111</v>
      </c>
      <c r="R23" s="774" t="s">
        <v>17</v>
      </c>
      <c r="S23" s="775">
        <f>F23</f>
        <v>100</v>
      </c>
      <c r="T23" s="774" t="s">
        <v>17</v>
      </c>
      <c r="U23" s="775">
        <f>H23</f>
        <v>100</v>
      </c>
      <c r="V23" s="774" t="s">
        <v>17</v>
      </c>
      <c r="W23" s="775">
        <f>J23</f>
        <v>100</v>
      </c>
      <c r="X23" s="1813"/>
      <c r="Y23" s="324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8"/>
      <c r="Q24" s="1810">
        <f t="shared" ref="Q24:Q36" si="11">B24</f>
        <v>111</v>
      </c>
      <c r="R24" s="774" t="s">
        <v>17</v>
      </c>
      <c r="S24" s="775">
        <f>F24</f>
        <v>100</v>
      </c>
      <c r="T24" s="774" t="s">
        <v>17</v>
      </c>
      <c r="U24" s="775">
        <f>H24</f>
        <v>100</v>
      </c>
      <c r="V24" s="774" t="s">
        <v>17</v>
      </c>
      <c r="W24" s="775">
        <f>J24</f>
        <v>100</v>
      </c>
      <c r="X24" s="1813"/>
      <c r="Y24" s="324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8"/>
      <c r="Q25" s="1795">
        <f t="shared" si="11"/>
        <v>111</v>
      </c>
      <c r="R25" s="770" t="s">
        <v>17</v>
      </c>
      <c r="S25" s="771">
        <f>F25</f>
        <v>100</v>
      </c>
      <c r="T25" s="770" t="s">
        <v>17</v>
      </c>
      <c r="U25" s="771">
        <f>H25</f>
        <v>100</v>
      </c>
      <c r="V25" s="770" t="s">
        <v>17</v>
      </c>
      <c r="W25" s="771">
        <f>J25</f>
        <v>100</v>
      </c>
      <c r="X25" s="772"/>
      <c r="Y25" s="3248"/>
      <c r="Z25" s="55">
        <f>Q25</f>
        <v>111</v>
      </c>
      <c r="AA25" s="1811">
        <f>D25/F25</f>
        <v>1</v>
      </c>
      <c r="AB25" s="1811">
        <f>D25/H25</f>
        <v>1</v>
      </c>
      <c r="AC25" s="1811">
        <f>D25/J25</f>
        <v>1</v>
      </c>
    </row>
    <row r="26" spans="1:29" ht="28.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2"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2"/>
      <c r="Q27" s="776" t="str">
        <f t="shared" si="11"/>
        <v>项目停车位配比</v>
      </c>
      <c r="R27" s="777" t="s">
        <v>17</v>
      </c>
      <c r="S27" s="778">
        <f t="shared" si="12"/>
        <v>100</v>
      </c>
      <c r="T27" s="777" t="s">
        <v>17</v>
      </c>
      <c r="U27" s="778">
        <f t="shared" si="13"/>
        <v>100</v>
      </c>
      <c r="V27" s="777" t="s">
        <v>17</v>
      </c>
      <c r="W27" s="778">
        <f t="shared" si="14"/>
        <v>100</v>
      </c>
      <c r="X27" s="779"/>
      <c r="Y27" s="3252"/>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2"/>
      <c r="Q28" s="1810" t="str">
        <f t="shared" si="11"/>
        <v>公共部分装修</v>
      </c>
      <c r="R28" s="774" t="s">
        <v>17</v>
      </c>
      <c r="S28" s="775">
        <f t="shared" si="12"/>
        <v>100</v>
      </c>
      <c r="T28" s="774" t="s">
        <v>17</v>
      </c>
      <c r="U28" s="775">
        <f t="shared" si="13"/>
        <v>100</v>
      </c>
      <c r="V28" s="774" t="s">
        <v>17</v>
      </c>
      <c r="W28" s="775">
        <f t="shared" si="14"/>
        <v>100</v>
      </c>
      <c r="X28" s="1813"/>
      <c r="Y28" s="3252"/>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2"/>
      <c r="Q29" s="1810" t="str">
        <f t="shared" si="11"/>
        <v>成新率</v>
      </c>
      <c r="R29" s="774" t="s">
        <v>17</v>
      </c>
      <c r="S29" s="775" t="e">
        <f t="shared" si="12"/>
        <v>#N/A</v>
      </c>
      <c r="T29" s="774" t="s">
        <v>17</v>
      </c>
      <c r="U29" s="775" t="e">
        <f t="shared" si="13"/>
        <v>#N/A</v>
      </c>
      <c r="V29" s="774" t="s">
        <v>17</v>
      </c>
      <c r="W29" s="775" t="e">
        <f t="shared" si="14"/>
        <v>#N/A</v>
      </c>
      <c r="X29" s="1813"/>
      <c r="Y29" s="3252"/>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2"/>
      <c r="Q30" s="1810" t="str">
        <f t="shared" si="11"/>
        <v>物业等级</v>
      </c>
      <c r="R30" s="774" t="s">
        <v>17</v>
      </c>
      <c r="S30" s="775">
        <f t="shared" si="12"/>
        <v>100</v>
      </c>
      <c r="T30" s="774" t="s">
        <v>17</v>
      </c>
      <c r="U30" s="775">
        <f t="shared" si="13"/>
        <v>100</v>
      </c>
      <c r="V30" s="774" t="s">
        <v>17</v>
      </c>
      <c r="W30" s="775">
        <f t="shared" si="14"/>
        <v>100</v>
      </c>
      <c r="X30" s="1813"/>
      <c r="Y30" s="3252"/>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2"/>
      <c r="Q31" s="1795" t="str">
        <f t="shared" si="11"/>
        <v>停车位面积</v>
      </c>
      <c r="R31" s="770" t="s">
        <v>17</v>
      </c>
      <c r="S31" s="771" t="e">
        <f t="shared" si="12"/>
        <v>#N/A</v>
      </c>
      <c r="T31" s="770" t="s">
        <v>17</v>
      </c>
      <c r="U31" s="771" t="e">
        <f t="shared" si="13"/>
        <v>#N/A</v>
      </c>
      <c r="V31" s="770" t="s">
        <v>17</v>
      </c>
      <c r="W31" s="771" t="e">
        <f t="shared" si="14"/>
        <v>#N/A</v>
      </c>
      <c r="X31" s="772"/>
      <c r="Y31" s="3252"/>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2" t="s">
        <v>2564</v>
      </c>
      <c r="Q32" s="1810" t="str">
        <f t="shared" si="11"/>
        <v>车位类型</v>
      </c>
      <c r="R32" s="774" t="s">
        <v>17</v>
      </c>
      <c r="S32" s="775">
        <f t="shared" si="12"/>
        <v>100</v>
      </c>
      <c r="T32" s="774" t="s">
        <v>17</v>
      </c>
      <c r="U32" s="775">
        <f t="shared" si="13"/>
        <v>100</v>
      </c>
      <c r="V32" s="774" t="s">
        <v>17</v>
      </c>
      <c r="W32" s="775">
        <f t="shared" si="14"/>
        <v>100</v>
      </c>
      <c r="X32" s="1813"/>
      <c r="Y32" s="3252"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2"/>
      <c r="Q33" s="1810" t="str">
        <f t="shared" si="11"/>
        <v>是否直接入户</v>
      </c>
      <c r="R33" s="774" t="s">
        <v>17</v>
      </c>
      <c r="S33" s="775">
        <f t="shared" si="12"/>
        <v>100</v>
      </c>
      <c r="T33" s="774" t="s">
        <v>17</v>
      </c>
      <c r="U33" s="775">
        <f t="shared" si="13"/>
        <v>100</v>
      </c>
      <c r="V33" s="774" t="s">
        <v>17</v>
      </c>
      <c r="W33" s="775">
        <f t="shared" si="14"/>
        <v>100</v>
      </c>
      <c r="X33" s="1813"/>
      <c r="Y33" s="325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2"/>
      <c r="Q34" s="1810">
        <f t="shared" si="11"/>
        <v>111</v>
      </c>
      <c r="R34" s="774" t="s">
        <v>17</v>
      </c>
      <c r="S34" s="775">
        <f t="shared" si="12"/>
        <v>100</v>
      </c>
      <c r="T34" s="774" t="s">
        <v>17</v>
      </c>
      <c r="U34" s="775">
        <f t="shared" si="13"/>
        <v>100</v>
      </c>
      <c r="V34" s="774" t="s">
        <v>17</v>
      </c>
      <c r="W34" s="775">
        <f t="shared" si="14"/>
        <v>100</v>
      </c>
      <c r="X34" s="1813"/>
      <c r="Y34" s="325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2"/>
      <c r="Q35" s="776">
        <f t="shared" si="11"/>
        <v>111</v>
      </c>
      <c r="R35" s="777" t="s">
        <v>17</v>
      </c>
      <c r="S35" s="778">
        <f t="shared" si="12"/>
        <v>100</v>
      </c>
      <c r="T35" s="777" t="s">
        <v>17</v>
      </c>
      <c r="U35" s="778">
        <f t="shared" si="13"/>
        <v>100</v>
      </c>
      <c r="V35" s="777" t="s">
        <v>17</v>
      </c>
      <c r="W35" s="778">
        <f t="shared" si="14"/>
        <v>100</v>
      </c>
      <c r="X35" s="779"/>
      <c r="Y35" s="325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2"/>
      <c r="Q36" s="1810">
        <f t="shared" si="11"/>
        <v>111</v>
      </c>
      <c r="R36" s="774" t="s">
        <v>17</v>
      </c>
      <c r="S36" s="775">
        <f t="shared" si="12"/>
        <v>100</v>
      </c>
      <c r="T36" s="774" t="s">
        <v>17</v>
      </c>
      <c r="U36" s="775">
        <f t="shared" si="13"/>
        <v>100</v>
      </c>
      <c r="V36" s="774" t="s">
        <v>17</v>
      </c>
      <c r="W36" s="775">
        <f t="shared" si="14"/>
        <v>100</v>
      </c>
      <c r="X36" s="1813"/>
      <c r="Y36" s="3252"/>
      <c r="Z36" s="1814">
        <f t="shared" si="15"/>
        <v>111</v>
      </c>
      <c r="AA36" s="1811">
        <f t="shared" si="3"/>
        <v>1</v>
      </c>
      <c r="AB36" s="1811">
        <f t="shared" si="4"/>
        <v>1</v>
      </c>
      <c r="AC36" s="1811">
        <f t="shared" si="5"/>
        <v>1</v>
      </c>
    </row>
    <row r="37" spans="1:29" ht="15">
      <c r="A37" s="479" t="s">
        <v>2719</v>
      </c>
      <c r="B37" s="2693" t="s">
        <v>2720</v>
      </c>
      <c r="C37" s="1407" t="s">
        <v>1</v>
      </c>
      <c r="D37" s="1408"/>
      <c r="E37" s="1409"/>
      <c r="F37" s="1410"/>
      <c r="G37" s="1411"/>
      <c r="H37" s="1412"/>
      <c r="I37" s="1409"/>
      <c r="J37" s="1412"/>
      <c r="K37" s="619"/>
      <c r="L37" s="1143"/>
      <c r="M37" s="1144"/>
      <c r="N37" s="1131"/>
      <c r="O37" s="1144"/>
      <c r="P37" s="3245" t="str">
        <f>A37</f>
        <v>成交单价</v>
      </c>
      <c r="Q37" s="3245"/>
      <c r="R37" s="3246">
        <f>E37</f>
        <v>0</v>
      </c>
      <c r="S37" s="3246"/>
      <c r="T37" s="3246">
        <f>G37</f>
        <v>0</v>
      </c>
      <c r="U37" s="3246"/>
      <c r="V37" s="3246">
        <f>I37</f>
        <v>0</v>
      </c>
      <c r="W37" s="3246"/>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5" t="str">
        <f>A38</f>
        <v>比较价值（元/平方米）</v>
      </c>
      <c r="Q38" s="3245"/>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42" t="str">
        <f>A39</f>
        <v>估价对象XX用房的比较价值（楼面单价，元/平方米）</v>
      </c>
      <c r="Q39" s="3243"/>
      <c r="R39" s="3244" t="e">
        <f>IF(F1="售价",ROUND(AVERAGE(R38:V38),0),ROUND(AVERAGE(R38:V38),1))</f>
        <v>#DIV/0!</v>
      </c>
      <c r="S39" s="3244"/>
      <c r="T39" s="3244"/>
      <c r="U39" s="3244"/>
      <c r="V39" s="3244"/>
      <c r="W39" s="324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8" t="s">
        <v>2645</v>
      </c>
      <c r="D4" s="3229"/>
      <c r="E4" s="3230" t="s">
        <v>2646</v>
      </c>
      <c r="F4" s="3231"/>
      <c r="G4" s="3228" t="s">
        <v>2647</v>
      </c>
      <c r="H4" s="3229"/>
      <c r="I4" s="3228" t="s">
        <v>2648</v>
      </c>
      <c r="J4" s="3229"/>
      <c r="K4" s="610" t="s">
        <v>2649</v>
      </c>
      <c r="L4" s="1130"/>
      <c r="M4" s="1131"/>
      <c r="N4" s="1131"/>
      <c r="O4" s="1131"/>
      <c r="P4" s="3232" t="s">
        <v>2650</v>
      </c>
      <c r="Q4" s="3233"/>
      <c r="R4" s="3214" t="s">
        <v>2646</v>
      </c>
      <c r="S4" s="3215"/>
      <c r="T4" s="3214" t="s">
        <v>2647</v>
      </c>
      <c r="U4" s="3215"/>
      <c r="V4" s="3240" t="s">
        <v>2648</v>
      </c>
      <c r="W4" s="3240"/>
      <c r="X4" s="1813"/>
      <c r="Y4" s="3214" t="s">
        <v>2650</v>
      </c>
      <c r="Z4" s="3215"/>
      <c r="AA4" s="3209" t="s">
        <v>2646</v>
      </c>
      <c r="AB4" s="3210" t="s">
        <v>2647</v>
      </c>
      <c r="AC4" s="3209" t="s">
        <v>2648</v>
      </c>
    </row>
    <row r="5" spans="1:29" ht="15">
      <c r="A5" s="404"/>
      <c r="B5" s="405"/>
      <c r="C5" s="3257" t="s">
        <v>2541</v>
      </c>
      <c r="D5" s="3221"/>
      <c r="E5" s="3256" t="s">
        <v>2542</v>
      </c>
      <c r="F5" s="3219"/>
      <c r="G5" s="3257" t="s">
        <v>2543</v>
      </c>
      <c r="H5" s="3221"/>
      <c r="I5" s="3257" t="s">
        <v>2544</v>
      </c>
      <c r="J5" s="3221"/>
      <c r="K5" s="610"/>
      <c r="L5" s="1130"/>
      <c r="M5" s="1131"/>
      <c r="N5" s="1131"/>
      <c r="O5" s="1131"/>
      <c r="P5" s="3234"/>
      <c r="Q5" s="3235"/>
      <c r="R5" s="3216"/>
      <c r="S5" s="3217"/>
      <c r="T5" s="3216"/>
      <c r="U5" s="3217"/>
      <c r="V5" s="3240"/>
      <c r="W5" s="3240"/>
      <c r="X5" s="1813"/>
      <c r="Y5" s="3216"/>
      <c r="Z5" s="3217"/>
      <c r="AA5" s="3210"/>
      <c r="AB5" s="3210"/>
      <c r="AC5" s="3210"/>
    </row>
    <row r="6" spans="1:29" ht="15.75" thickBot="1">
      <c r="A6" s="406"/>
      <c r="B6" s="407"/>
      <c r="C6" s="3226" t="s">
        <v>2545</v>
      </c>
      <c r="D6" s="3223"/>
      <c r="E6" s="3224" t="s">
        <v>2545</v>
      </c>
      <c r="F6" s="3225"/>
      <c r="G6" s="3226" t="s">
        <v>2545</v>
      </c>
      <c r="H6" s="3223"/>
      <c r="I6" s="3226" t="s">
        <v>2545</v>
      </c>
      <c r="J6" s="3223"/>
      <c r="K6" s="610" t="s">
        <v>2546</v>
      </c>
      <c r="L6" s="1130"/>
      <c r="M6" s="1131"/>
      <c r="N6" s="1131"/>
      <c r="O6" s="1131"/>
      <c r="P6" s="3236"/>
      <c r="Q6" s="3237"/>
      <c r="R6" s="3216"/>
      <c r="S6" s="3217"/>
      <c r="T6" s="3238"/>
      <c r="U6" s="3239"/>
      <c r="V6" s="3240"/>
      <c r="W6" s="3240"/>
      <c r="X6" s="1813"/>
      <c r="Y6" s="3238"/>
      <c r="Z6" s="3239"/>
      <c r="AA6" s="3211"/>
      <c r="AB6" s="3211"/>
      <c r="AC6" s="3211"/>
    </row>
    <row r="7" spans="1:29" s="117" customFormat="1" ht="15.75" thickBot="1">
      <c r="A7" s="408" t="s">
        <v>2547</v>
      </c>
      <c r="B7" s="409"/>
      <c r="C7" s="410">
        <f>'数据-取费表'!B2</f>
        <v>43847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2" t="s">
        <v>2548</v>
      </c>
      <c r="Q7" s="3241"/>
      <c r="R7" s="770" t="s">
        <v>17</v>
      </c>
      <c r="S7" s="771">
        <f t="shared" ref="S7:S14" si="0">F7</f>
        <v>0</v>
      </c>
      <c r="T7" s="770" t="s">
        <v>17</v>
      </c>
      <c r="U7" s="771">
        <f t="shared" ref="U7:U14" si="1">H7</f>
        <v>0</v>
      </c>
      <c r="V7" s="770" t="s">
        <v>17</v>
      </c>
      <c r="W7" s="771">
        <f t="shared" ref="W7:W14" si="2">J7</f>
        <v>0</v>
      </c>
      <c r="X7" s="772"/>
      <c r="Y7" s="3212" t="s">
        <v>2548</v>
      </c>
      <c r="Z7" s="321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2551</v>
      </c>
      <c r="Q8" s="3213"/>
      <c r="R8" s="770" t="s">
        <v>17</v>
      </c>
      <c r="S8" s="771">
        <f t="shared" si="0"/>
        <v>0</v>
      </c>
      <c r="T8" s="770" t="s">
        <v>17</v>
      </c>
      <c r="U8" s="771">
        <f t="shared" si="1"/>
        <v>0</v>
      </c>
      <c r="V8" s="770" t="s">
        <v>17</v>
      </c>
      <c r="W8" s="771">
        <f t="shared" si="2"/>
        <v>0</v>
      </c>
      <c r="X8" s="772"/>
      <c r="Y8" s="3212" t="s">
        <v>2551</v>
      </c>
      <c r="Z8" s="321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5" t="s">
        <v>2554</v>
      </c>
      <c r="Q9" s="1795" t="str">
        <f t="shared" ref="Q9:Q14" si="6">B9</f>
        <v>用途</v>
      </c>
      <c r="R9" s="770" t="s">
        <v>17</v>
      </c>
      <c r="S9" s="771">
        <f t="shared" si="0"/>
        <v>100</v>
      </c>
      <c r="T9" s="770" t="s">
        <v>17</v>
      </c>
      <c r="U9" s="771">
        <f t="shared" si="1"/>
        <v>100</v>
      </c>
      <c r="V9" s="770" t="s">
        <v>17</v>
      </c>
      <c r="W9" s="771">
        <f t="shared" si="2"/>
        <v>100</v>
      </c>
      <c r="X9" s="772"/>
      <c r="Y9" s="305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5"/>
      <c r="Q10" s="1795" t="str">
        <f t="shared" si="6"/>
        <v>土地使用年限（年）</v>
      </c>
      <c r="R10" s="770" t="s">
        <v>17</v>
      </c>
      <c r="S10" s="771">
        <f t="shared" si="0"/>
        <v>100</v>
      </c>
      <c r="T10" s="770" t="s">
        <v>17</v>
      </c>
      <c r="U10" s="771">
        <f t="shared" si="1"/>
        <v>100</v>
      </c>
      <c r="V10" s="770" t="s">
        <v>17</v>
      </c>
      <c r="W10" s="771">
        <f t="shared" si="2"/>
        <v>100</v>
      </c>
      <c r="X10" s="772"/>
      <c r="Y10" s="305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5"/>
      <c r="Q11" s="1795">
        <f t="shared" si="6"/>
        <v>111</v>
      </c>
      <c r="R11" s="770" t="s">
        <v>17</v>
      </c>
      <c r="S11" s="771">
        <f t="shared" si="0"/>
        <v>100</v>
      </c>
      <c r="T11" s="770" t="s">
        <v>17</v>
      </c>
      <c r="U11" s="771">
        <f t="shared" si="1"/>
        <v>100</v>
      </c>
      <c r="V11" s="770" t="s">
        <v>17</v>
      </c>
      <c r="W11" s="771">
        <f t="shared" si="2"/>
        <v>100</v>
      </c>
      <c r="X11" s="772"/>
      <c r="Y11" s="305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5"/>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45"/>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28.25">
      <c r="A14" s="440" t="s">
        <v>2558</v>
      </c>
      <c r="B14" s="69" t="s">
        <v>2708</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7" t="s">
        <v>2559</v>
      </c>
      <c r="Q14" s="1810" t="str">
        <f t="shared" si="6"/>
        <v>交通便捷度</v>
      </c>
      <c r="R14" s="774" t="s">
        <v>17</v>
      </c>
      <c r="S14" s="775">
        <f t="shared" si="0"/>
        <v>100</v>
      </c>
      <c r="T14" s="774" t="s">
        <v>17</v>
      </c>
      <c r="U14" s="775">
        <f t="shared" si="1"/>
        <v>100</v>
      </c>
      <c r="V14" s="774" t="s">
        <v>17</v>
      </c>
      <c r="W14" s="775">
        <f t="shared" si="2"/>
        <v>100</v>
      </c>
      <c r="X14" s="1813"/>
      <c r="Y14" s="3247"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8"/>
      <c r="Q15" s="1810"/>
      <c r="R15" s="774"/>
      <c r="S15" s="775"/>
      <c r="T15" s="774"/>
      <c r="U15" s="775"/>
      <c r="V15" s="774"/>
      <c r="W15" s="775"/>
      <c r="X15" s="1813"/>
      <c r="Y15" s="3248"/>
      <c r="Z15" s="1814"/>
      <c r="AA15" s="1811">
        <v>1</v>
      </c>
      <c r="AB15" s="1811">
        <v>1</v>
      </c>
      <c r="AC15" s="1811">
        <v>1</v>
      </c>
    </row>
    <row r="16" spans="1:29" ht="42.75">
      <c r="A16" s="428"/>
      <c r="B16" s="451" t="s">
        <v>2687</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8"/>
      <c r="Q16" s="1810" t="str">
        <f>B16</f>
        <v>公共配套设施</v>
      </c>
      <c r="R16" s="774" t="s">
        <v>17</v>
      </c>
      <c r="S16" s="775">
        <f>F16</f>
        <v>100</v>
      </c>
      <c r="T16" s="774" t="s">
        <v>17</v>
      </c>
      <c r="U16" s="775">
        <f>H16</f>
        <v>100</v>
      </c>
      <c r="V16" s="774" t="s">
        <v>17</v>
      </c>
      <c r="W16" s="775">
        <f>J16</f>
        <v>100</v>
      </c>
      <c r="X16" s="1813"/>
      <c r="Y16" s="3248"/>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48"/>
      <c r="Q17" s="1810"/>
      <c r="R17" s="774"/>
      <c r="S17" s="775"/>
      <c r="T17" s="774"/>
      <c r="U17" s="775"/>
      <c r="V17" s="774"/>
      <c r="W17" s="775"/>
      <c r="X17" s="1813"/>
      <c r="Y17" s="3248"/>
      <c r="Z17" s="1814"/>
      <c r="AA17" s="1811">
        <v>1</v>
      </c>
      <c r="AB17" s="1811">
        <v>1</v>
      </c>
      <c r="AC17" s="1811">
        <v>1</v>
      </c>
    </row>
    <row r="18" spans="1:29" ht="15">
      <c r="A18" s="428"/>
      <c r="B18" s="1384" t="s">
        <v>2688</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8"/>
      <c r="Q18" s="1810" t="str">
        <f>B18</f>
        <v>基础设施水平</v>
      </c>
      <c r="R18" s="774" t="s">
        <v>17</v>
      </c>
      <c r="S18" s="775">
        <f>F18</f>
        <v>100</v>
      </c>
      <c r="T18" s="774" t="s">
        <v>17</v>
      </c>
      <c r="U18" s="775">
        <f>H18</f>
        <v>100</v>
      </c>
      <c r="V18" s="774" t="s">
        <v>17</v>
      </c>
      <c r="W18" s="775">
        <f>J18</f>
        <v>100</v>
      </c>
      <c r="X18" s="1813"/>
      <c r="Y18" s="3248"/>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48"/>
      <c r="Q19" s="1810"/>
      <c r="R19" s="774"/>
      <c r="S19" s="775"/>
      <c r="T19" s="774"/>
      <c r="U19" s="775"/>
      <c r="V19" s="774"/>
      <c r="W19" s="775"/>
      <c r="X19" s="1813"/>
      <c r="Y19" s="3248"/>
      <c r="Z19" s="1814"/>
      <c r="AA19" s="1811">
        <v>1</v>
      </c>
      <c r="AB19" s="1811">
        <v>1</v>
      </c>
      <c r="AC19" s="1811">
        <v>1</v>
      </c>
    </row>
    <row r="20" spans="1:29" ht="114">
      <c r="A20" s="428"/>
      <c r="B20" s="451" t="s">
        <v>2709</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8"/>
      <c r="Q20" s="1810" t="str">
        <f>B20</f>
        <v>自然及人文环境</v>
      </c>
      <c r="R20" s="774" t="s">
        <v>17</v>
      </c>
      <c r="S20" s="775">
        <f>F20</f>
        <v>100</v>
      </c>
      <c r="T20" s="774" t="s">
        <v>17</v>
      </c>
      <c r="U20" s="775">
        <f>H20</f>
        <v>100</v>
      </c>
      <c r="V20" s="774" t="s">
        <v>17</v>
      </c>
      <c r="W20" s="775">
        <f>J20</f>
        <v>100</v>
      </c>
      <c r="X20" s="1813"/>
      <c r="Y20" s="324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8"/>
      <c r="Q21" s="1810"/>
      <c r="R21" s="774"/>
      <c r="S21" s="775"/>
      <c r="T21" s="774"/>
      <c r="U21" s="775"/>
      <c r="V21" s="774"/>
      <c r="W21" s="775"/>
      <c r="X21" s="1813"/>
      <c r="Y21" s="3248"/>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8"/>
      <c r="Q22" s="1810" t="str">
        <f>B22</f>
        <v>楼层</v>
      </c>
      <c r="R22" s="774" t="s">
        <v>17</v>
      </c>
      <c r="S22" s="775">
        <f>F22</f>
        <v>100</v>
      </c>
      <c r="T22" s="774" t="s">
        <v>17</v>
      </c>
      <c r="U22" s="775">
        <f>H22</f>
        <v>100</v>
      </c>
      <c r="V22" s="774" t="s">
        <v>17</v>
      </c>
      <c r="W22" s="775">
        <f>J22</f>
        <v>100</v>
      </c>
      <c r="X22" s="1813"/>
      <c r="Y22" s="3248"/>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8"/>
      <c r="Q23" s="1810">
        <f>B23</f>
        <v>111</v>
      </c>
      <c r="R23" s="774" t="s">
        <v>17</v>
      </c>
      <c r="S23" s="775">
        <f>F23</f>
        <v>100</v>
      </c>
      <c r="T23" s="774" t="s">
        <v>17</v>
      </c>
      <c r="U23" s="775">
        <f>H23</f>
        <v>100</v>
      </c>
      <c r="V23" s="774" t="s">
        <v>17</v>
      </c>
      <c r="W23" s="775">
        <f>J23</f>
        <v>100</v>
      </c>
      <c r="X23" s="1813"/>
      <c r="Y23" s="3248"/>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8"/>
      <c r="Q24" s="1810">
        <f t="shared" ref="Q24:Q34" si="11">B24</f>
        <v>111</v>
      </c>
      <c r="R24" s="774" t="s">
        <v>17</v>
      </c>
      <c r="S24" s="775">
        <f>F24</f>
        <v>100</v>
      </c>
      <c r="T24" s="774" t="s">
        <v>17</v>
      </c>
      <c r="U24" s="775">
        <f>H24</f>
        <v>100</v>
      </c>
      <c r="V24" s="774" t="s">
        <v>17</v>
      </c>
      <c r="W24" s="775">
        <f>J24</f>
        <v>100</v>
      </c>
      <c r="X24" s="1813"/>
      <c r="Y24" s="3248"/>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48"/>
      <c r="Q25" s="1795">
        <f t="shared" si="11"/>
        <v>111</v>
      </c>
      <c r="R25" s="770" t="s">
        <v>17</v>
      </c>
      <c r="S25" s="771">
        <f>F25</f>
        <v>100</v>
      </c>
      <c r="T25" s="770" t="s">
        <v>17</v>
      </c>
      <c r="U25" s="771">
        <f>H25</f>
        <v>100</v>
      </c>
      <c r="V25" s="770" t="s">
        <v>17</v>
      </c>
      <c r="W25" s="771">
        <f>J25</f>
        <v>100</v>
      </c>
      <c r="X25" s="772"/>
      <c r="Y25" s="3248"/>
      <c r="Z25" s="55">
        <f>Q25</f>
        <v>111</v>
      </c>
      <c r="AA25" s="1811">
        <f>D25/F25</f>
        <v>1</v>
      </c>
      <c r="AB25" s="1811">
        <f>D25/H25</f>
        <v>1</v>
      </c>
      <c r="AC25" s="1811">
        <f>D25/J25</f>
        <v>1</v>
      </c>
    </row>
    <row r="26" spans="1:29" ht="28.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7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2"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2"/>
      <c r="Q27" s="776" t="str">
        <f t="shared" si="11"/>
        <v>成新率</v>
      </c>
      <c r="R27" s="777" t="s">
        <v>17</v>
      </c>
      <c r="S27" s="778" t="e">
        <f t="shared" si="12"/>
        <v>#N/A</v>
      </c>
      <c r="T27" s="777" t="s">
        <v>17</v>
      </c>
      <c r="U27" s="778" t="e">
        <f t="shared" si="13"/>
        <v>#N/A</v>
      </c>
      <c r="V27" s="777" t="s">
        <v>17</v>
      </c>
      <c r="W27" s="778" t="e">
        <f t="shared" si="14"/>
        <v>#N/A</v>
      </c>
      <c r="X27" s="779"/>
      <c r="Y27" s="3252"/>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2"/>
      <c r="Q28" s="1810" t="str">
        <f t="shared" si="11"/>
        <v>物业等级</v>
      </c>
      <c r="R28" s="774" t="s">
        <v>17</v>
      </c>
      <c r="S28" s="775">
        <f t="shared" si="12"/>
        <v>100</v>
      </c>
      <c r="T28" s="774" t="s">
        <v>17</v>
      </c>
      <c r="U28" s="775">
        <f t="shared" si="13"/>
        <v>100</v>
      </c>
      <c r="V28" s="774" t="s">
        <v>17</v>
      </c>
      <c r="W28" s="775">
        <f t="shared" si="14"/>
        <v>100</v>
      </c>
      <c r="X28" s="1813"/>
      <c r="Y28" s="3252"/>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2"/>
      <c r="Q29" s="1810" t="str">
        <f t="shared" si="11"/>
        <v>有无电梯</v>
      </c>
      <c r="R29" s="774" t="s">
        <v>17</v>
      </c>
      <c r="S29" s="775">
        <f t="shared" si="12"/>
        <v>100</v>
      </c>
      <c r="T29" s="774" t="s">
        <v>17</v>
      </c>
      <c r="U29" s="775">
        <f t="shared" si="13"/>
        <v>100</v>
      </c>
      <c r="V29" s="774" t="s">
        <v>17</v>
      </c>
      <c r="W29" s="775">
        <f t="shared" si="14"/>
        <v>100</v>
      </c>
      <c r="X29" s="1813"/>
      <c r="Y29" s="3252"/>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2"/>
      <c r="Q30" s="1810" t="str">
        <f t="shared" si="11"/>
        <v>建筑面积</v>
      </c>
      <c r="R30" s="774" t="s">
        <v>17</v>
      </c>
      <c r="S30" s="775" t="e">
        <f t="shared" si="12"/>
        <v>#N/A</v>
      </c>
      <c r="T30" s="774" t="s">
        <v>17</v>
      </c>
      <c r="U30" s="775" t="e">
        <f t="shared" si="13"/>
        <v>#N/A</v>
      </c>
      <c r="V30" s="774" t="s">
        <v>17</v>
      </c>
      <c r="W30" s="775" t="e">
        <f t="shared" si="14"/>
        <v>#N/A</v>
      </c>
      <c r="X30" s="1813"/>
      <c r="Y30" s="3252"/>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2"/>
      <c r="Q31" s="1795" t="str">
        <f t="shared" si="11"/>
        <v>是否封闭</v>
      </c>
      <c r="R31" s="770" t="s">
        <v>17</v>
      </c>
      <c r="S31" s="771">
        <f t="shared" si="12"/>
        <v>100</v>
      </c>
      <c r="T31" s="770" t="s">
        <v>17</v>
      </c>
      <c r="U31" s="771">
        <f t="shared" si="13"/>
        <v>100</v>
      </c>
      <c r="V31" s="770" t="s">
        <v>17</v>
      </c>
      <c r="W31" s="771">
        <f t="shared" si="14"/>
        <v>100</v>
      </c>
      <c r="X31" s="772"/>
      <c r="Y31" s="325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2" t="s">
        <v>2564</v>
      </c>
      <c r="Q32" s="1810">
        <f t="shared" si="11"/>
        <v>111</v>
      </c>
      <c r="R32" s="774" t="s">
        <v>17</v>
      </c>
      <c r="S32" s="775">
        <f t="shared" si="12"/>
        <v>100</v>
      </c>
      <c r="T32" s="774" t="s">
        <v>17</v>
      </c>
      <c r="U32" s="775">
        <f t="shared" si="13"/>
        <v>100</v>
      </c>
      <c r="V32" s="774" t="s">
        <v>17</v>
      </c>
      <c r="W32" s="775">
        <f t="shared" si="14"/>
        <v>100</v>
      </c>
      <c r="X32" s="1813"/>
      <c r="Y32" s="3252"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2"/>
      <c r="Q33" s="1810">
        <f t="shared" si="11"/>
        <v>111</v>
      </c>
      <c r="R33" s="774" t="s">
        <v>17</v>
      </c>
      <c r="S33" s="775">
        <f t="shared" si="12"/>
        <v>100</v>
      </c>
      <c r="T33" s="774" t="s">
        <v>17</v>
      </c>
      <c r="U33" s="775">
        <f t="shared" si="13"/>
        <v>100</v>
      </c>
      <c r="V33" s="774" t="s">
        <v>17</v>
      </c>
      <c r="W33" s="775">
        <f t="shared" si="14"/>
        <v>100</v>
      </c>
      <c r="X33" s="1813"/>
      <c r="Y33" s="3252"/>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52"/>
      <c r="Q34" s="1810">
        <f t="shared" si="11"/>
        <v>111</v>
      </c>
      <c r="R34" s="774" t="s">
        <v>17</v>
      </c>
      <c r="S34" s="775">
        <f t="shared" si="12"/>
        <v>100</v>
      </c>
      <c r="T34" s="774" t="s">
        <v>17</v>
      </c>
      <c r="U34" s="775">
        <f t="shared" si="13"/>
        <v>100</v>
      </c>
      <c r="V34" s="774" t="s">
        <v>17</v>
      </c>
      <c r="W34" s="775">
        <f t="shared" si="14"/>
        <v>100</v>
      </c>
      <c r="X34" s="1813"/>
      <c r="Y34" s="3252"/>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45" t="str">
        <f>A35</f>
        <v>成交单价（元/平方米）</v>
      </c>
      <c r="Q35" s="3245"/>
      <c r="R35" s="3246">
        <f>E35</f>
        <v>0</v>
      </c>
      <c r="S35" s="3246"/>
      <c r="T35" s="3246">
        <f>G35</f>
        <v>0</v>
      </c>
      <c r="U35" s="3246"/>
      <c r="V35" s="3246">
        <f>I35</f>
        <v>0</v>
      </c>
      <c r="W35" s="3246"/>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45" t="str">
        <f>A36</f>
        <v>比较价值（元/平方米）</v>
      </c>
      <c r="Q36" s="3245"/>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42" t="str">
        <f>A37</f>
        <v>估价对象XX用房的比较价值（楼面单价，元/平方米）</v>
      </c>
      <c r="Q37" s="3243"/>
      <c r="R37" s="3244" t="e">
        <f>IF(F1="售价",ROUND(AVERAGE(R36:V36),0),ROUND(AVERAGE(R36:V36),1))</f>
        <v>#DIV/0!</v>
      </c>
      <c r="S37" s="3244"/>
      <c r="T37" s="3244"/>
      <c r="U37" s="3244"/>
      <c r="V37" s="3244"/>
      <c r="W37" s="324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28" t="s">
        <v>2645</v>
      </c>
      <c r="D4" s="3229"/>
      <c r="E4" s="3230" t="s">
        <v>2646</v>
      </c>
      <c r="F4" s="3231"/>
      <c r="G4" s="3228" t="s">
        <v>2647</v>
      </c>
      <c r="H4" s="3229"/>
      <c r="I4" s="3228" t="s">
        <v>2648</v>
      </c>
      <c r="J4" s="3229"/>
      <c r="K4" s="610" t="s">
        <v>2649</v>
      </c>
      <c r="L4" s="1130"/>
      <c r="M4" s="1131"/>
      <c r="N4" s="1131"/>
      <c r="O4" s="1131"/>
      <c r="P4" s="3232" t="s">
        <v>2650</v>
      </c>
      <c r="Q4" s="3233"/>
      <c r="R4" s="3214" t="s">
        <v>2646</v>
      </c>
      <c r="S4" s="3215"/>
      <c r="T4" s="3214" t="s">
        <v>2647</v>
      </c>
      <c r="U4" s="3215"/>
      <c r="V4" s="3240" t="s">
        <v>2648</v>
      </c>
      <c r="W4" s="3240"/>
      <c r="X4" s="1813"/>
      <c r="Y4" s="3214" t="s">
        <v>2650</v>
      </c>
      <c r="Z4" s="3215"/>
      <c r="AA4" s="3209" t="s">
        <v>2646</v>
      </c>
      <c r="AB4" s="3210" t="s">
        <v>2647</v>
      </c>
      <c r="AC4" s="3209" t="s">
        <v>2648</v>
      </c>
    </row>
    <row r="5" spans="1:30" ht="15">
      <c r="A5" s="404"/>
      <c r="B5" s="405"/>
      <c r="C5" s="3257" t="s">
        <v>2541</v>
      </c>
      <c r="D5" s="3221"/>
      <c r="E5" s="3256" t="s">
        <v>2542</v>
      </c>
      <c r="F5" s="3219"/>
      <c r="G5" s="3257" t="s">
        <v>2543</v>
      </c>
      <c r="H5" s="3221"/>
      <c r="I5" s="3257" t="s">
        <v>2544</v>
      </c>
      <c r="J5" s="3221"/>
      <c r="K5" s="610"/>
      <c r="L5" s="1130"/>
      <c r="M5" s="1131"/>
      <c r="N5" s="1131"/>
      <c r="O5" s="1131"/>
      <c r="P5" s="3234"/>
      <c r="Q5" s="3235"/>
      <c r="R5" s="3216"/>
      <c r="S5" s="3217"/>
      <c r="T5" s="3216"/>
      <c r="U5" s="3217"/>
      <c r="V5" s="3240"/>
      <c r="W5" s="3240"/>
      <c r="X5" s="1813"/>
      <c r="Y5" s="3216"/>
      <c r="Z5" s="3217"/>
      <c r="AA5" s="3210"/>
      <c r="AB5" s="3210"/>
      <c r="AC5" s="3210"/>
    </row>
    <row r="6" spans="1:30" ht="15.75" thickBot="1">
      <c r="A6" s="406"/>
      <c r="B6" s="407"/>
      <c r="C6" s="3226" t="s">
        <v>2545</v>
      </c>
      <c r="D6" s="3223"/>
      <c r="E6" s="3224" t="s">
        <v>2545</v>
      </c>
      <c r="F6" s="3225"/>
      <c r="G6" s="3226" t="s">
        <v>2545</v>
      </c>
      <c r="H6" s="3223"/>
      <c r="I6" s="3226" t="s">
        <v>2545</v>
      </c>
      <c r="J6" s="3223"/>
      <c r="K6" s="610" t="s">
        <v>2546</v>
      </c>
      <c r="L6" s="1130"/>
      <c r="M6" s="1131"/>
      <c r="N6" s="1131"/>
      <c r="O6" s="1131"/>
      <c r="P6" s="3236"/>
      <c r="Q6" s="3237"/>
      <c r="R6" s="3216"/>
      <c r="S6" s="3217"/>
      <c r="T6" s="3238"/>
      <c r="U6" s="3239"/>
      <c r="V6" s="3240"/>
      <c r="W6" s="3240"/>
      <c r="X6" s="1813"/>
      <c r="Y6" s="3238"/>
      <c r="Z6" s="3239"/>
      <c r="AA6" s="3211"/>
      <c r="AB6" s="3211"/>
      <c r="AC6" s="3211"/>
    </row>
    <row r="7" spans="1:30" s="117" customFormat="1" ht="15.75" thickBot="1">
      <c r="A7" s="408" t="s">
        <v>2547</v>
      </c>
      <c r="B7" s="409"/>
      <c r="C7" s="410">
        <f>'数据-取费表'!B2</f>
        <v>43847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2" t="s">
        <v>2548</v>
      </c>
      <c r="Q7" s="3241"/>
      <c r="R7" s="770" t="s">
        <v>17</v>
      </c>
      <c r="S7" s="771">
        <f t="shared" ref="S7:S15" si="0">F7</f>
        <v>0</v>
      </c>
      <c r="T7" s="770" t="s">
        <v>17</v>
      </c>
      <c r="U7" s="771">
        <f t="shared" ref="U7:U15" si="1">H7</f>
        <v>0</v>
      </c>
      <c r="V7" s="770" t="s">
        <v>17</v>
      </c>
      <c r="W7" s="771">
        <f t="shared" ref="W7:W15" si="2">J7</f>
        <v>0</v>
      </c>
      <c r="X7" s="772"/>
      <c r="Y7" s="3212" t="s">
        <v>2548</v>
      </c>
      <c r="Z7" s="3213"/>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2" t="s">
        <v>2551</v>
      </c>
      <c r="Q8" s="3213"/>
      <c r="R8" s="770" t="s">
        <v>17</v>
      </c>
      <c r="S8" s="771">
        <f t="shared" si="0"/>
        <v>0</v>
      </c>
      <c r="T8" s="770" t="s">
        <v>17</v>
      </c>
      <c r="U8" s="771">
        <f t="shared" si="1"/>
        <v>0</v>
      </c>
      <c r="V8" s="770" t="s">
        <v>17</v>
      </c>
      <c r="W8" s="771">
        <f t="shared" si="2"/>
        <v>0</v>
      </c>
      <c r="X8" s="772"/>
      <c r="Y8" s="3212" t="s">
        <v>2551</v>
      </c>
      <c r="Z8" s="3213"/>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45" t="s">
        <v>2554</v>
      </c>
      <c r="Q9" s="1795" t="str">
        <f t="shared" ref="Q9:Q15" si="6">B9</f>
        <v>用途</v>
      </c>
      <c r="R9" s="770" t="s">
        <v>17</v>
      </c>
      <c r="S9" s="771">
        <f t="shared" si="0"/>
        <v>100</v>
      </c>
      <c r="T9" s="770" t="s">
        <v>17</v>
      </c>
      <c r="U9" s="771">
        <f t="shared" si="1"/>
        <v>100</v>
      </c>
      <c r="V9" s="770" t="s">
        <v>17</v>
      </c>
      <c r="W9" s="771">
        <f t="shared" si="2"/>
        <v>100</v>
      </c>
      <c r="X9" s="772"/>
      <c r="Y9" s="305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45"/>
      <c r="Q10" s="1795" t="str">
        <f t="shared" si="6"/>
        <v>土地使用年限（年）</v>
      </c>
      <c r="R10" s="770" t="s">
        <v>17</v>
      </c>
      <c r="S10" s="771" t="e">
        <f t="shared" si="0"/>
        <v>#DIV/0!</v>
      </c>
      <c r="T10" s="770" t="s">
        <v>17</v>
      </c>
      <c r="U10" s="771" t="e">
        <f t="shared" si="1"/>
        <v>#DIV/0!</v>
      </c>
      <c r="V10" s="770" t="s">
        <v>17</v>
      </c>
      <c r="W10" s="771" t="e">
        <f t="shared" si="2"/>
        <v>#DIV/0!</v>
      </c>
      <c r="X10" s="772"/>
      <c r="Y10" s="3054"/>
      <c r="Z10" s="55" t="str">
        <f t="shared" si="7"/>
        <v>土地使用年限（年）</v>
      </c>
      <c r="AA10" s="773" t="e">
        <f t="shared" si="3"/>
        <v>#DIV/0!</v>
      </c>
      <c r="AB10" s="773" t="e">
        <f t="shared" si="4"/>
        <v>#DIV/0!</v>
      </c>
      <c r="AC10" s="773" t="e">
        <f t="shared" si="5"/>
        <v>#DIV/0!</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5"/>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30" s="117" customFormat="1" ht="15">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5"/>
      <c r="Q12" s="1795" t="str">
        <f t="shared" si="6"/>
        <v>配建</v>
      </c>
      <c r="R12" s="770" t="s">
        <v>17</v>
      </c>
      <c r="S12" s="771">
        <f t="shared" si="0"/>
        <v>100</v>
      </c>
      <c r="T12" s="770" t="s">
        <v>17</v>
      </c>
      <c r="U12" s="771">
        <f t="shared" si="1"/>
        <v>100</v>
      </c>
      <c r="V12" s="770" t="s">
        <v>17</v>
      </c>
      <c r="W12" s="771">
        <f t="shared" si="2"/>
        <v>100</v>
      </c>
      <c r="X12" s="772"/>
      <c r="Y12" s="3054"/>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5"/>
      <c r="Q13" s="1795">
        <f t="shared" si="6"/>
        <v>111</v>
      </c>
      <c r="R13" s="770" t="s">
        <v>17</v>
      </c>
      <c r="S13" s="771">
        <f t="shared" si="0"/>
        <v>100</v>
      </c>
      <c r="T13" s="770" t="s">
        <v>17</v>
      </c>
      <c r="U13" s="771">
        <f t="shared" si="1"/>
        <v>100</v>
      </c>
      <c r="V13" s="770" t="s">
        <v>17</v>
      </c>
      <c r="W13" s="771">
        <f t="shared" si="2"/>
        <v>100</v>
      </c>
      <c r="X13" s="772"/>
      <c r="Y13" s="3054"/>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5"/>
      <c r="Q14" s="1795">
        <f t="shared" si="6"/>
        <v>111</v>
      </c>
      <c r="R14" s="770" t="s">
        <v>17</v>
      </c>
      <c r="S14" s="771">
        <f t="shared" si="0"/>
        <v>100</v>
      </c>
      <c r="T14" s="770" t="s">
        <v>17</v>
      </c>
      <c r="U14" s="771">
        <f t="shared" si="1"/>
        <v>100</v>
      </c>
      <c r="V14" s="770" t="s">
        <v>17</v>
      </c>
      <c r="W14" s="771">
        <f t="shared" si="2"/>
        <v>100</v>
      </c>
      <c r="X14" s="772"/>
      <c r="Y14" s="3054"/>
      <c r="Z14" s="55">
        <f t="shared" si="7"/>
        <v>111</v>
      </c>
      <c r="AA14" s="773">
        <f>D14/F14</f>
        <v>1</v>
      </c>
      <c r="AB14" s="773">
        <f>D14/H14</f>
        <v>1</v>
      </c>
      <c r="AC14" s="773">
        <f>D14/J14</f>
        <v>1</v>
      </c>
    </row>
    <row r="15" spans="1:30" ht="199.5">
      <c r="A15" s="440" t="s">
        <v>2558</v>
      </c>
      <c r="B15" s="69" t="s">
        <v>2084</v>
      </c>
      <c r="C15" s="260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7" t="s">
        <v>2559</v>
      </c>
      <c r="Q15" s="1810" t="str">
        <f t="shared" si="6"/>
        <v>居住社区成熟度</v>
      </c>
      <c r="R15" s="774" t="s">
        <v>17</v>
      </c>
      <c r="S15" s="775">
        <f t="shared" si="0"/>
        <v>100</v>
      </c>
      <c r="T15" s="774" t="s">
        <v>17</v>
      </c>
      <c r="U15" s="775">
        <f t="shared" si="1"/>
        <v>100</v>
      </c>
      <c r="V15" s="774" t="s">
        <v>17</v>
      </c>
      <c r="W15" s="775">
        <f t="shared" si="2"/>
        <v>100</v>
      </c>
      <c r="X15" s="1813"/>
      <c r="Y15" s="3247"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48"/>
      <c r="Q16" s="1810"/>
      <c r="R16" s="774"/>
      <c r="S16" s="775"/>
      <c r="T16" s="774"/>
      <c r="U16" s="775"/>
      <c r="V16" s="774"/>
      <c r="W16" s="775"/>
      <c r="X16" s="1813"/>
      <c r="Y16" s="3248"/>
      <c r="Z16" s="1814"/>
      <c r="AA16" s="1811">
        <v>1</v>
      </c>
      <c r="AB16" s="1811">
        <v>1</v>
      </c>
      <c r="AC16" s="1811">
        <v>1</v>
      </c>
    </row>
    <row r="17" spans="1:29" ht="71.25">
      <c r="A17" s="428"/>
      <c r="B17" s="451" t="s">
        <v>2652</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8"/>
      <c r="Q17" s="1810" t="str">
        <f>B17</f>
        <v>商业繁华度</v>
      </c>
      <c r="R17" s="774" t="s">
        <v>17</v>
      </c>
      <c r="S17" s="775">
        <f>F17</f>
        <v>100</v>
      </c>
      <c r="T17" s="774" t="s">
        <v>17</v>
      </c>
      <c r="U17" s="775">
        <f>H17</f>
        <v>100</v>
      </c>
      <c r="V17" s="774" t="s">
        <v>17</v>
      </c>
      <c r="W17" s="775">
        <f>J17</f>
        <v>100</v>
      </c>
      <c r="X17" s="1813"/>
      <c r="Y17" s="3248"/>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48"/>
      <c r="Q18" s="1810"/>
      <c r="R18" s="774"/>
      <c r="S18" s="775"/>
      <c r="T18" s="774"/>
      <c r="U18" s="775"/>
      <c r="V18" s="774"/>
      <c r="W18" s="775"/>
      <c r="X18" s="1813"/>
      <c r="Y18" s="3248"/>
      <c r="Z18" s="1814"/>
      <c r="AA18" s="1811">
        <v>1</v>
      </c>
      <c r="AB18" s="1811">
        <v>1</v>
      </c>
      <c r="AC18" s="1811">
        <v>1</v>
      </c>
    </row>
    <row r="19" spans="1:29" ht="71.25">
      <c r="A19" s="428"/>
      <c r="B19" s="451" t="s">
        <v>2686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8"/>
      <c r="Q19" s="1810" t="str">
        <f>B19</f>
        <v>办公集聚程度</v>
      </c>
      <c r="R19" s="774" t="s">
        <v>17</v>
      </c>
      <c r="S19" s="775">
        <f>F19</f>
        <v>100</v>
      </c>
      <c r="T19" s="774" t="s">
        <v>17</v>
      </c>
      <c r="U19" s="775">
        <f>H19</f>
        <v>100</v>
      </c>
      <c r="V19" s="774" t="s">
        <v>17</v>
      </c>
      <c r="W19" s="775">
        <f>J19</f>
        <v>100</v>
      </c>
      <c r="X19" s="1813"/>
      <c r="Y19" s="3248"/>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48"/>
      <c r="Q20" s="1810"/>
      <c r="R20" s="774"/>
      <c r="S20" s="775"/>
      <c r="T20" s="774"/>
      <c r="U20" s="775"/>
      <c r="V20" s="774"/>
      <c r="W20" s="775"/>
      <c r="X20" s="1813"/>
      <c r="Y20" s="3248"/>
      <c r="Z20" s="1814"/>
      <c r="AA20" s="1811">
        <v>1</v>
      </c>
      <c r="AB20" s="1811">
        <v>1</v>
      </c>
      <c r="AC20" s="1811">
        <v>1</v>
      </c>
    </row>
    <row r="21" spans="1:29" ht="128.25">
      <c r="A21" s="428"/>
      <c r="B21" s="451" t="s">
        <v>2708</v>
      </c>
      <c r="C21" s="2605" t="str">
        <f>估价对象房地状况!C18</f>
        <v>估价对象周边有开发区3路、快速直达专线181路、578路多条公交线路，距地铁8号线（瀛海站）约4公里，综合评价交通便捷度一般。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8"/>
      <c r="Q21" s="1810" t="str">
        <f>B21</f>
        <v>交通便捷度</v>
      </c>
      <c r="R21" s="774" t="s">
        <v>17</v>
      </c>
      <c r="S21" s="775">
        <f>F21</f>
        <v>100</v>
      </c>
      <c r="T21" s="774" t="s">
        <v>17</v>
      </c>
      <c r="U21" s="775">
        <f>H21</f>
        <v>100</v>
      </c>
      <c r="V21" s="774" t="s">
        <v>17</v>
      </c>
      <c r="W21" s="775">
        <f>J21</f>
        <v>100</v>
      </c>
      <c r="X21" s="1813"/>
      <c r="Y21" s="3248"/>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48"/>
      <c r="Q22" s="1810"/>
      <c r="R22" s="774"/>
      <c r="S22" s="775"/>
      <c r="T22" s="774"/>
      <c r="U22" s="775"/>
      <c r="V22" s="774"/>
      <c r="W22" s="775"/>
      <c r="X22" s="1813"/>
      <c r="Y22" s="3248"/>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8"/>
      <c r="Q23" s="1810" t="str">
        <f t="shared" ref="Q23:Q37" si="8">B23</f>
        <v>区域土地利用方向</v>
      </c>
      <c r="R23" s="774" t="s">
        <v>17</v>
      </c>
      <c r="S23" s="775">
        <f>F23</f>
        <v>100</v>
      </c>
      <c r="T23" s="774" t="s">
        <v>17</v>
      </c>
      <c r="U23" s="775">
        <f>H23</f>
        <v>100</v>
      </c>
      <c r="V23" s="774" t="s">
        <v>17</v>
      </c>
      <c r="W23" s="775">
        <f>J23</f>
        <v>100</v>
      </c>
      <c r="X23" s="1813"/>
      <c r="Y23" s="3248"/>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48"/>
      <c r="Q24" s="1810"/>
      <c r="R24" s="774"/>
      <c r="S24" s="775"/>
      <c r="T24" s="774"/>
      <c r="U24" s="775"/>
      <c r="V24" s="774"/>
      <c r="W24" s="775"/>
      <c r="X24" s="1813"/>
      <c r="Y24" s="3248"/>
      <c r="Z24" s="1814"/>
      <c r="AA24" s="1811"/>
      <c r="AB24" s="1811"/>
      <c r="AC24" s="1811"/>
    </row>
    <row r="25" spans="1:29" ht="114">
      <c r="A25" s="404"/>
      <c r="B25" s="1384" t="s">
        <v>2748</v>
      </c>
      <c r="C25" s="2662" t="str">
        <f>估价对象房地状况!C20</f>
        <v>区域自然环境：体育公园、南海子公园、凉水河；人文环境：北京电子科技职业学院(亦庄校区)；综合评价环境状况一般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8"/>
      <c r="Q25" s="1810" t="str">
        <f t="shared" si="8"/>
        <v>自然及人文环境状况</v>
      </c>
      <c r="R25" s="774" t="s">
        <v>17</v>
      </c>
      <c r="S25" s="775">
        <f>F25</f>
        <v>100</v>
      </c>
      <c r="T25" s="774" t="s">
        <v>17</v>
      </c>
      <c r="U25" s="775">
        <f>H25</f>
        <v>100</v>
      </c>
      <c r="V25" s="774" t="s">
        <v>17</v>
      </c>
      <c r="W25" s="775">
        <f>J25</f>
        <v>100</v>
      </c>
      <c r="X25" s="1813"/>
      <c r="Y25" s="3248"/>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48"/>
      <c r="Q26" s="1810"/>
      <c r="R26" s="774"/>
      <c r="S26" s="775"/>
      <c r="T26" s="774"/>
      <c r="U26" s="775"/>
      <c r="V26" s="774"/>
      <c r="W26" s="775"/>
      <c r="X26" s="1813"/>
      <c r="Y26" s="3248"/>
      <c r="Z26" s="1814"/>
      <c r="AA26" s="1811">
        <v>1</v>
      </c>
      <c r="AB26" s="1811">
        <v>1</v>
      </c>
      <c r="AC26" s="1811">
        <v>1</v>
      </c>
    </row>
    <row r="27" spans="1:29" s="117" customFormat="1" ht="42.75">
      <c r="A27" s="649"/>
      <c r="B27" s="1384" t="s">
        <v>2653</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8"/>
      <c r="Q27" s="1795" t="str">
        <f t="shared" si="8"/>
        <v>公共配套设施</v>
      </c>
      <c r="R27" s="770" t="s">
        <v>17</v>
      </c>
      <c r="S27" s="771">
        <f>F27</f>
        <v>100</v>
      </c>
      <c r="T27" s="770" t="s">
        <v>17</v>
      </c>
      <c r="U27" s="771">
        <f>H27</f>
        <v>100</v>
      </c>
      <c r="V27" s="770" t="s">
        <v>17</v>
      </c>
      <c r="W27" s="771">
        <f>J27</f>
        <v>100</v>
      </c>
      <c r="X27" s="772"/>
      <c r="Y27" s="3248"/>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48"/>
      <c r="Q28" s="1795"/>
      <c r="R28" s="770"/>
      <c r="S28" s="771"/>
      <c r="T28" s="770"/>
      <c r="U28" s="771"/>
      <c r="V28" s="770"/>
      <c r="W28" s="771"/>
      <c r="X28" s="772"/>
      <c r="Y28" s="3248"/>
      <c r="Z28" s="55"/>
      <c r="AA28" s="1811">
        <v>1</v>
      </c>
      <c r="AB28" s="1811">
        <v>1</v>
      </c>
      <c r="AC28" s="1811">
        <v>1</v>
      </c>
    </row>
    <row r="29" spans="1:29" s="117" customFormat="1" ht="15">
      <c r="A29" s="649"/>
      <c r="B29" s="1384" t="s">
        <v>2654</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8"/>
      <c r="Q29" s="1795" t="str">
        <f t="shared" ref="Q29" si="9">B29</f>
        <v>基础设施水平</v>
      </c>
      <c r="R29" s="770" t="s">
        <v>17</v>
      </c>
      <c r="S29" s="771">
        <f>F29</f>
        <v>100</v>
      </c>
      <c r="T29" s="770" t="s">
        <v>17</v>
      </c>
      <c r="U29" s="771">
        <f>H29</f>
        <v>100</v>
      </c>
      <c r="V29" s="770" t="s">
        <v>17</v>
      </c>
      <c r="W29" s="771">
        <f>J29</f>
        <v>100</v>
      </c>
      <c r="X29" s="772"/>
      <c r="Y29" s="3248"/>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48"/>
      <c r="Q30" s="1795"/>
      <c r="R30" s="770"/>
      <c r="S30" s="771"/>
      <c r="T30" s="770"/>
      <c r="U30" s="771"/>
      <c r="V30" s="770"/>
      <c r="W30" s="771"/>
      <c r="X30" s="772"/>
      <c r="Y30" s="3248"/>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8"/>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8"/>
      <c r="Q32" s="1810" t="str">
        <f t="shared" si="8"/>
        <v>毗邻道路的类型与等级</v>
      </c>
      <c r="R32" s="774" t="s">
        <v>17</v>
      </c>
      <c r="S32" s="775">
        <f t="shared" si="10"/>
        <v>100</v>
      </c>
      <c r="T32" s="774" t="s">
        <v>17</v>
      </c>
      <c r="U32" s="775">
        <f t="shared" si="11"/>
        <v>100</v>
      </c>
      <c r="V32" s="774" t="s">
        <v>17</v>
      </c>
      <c r="W32" s="775">
        <f t="shared" si="12"/>
        <v>100</v>
      </c>
      <c r="X32" s="1813"/>
      <c r="Y32" s="3248"/>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48"/>
      <c r="Q33" s="1810"/>
      <c r="R33" s="774"/>
      <c r="S33" s="775"/>
      <c r="T33" s="774"/>
      <c r="U33" s="775"/>
      <c r="V33" s="774"/>
      <c r="W33" s="775"/>
      <c r="X33" s="1813"/>
      <c r="Y33" s="3248"/>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8"/>
      <c r="Q34" s="1810" t="str">
        <f t="shared" si="8"/>
        <v>土地级别</v>
      </c>
      <c r="R34" s="774" t="s">
        <v>17</v>
      </c>
      <c r="S34" s="775">
        <f t="shared" si="10"/>
        <v>100</v>
      </c>
      <c r="T34" s="774" t="s">
        <v>17</v>
      </c>
      <c r="U34" s="775">
        <f t="shared" si="11"/>
        <v>100</v>
      </c>
      <c r="V34" s="774" t="s">
        <v>17</v>
      </c>
      <c r="W34" s="775">
        <f t="shared" si="12"/>
        <v>100</v>
      </c>
      <c r="X34" s="1813"/>
      <c r="Y34" s="324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8"/>
      <c r="Q35" s="1810">
        <f t="shared" si="8"/>
        <v>111</v>
      </c>
      <c r="R35" s="774" t="s">
        <v>17</v>
      </c>
      <c r="S35" s="775">
        <f t="shared" si="10"/>
        <v>100</v>
      </c>
      <c r="T35" s="774" t="s">
        <v>17</v>
      </c>
      <c r="U35" s="775">
        <f t="shared" si="11"/>
        <v>100</v>
      </c>
      <c r="V35" s="774" t="s">
        <v>17</v>
      </c>
      <c r="W35" s="775">
        <f t="shared" si="12"/>
        <v>100</v>
      </c>
      <c r="X35" s="1813"/>
      <c r="Y35" s="324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3" t="s">
        <v>2564</v>
      </c>
      <c r="Q36" s="1810">
        <f t="shared" si="8"/>
        <v>111</v>
      </c>
      <c r="R36" s="774" t="s">
        <v>17</v>
      </c>
      <c r="S36" s="775">
        <f t="shared" si="10"/>
        <v>100</v>
      </c>
      <c r="T36" s="774" t="s">
        <v>17</v>
      </c>
      <c r="U36" s="775">
        <f t="shared" si="11"/>
        <v>100</v>
      </c>
      <c r="V36" s="774" t="s">
        <v>17</v>
      </c>
      <c r="W36" s="775">
        <f t="shared" si="12"/>
        <v>100</v>
      </c>
      <c r="X36" s="1813"/>
      <c r="Y36" s="3252"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2"/>
      <c r="Q37" s="1810">
        <f t="shared" si="8"/>
        <v>111</v>
      </c>
      <c r="R37" s="777" t="s">
        <v>17</v>
      </c>
      <c r="S37" s="778">
        <f t="shared" si="10"/>
        <v>100</v>
      </c>
      <c r="T37" s="777" t="s">
        <v>17</v>
      </c>
      <c r="U37" s="778">
        <f t="shared" si="11"/>
        <v>100</v>
      </c>
      <c r="V37" s="777" t="s">
        <v>17</v>
      </c>
      <c r="W37" s="778">
        <f t="shared" si="12"/>
        <v>100</v>
      </c>
      <c r="X37" s="779"/>
      <c r="Y37" s="3252"/>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2"/>
      <c r="Q38" s="1810" t="str">
        <f>B38</f>
        <v>宗地面积</v>
      </c>
      <c r="R38" s="774" t="s">
        <v>17</v>
      </c>
      <c r="S38" s="775" t="e">
        <f t="shared" si="10"/>
        <v>#N/A</v>
      </c>
      <c r="T38" s="774" t="s">
        <v>17</v>
      </c>
      <c r="U38" s="775" t="e">
        <f t="shared" si="11"/>
        <v>#N/A</v>
      </c>
      <c r="V38" s="774" t="s">
        <v>17</v>
      </c>
      <c r="W38" s="775" t="e">
        <f t="shared" si="12"/>
        <v>#N/A</v>
      </c>
      <c r="X38" s="1813"/>
      <c r="Y38" s="3252"/>
      <c r="Z38" s="1814" t="str">
        <f t="shared" si="13"/>
        <v>宗地面积</v>
      </c>
      <c r="AA38" s="1811" t="e">
        <f t="shared" si="3"/>
        <v>#N/A</v>
      </c>
      <c r="AB38" s="1811" t="e">
        <f t="shared" si="4"/>
        <v>#N/A</v>
      </c>
      <c r="AC38" s="1811" t="e">
        <f t="shared" si="5"/>
        <v>#N/A</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52"/>
      <c r="Q39" s="1810" t="str">
        <f t="shared" ref="Q39:Q45" si="14">B39</f>
        <v>宗地形状</v>
      </c>
      <c r="R39" s="774" t="s">
        <v>17</v>
      </c>
      <c r="S39" s="775">
        <f t="shared" si="10"/>
        <v>100</v>
      </c>
      <c r="T39" s="774" t="s">
        <v>17</v>
      </c>
      <c r="U39" s="775">
        <f t="shared" si="11"/>
        <v>100</v>
      </c>
      <c r="V39" s="774" t="s">
        <v>17</v>
      </c>
      <c r="W39" s="775">
        <f t="shared" si="12"/>
        <v>100</v>
      </c>
      <c r="X39" s="1813"/>
      <c r="Y39" s="3252"/>
      <c r="Z39" s="1814" t="str">
        <f t="shared" si="13"/>
        <v>宗地形状</v>
      </c>
      <c r="AA39" s="1811">
        <f t="shared" si="3"/>
        <v>1</v>
      </c>
      <c r="AB39" s="1811">
        <f t="shared" si="4"/>
        <v>1</v>
      </c>
      <c r="AC39" s="1811">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52"/>
      <c r="Q40" s="1810" t="str">
        <f t="shared" si="14"/>
        <v>临街宽度及深度</v>
      </c>
      <c r="R40" s="774" t="s">
        <v>17</v>
      </c>
      <c r="S40" s="775">
        <f t="shared" si="10"/>
        <v>100</v>
      </c>
      <c r="T40" s="774" t="s">
        <v>17</v>
      </c>
      <c r="U40" s="775">
        <f t="shared" si="11"/>
        <v>100</v>
      </c>
      <c r="V40" s="774" t="s">
        <v>17</v>
      </c>
      <c r="W40" s="775">
        <f t="shared" si="12"/>
        <v>100</v>
      </c>
      <c r="X40" s="1813"/>
      <c r="Y40" s="3252"/>
      <c r="Z40" s="1814" t="str">
        <f t="shared" si="13"/>
        <v>临街宽度及深度</v>
      </c>
      <c r="AA40" s="1811">
        <f t="shared" si="3"/>
        <v>1</v>
      </c>
      <c r="AB40" s="1811">
        <f t="shared" si="4"/>
        <v>1</v>
      </c>
      <c r="AC40" s="1811">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52"/>
      <c r="Q41" s="1810" t="str">
        <f t="shared" si="14"/>
        <v>宗地开发程度</v>
      </c>
      <c r="R41" s="770" t="s">
        <v>17</v>
      </c>
      <c r="S41" s="771">
        <f t="shared" si="10"/>
        <v>100</v>
      </c>
      <c r="T41" s="770" t="s">
        <v>17</v>
      </c>
      <c r="U41" s="771">
        <f t="shared" si="11"/>
        <v>100</v>
      </c>
      <c r="V41" s="770" t="s">
        <v>17</v>
      </c>
      <c r="W41" s="771">
        <f t="shared" si="12"/>
        <v>100</v>
      </c>
      <c r="X41" s="772"/>
      <c r="Y41" s="3252"/>
      <c r="Z41" s="55" t="str">
        <f t="shared" si="13"/>
        <v>宗地开发程度</v>
      </c>
      <c r="AA41" s="773">
        <f t="shared" si="3"/>
        <v>1</v>
      </c>
      <c r="AB41" s="773">
        <f t="shared" si="4"/>
        <v>1</v>
      </c>
      <c r="AC41" s="773">
        <f t="shared" si="5"/>
        <v>1</v>
      </c>
    </row>
    <row r="42" spans="1:29" ht="15">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52" t="s">
        <v>2564</v>
      </c>
      <c r="Q42" s="1810" t="str">
        <f t="shared" si="14"/>
        <v>工程地质条件</v>
      </c>
      <c r="R42" s="774" t="s">
        <v>17</v>
      </c>
      <c r="S42" s="775">
        <f t="shared" si="10"/>
        <v>100</v>
      </c>
      <c r="T42" s="774" t="s">
        <v>17</v>
      </c>
      <c r="U42" s="775">
        <f t="shared" si="11"/>
        <v>100</v>
      </c>
      <c r="V42" s="774" t="s">
        <v>17</v>
      </c>
      <c r="W42" s="775">
        <f t="shared" si="12"/>
        <v>100</v>
      </c>
      <c r="X42" s="1813"/>
      <c r="Y42" s="3252"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2"/>
      <c r="Q43" s="1810">
        <f t="shared" si="14"/>
        <v>111</v>
      </c>
      <c r="R43" s="774" t="s">
        <v>17</v>
      </c>
      <c r="S43" s="775">
        <f t="shared" si="10"/>
        <v>100</v>
      </c>
      <c r="T43" s="774" t="s">
        <v>17</v>
      </c>
      <c r="U43" s="775">
        <f t="shared" si="11"/>
        <v>100</v>
      </c>
      <c r="V43" s="774" t="s">
        <v>17</v>
      </c>
      <c r="W43" s="775">
        <f t="shared" si="12"/>
        <v>100</v>
      </c>
      <c r="X43" s="1813"/>
      <c r="Y43" s="325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2"/>
      <c r="Q44" s="1810">
        <f t="shared" si="14"/>
        <v>111</v>
      </c>
      <c r="R44" s="774" t="s">
        <v>17</v>
      </c>
      <c r="S44" s="775">
        <f t="shared" si="10"/>
        <v>100</v>
      </c>
      <c r="T44" s="774" t="s">
        <v>17</v>
      </c>
      <c r="U44" s="775">
        <f t="shared" si="11"/>
        <v>100</v>
      </c>
      <c r="V44" s="774" t="s">
        <v>17</v>
      </c>
      <c r="W44" s="775">
        <f t="shared" si="12"/>
        <v>100</v>
      </c>
      <c r="X44" s="1813"/>
      <c r="Y44" s="3252"/>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2"/>
      <c r="Q45" s="1810">
        <f t="shared" si="14"/>
        <v>111</v>
      </c>
      <c r="R45" s="777" t="s">
        <v>17</v>
      </c>
      <c r="S45" s="778">
        <f t="shared" si="10"/>
        <v>100</v>
      </c>
      <c r="T45" s="777" t="s">
        <v>17</v>
      </c>
      <c r="U45" s="778">
        <f t="shared" si="11"/>
        <v>100</v>
      </c>
      <c r="V45" s="777" t="s">
        <v>17</v>
      </c>
      <c r="W45" s="778">
        <f t="shared" si="12"/>
        <v>100</v>
      </c>
      <c r="X45" s="779"/>
      <c r="Y45" s="3252"/>
      <c r="Z45" s="780">
        <f t="shared" si="13"/>
        <v>111</v>
      </c>
      <c r="AA45" s="1811">
        <f t="shared" si="3"/>
        <v>1</v>
      </c>
      <c r="AB45" s="1811">
        <f t="shared" si="4"/>
        <v>1</v>
      </c>
      <c r="AC45" s="1811">
        <f t="shared" si="5"/>
        <v>1</v>
      </c>
    </row>
    <row r="46" spans="1:29" ht="15">
      <c r="A46" s="479" t="s">
        <v>2719</v>
      </c>
      <c r="B46" s="2702" t="s">
        <v>2755</v>
      </c>
      <c r="C46" s="682" t="s">
        <v>1</v>
      </c>
      <c r="D46" s="481"/>
      <c r="E46" s="482"/>
      <c r="F46" s="483"/>
      <c r="G46" s="484"/>
      <c r="H46" s="485"/>
      <c r="I46" s="482"/>
      <c r="J46" s="485"/>
      <c r="K46" s="783"/>
      <c r="L46" s="1143"/>
      <c r="M46" s="1144"/>
      <c r="N46" s="1131"/>
      <c r="O46" s="1144"/>
      <c r="P46" s="3245" t="str">
        <f>A46</f>
        <v>成交单价</v>
      </c>
      <c r="Q46" s="3245"/>
      <c r="R46" s="3240">
        <f>E46</f>
        <v>0</v>
      </c>
      <c r="S46" s="3240"/>
      <c r="T46" s="3240">
        <f>G46</f>
        <v>0</v>
      </c>
      <c r="U46" s="3240"/>
      <c r="V46" s="3240">
        <f>I46</f>
        <v>0</v>
      </c>
      <c r="W46" s="3240"/>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45" t="str">
        <f>A47</f>
        <v>比较价值（元/平方米）</v>
      </c>
      <c r="Q47" s="3245"/>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42" t="str">
        <f>A48</f>
        <v>估价对象XX用房的比较价值（楼面单价，元/平方米）</v>
      </c>
      <c r="Q48" s="3243"/>
      <c r="R48" s="3275" t="e">
        <f>ROUND(AVERAGE(R47:V47),0)</f>
        <v>#DIV/0!</v>
      </c>
      <c r="S48" s="3275"/>
      <c r="T48" s="3275"/>
      <c r="U48" s="3275"/>
      <c r="V48" s="3275"/>
      <c r="W48" s="327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3" t="s">
        <v>2759</v>
      </c>
      <c r="D55" s="2704" t="s">
        <v>2760</v>
      </c>
      <c r="E55" s="686" t="s">
        <v>2761</v>
      </c>
      <c r="F55" s="1107" t="s">
        <v>2762</v>
      </c>
      <c r="G55" s="3228" t="s">
        <v>2763</v>
      </c>
      <c r="H55" s="3276"/>
      <c r="I55" s="144" t="s">
        <v>2764</v>
      </c>
      <c r="J55" s="2705">
        <f>项目基本情况!F35</f>
        <v>0</v>
      </c>
      <c r="K55" s="2706" t="s">
        <v>2765</v>
      </c>
      <c r="L55" s="1106"/>
      <c r="M55" s="1144"/>
      <c r="N55" s="1144"/>
      <c r="O55" s="1144"/>
    </row>
    <row r="56" spans="1:15" s="692" customFormat="1">
      <c r="A56" s="688" t="s">
        <v>2766</v>
      </c>
      <c r="B56" s="689" t="e">
        <f>C48</f>
        <v>#DIV/0!</v>
      </c>
      <c r="C56" s="690">
        <v>1</v>
      </c>
      <c r="D56" s="1163">
        <v>1</v>
      </c>
      <c r="E56" s="690">
        <f>'数据-汇总表'!E8+'数据-汇总表'!E9</f>
        <v>86971.4</v>
      </c>
      <c r="F56" s="1103" t="e">
        <f t="shared" ref="F56:F65" si="15">ROUND(B56*E56/10000,0)</f>
        <v>#DIV/0!</v>
      </c>
      <c r="G56" s="3227"/>
      <c r="H56" s="3245"/>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77"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77"/>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77"/>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77"/>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7"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7"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8"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86971.4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9"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28" t="s">
        <v>2645</v>
      </c>
      <c r="D4" s="3229"/>
      <c r="E4" s="3230" t="s">
        <v>2646</v>
      </c>
      <c r="F4" s="3231"/>
      <c r="G4" s="3228" t="s">
        <v>2647</v>
      </c>
      <c r="H4" s="3229"/>
      <c r="I4" s="3228" t="s">
        <v>2648</v>
      </c>
      <c r="J4" s="3229"/>
      <c r="K4" s="610" t="s">
        <v>2649</v>
      </c>
      <c r="L4" s="1130"/>
      <c r="M4" s="1131"/>
      <c r="N4" s="1131"/>
      <c r="O4" s="1131"/>
      <c r="P4" s="3232" t="s">
        <v>2650</v>
      </c>
      <c r="Q4" s="3233"/>
      <c r="R4" s="3214" t="s">
        <v>2646</v>
      </c>
      <c r="S4" s="3215"/>
      <c r="T4" s="3214" t="s">
        <v>2647</v>
      </c>
      <c r="U4" s="3215"/>
      <c r="V4" s="3240" t="s">
        <v>2648</v>
      </c>
      <c r="W4" s="3240"/>
      <c r="X4" s="1813"/>
      <c r="Y4" s="3214" t="s">
        <v>2650</v>
      </c>
      <c r="Z4" s="3215"/>
      <c r="AA4" s="3209" t="s">
        <v>2646</v>
      </c>
      <c r="AB4" s="3210" t="s">
        <v>2647</v>
      </c>
      <c r="AC4" s="3209" t="s">
        <v>2648</v>
      </c>
    </row>
    <row r="5" spans="1:29" ht="15">
      <c r="A5" s="404"/>
      <c r="B5" s="405"/>
      <c r="C5" s="3257" t="s">
        <v>2541</v>
      </c>
      <c r="D5" s="3221"/>
      <c r="E5" s="3256" t="s">
        <v>2542</v>
      </c>
      <c r="F5" s="3219"/>
      <c r="G5" s="3257" t="s">
        <v>2543</v>
      </c>
      <c r="H5" s="3221"/>
      <c r="I5" s="3257" t="s">
        <v>2544</v>
      </c>
      <c r="J5" s="3221"/>
      <c r="K5" s="610"/>
      <c r="L5" s="1130"/>
      <c r="M5" s="1131"/>
      <c r="N5" s="1131"/>
      <c r="O5" s="1131"/>
      <c r="P5" s="3234"/>
      <c r="Q5" s="3235"/>
      <c r="R5" s="3216"/>
      <c r="S5" s="3217"/>
      <c r="T5" s="3216"/>
      <c r="U5" s="3217"/>
      <c r="V5" s="3240"/>
      <c r="W5" s="3240"/>
      <c r="X5" s="1813"/>
      <c r="Y5" s="3216"/>
      <c r="Z5" s="3217"/>
      <c r="AA5" s="3210"/>
      <c r="AB5" s="3210"/>
      <c r="AC5" s="3210"/>
    </row>
    <row r="6" spans="1:29" ht="15.75" thickBot="1">
      <c r="A6" s="406"/>
      <c r="B6" s="407"/>
      <c r="C6" s="3278" t="s">
        <v>2796</v>
      </c>
      <c r="D6" s="3279"/>
      <c r="E6" s="3280" t="s">
        <v>2796</v>
      </c>
      <c r="F6" s="3281"/>
      <c r="G6" s="3278" t="s">
        <v>2796</v>
      </c>
      <c r="H6" s="3279"/>
      <c r="I6" s="3278" t="s">
        <v>2796</v>
      </c>
      <c r="J6" s="3279"/>
      <c r="K6" s="610" t="s">
        <v>2546</v>
      </c>
      <c r="L6" s="1130"/>
      <c r="M6" s="1131"/>
      <c r="N6" s="1131"/>
      <c r="O6" s="1131"/>
      <c r="P6" s="3236"/>
      <c r="Q6" s="3237"/>
      <c r="R6" s="3216"/>
      <c r="S6" s="3217"/>
      <c r="T6" s="3238"/>
      <c r="U6" s="3239"/>
      <c r="V6" s="3240"/>
      <c r="W6" s="3240"/>
      <c r="X6" s="1813"/>
      <c r="Y6" s="3238"/>
      <c r="Z6" s="3239"/>
      <c r="AA6" s="3211"/>
      <c r="AB6" s="3211"/>
      <c r="AC6" s="3211"/>
    </row>
    <row r="7" spans="1:29" s="117" customFormat="1" ht="15.75" thickBot="1">
      <c r="A7" s="408" t="s">
        <v>2547</v>
      </c>
      <c r="B7" s="409"/>
      <c r="C7" s="410">
        <f>'数据-取费表'!B2</f>
        <v>43847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2" t="s">
        <v>2548</v>
      </c>
      <c r="Q7" s="3241"/>
      <c r="R7" s="770" t="s">
        <v>17</v>
      </c>
      <c r="S7" s="771">
        <f t="shared" ref="S7:S15" si="0">F7</f>
        <v>0</v>
      </c>
      <c r="T7" s="770" t="s">
        <v>17</v>
      </c>
      <c r="U7" s="771">
        <f t="shared" ref="U7:U15" si="1">H7</f>
        <v>0</v>
      </c>
      <c r="V7" s="770" t="s">
        <v>17</v>
      </c>
      <c r="W7" s="771">
        <f t="shared" ref="W7:W15" si="2">J7</f>
        <v>0</v>
      </c>
      <c r="X7" s="772"/>
      <c r="Y7" s="3212" t="s">
        <v>2548</v>
      </c>
      <c r="Z7" s="321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2551</v>
      </c>
      <c r="Q8" s="3213"/>
      <c r="R8" s="770" t="s">
        <v>17</v>
      </c>
      <c r="S8" s="771">
        <f t="shared" si="0"/>
        <v>0</v>
      </c>
      <c r="T8" s="770" t="s">
        <v>17</v>
      </c>
      <c r="U8" s="771">
        <f t="shared" si="1"/>
        <v>0</v>
      </c>
      <c r="V8" s="770" t="s">
        <v>17</v>
      </c>
      <c r="W8" s="771">
        <f t="shared" si="2"/>
        <v>0</v>
      </c>
      <c r="X8" s="772"/>
      <c r="Y8" s="3212" t="s">
        <v>2551</v>
      </c>
      <c r="Z8" s="3213"/>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45" t="s">
        <v>2554</v>
      </c>
      <c r="Q9" s="1795" t="str">
        <f t="shared" ref="Q9:Q15" si="6">B9</f>
        <v>用途</v>
      </c>
      <c r="R9" s="770" t="s">
        <v>17</v>
      </c>
      <c r="S9" s="771">
        <f t="shared" si="0"/>
        <v>100</v>
      </c>
      <c r="T9" s="770" t="s">
        <v>17</v>
      </c>
      <c r="U9" s="771">
        <f t="shared" si="1"/>
        <v>100</v>
      </c>
      <c r="V9" s="770" t="s">
        <v>17</v>
      </c>
      <c r="W9" s="771">
        <f t="shared" si="2"/>
        <v>100</v>
      </c>
      <c r="X9" s="772"/>
      <c r="Y9" s="3054"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45"/>
      <c r="Q10" s="1795" t="str">
        <f t="shared" si="6"/>
        <v>土地使用年限（年）</v>
      </c>
      <c r="R10" s="770" t="s">
        <v>17</v>
      </c>
      <c r="S10" s="771" t="e">
        <f t="shared" si="0"/>
        <v>#DIV/0!</v>
      </c>
      <c r="T10" s="770" t="s">
        <v>17</v>
      </c>
      <c r="U10" s="771" t="e">
        <f t="shared" si="1"/>
        <v>#DIV/0!</v>
      </c>
      <c r="V10" s="770" t="s">
        <v>17</v>
      </c>
      <c r="W10" s="771" t="e">
        <f t="shared" si="2"/>
        <v>#DIV/0!</v>
      </c>
      <c r="X10" s="772"/>
      <c r="Y10" s="3054"/>
      <c r="Z10" s="55" t="str">
        <f t="shared" si="7"/>
        <v>土地使用年限（年）</v>
      </c>
      <c r="AA10" s="773" t="e">
        <f t="shared" si="3"/>
        <v>#DIV/0!</v>
      </c>
      <c r="AB10" s="773" t="e">
        <f t="shared" si="4"/>
        <v>#DIV/0!</v>
      </c>
      <c r="AC10" s="773" t="e">
        <f t="shared" si="5"/>
        <v>#DIV/0!</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5"/>
      <c r="Q11" s="1795" t="str">
        <f t="shared" si="6"/>
        <v>容积率</v>
      </c>
      <c r="R11" s="770" t="s">
        <v>17</v>
      </c>
      <c r="S11" s="771" t="e">
        <f t="shared" si="0"/>
        <v>#N/A</v>
      </c>
      <c r="T11" s="770" t="s">
        <v>17</v>
      </c>
      <c r="U11" s="771" t="e">
        <f t="shared" si="1"/>
        <v>#N/A</v>
      </c>
      <c r="V11" s="770" t="s">
        <v>17</v>
      </c>
      <c r="W11" s="771" t="e">
        <f t="shared" si="2"/>
        <v>#N/A</v>
      </c>
      <c r="X11" s="772"/>
      <c r="Y11" s="305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5"/>
      <c r="Q12" s="1795">
        <f t="shared" si="6"/>
        <v>111</v>
      </c>
      <c r="R12" s="770" t="s">
        <v>17</v>
      </c>
      <c r="S12" s="771">
        <f t="shared" si="0"/>
        <v>100</v>
      </c>
      <c r="T12" s="770" t="s">
        <v>17</v>
      </c>
      <c r="U12" s="771">
        <f t="shared" si="1"/>
        <v>100</v>
      </c>
      <c r="V12" s="770" t="s">
        <v>17</v>
      </c>
      <c r="W12" s="771">
        <f t="shared" si="2"/>
        <v>100</v>
      </c>
      <c r="X12" s="772"/>
      <c r="Y12" s="305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5"/>
      <c r="Q13" s="1795">
        <f t="shared" si="6"/>
        <v>111</v>
      </c>
      <c r="R13" s="770" t="s">
        <v>17</v>
      </c>
      <c r="S13" s="771">
        <f t="shared" si="0"/>
        <v>100</v>
      </c>
      <c r="T13" s="770" t="s">
        <v>17</v>
      </c>
      <c r="U13" s="771">
        <f t="shared" si="1"/>
        <v>100</v>
      </c>
      <c r="V13" s="770" t="s">
        <v>17</v>
      </c>
      <c r="W13" s="771">
        <f t="shared" si="2"/>
        <v>100</v>
      </c>
      <c r="X13" s="772"/>
      <c r="Y13" s="305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5"/>
      <c r="Q14" s="1795">
        <f t="shared" si="6"/>
        <v>111</v>
      </c>
      <c r="R14" s="770" t="s">
        <v>17</v>
      </c>
      <c r="S14" s="771">
        <f t="shared" si="0"/>
        <v>100</v>
      </c>
      <c r="T14" s="770" t="s">
        <v>17</v>
      </c>
      <c r="U14" s="771">
        <f t="shared" si="1"/>
        <v>100</v>
      </c>
      <c r="V14" s="770" t="s">
        <v>17</v>
      </c>
      <c r="W14" s="771">
        <f t="shared" si="2"/>
        <v>100</v>
      </c>
      <c r="X14" s="772"/>
      <c r="Y14" s="3054"/>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7" t="s">
        <v>2559</v>
      </c>
      <c r="Q15" s="1810" t="str">
        <f t="shared" si="6"/>
        <v>产业集聚程度</v>
      </c>
      <c r="R15" s="774" t="s">
        <v>17</v>
      </c>
      <c r="S15" s="775">
        <f t="shared" si="0"/>
        <v>100</v>
      </c>
      <c r="T15" s="774" t="s">
        <v>17</v>
      </c>
      <c r="U15" s="775">
        <f t="shared" si="1"/>
        <v>100</v>
      </c>
      <c r="V15" s="774" t="s">
        <v>17</v>
      </c>
      <c r="W15" s="775">
        <f t="shared" si="2"/>
        <v>100</v>
      </c>
      <c r="X15" s="1813"/>
      <c r="Y15" s="3247"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48"/>
      <c r="Q16" s="1810"/>
      <c r="R16" s="774"/>
      <c r="S16" s="775"/>
      <c r="T16" s="774"/>
      <c r="U16" s="775"/>
      <c r="V16" s="774"/>
      <c r="W16" s="775"/>
      <c r="X16" s="1813"/>
      <c r="Y16" s="3248"/>
      <c r="Z16" s="1814"/>
      <c r="AA16" s="1811">
        <v>1</v>
      </c>
      <c r="AB16" s="1811">
        <v>1</v>
      </c>
      <c r="AC16" s="1811">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8"/>
      <c r="Q17" s="1810" t="str">
        <f>B17</f>
        <v>交通便捷度</v>
      </c>
      <c r="R17" s="774" t="s">
        <v>17</v>
      </c>
      <c r="S17" s="775">
        <f>F17</f>
        <v>100</v>
      </c>
      <c r="T17" s="774" t="s">
        <v>17</v>
      </c>
      <c r="U17" s="775">
        <f>H17</f>
        <v>100</v>
      </c>
      <c r="V17" s="774" t="s">
        <v>17</v>
      </c>
      <c r="W17" s="775">
        <f>J17</f>
        <v>100</v>
      </c>
      <c r="X17" s="1813"/>
      <c r="Y17" s="3248"/>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48"/>
      <c r="Q18" s="1810"/>
      <c r="R18" s="774"/>
      <c r="S18" s="775"/>
      <c r="T18" s="774"/>
      <c r="U18" s="775"/>
      <c r="V18" s="774"/>
      <c r="W18" s="775"/>
      <c r="X18" s="1813"/>
      <c r="Y18" s="3248"/>
      <c r="Z18" s="1814"/>
      <c r="AA18" s="1811">
        <v>1</v>
      </c>
      <c r="AB18" s="1811">
        <v>1</v>
      </c>
      <c r="AC18" s="1811">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8"/>
      <c r="Q19" s="1810" t="str">
        <f t="shared" ref="Q19:Q33" si="8">B19</f>
        <v>区域土地利用方向</v>
      </c>
      <c r="R19" s="774" t="s">
        <v>17</v>
      </c>
      <c r="S19" s="775">
        <f>F19</f>
        <v>100</v>
      </c>
      <c r="T19" s="774" t="s">
        <v>17</v>
      </c>
      <c r="U19" s="775">
        <f>H19</f>
        <v>100</v>
      </c>
      <c r="V19" s="774" t="s">
        <v>17</v>
      </c>
      <c r="W19" s="775">
        <f>J19</f>
        <v>100</v>
      </c>
      <c r="X19" s="1813"/>
      <c r="Y19" s="3248"/>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48"/>
      <c r="Q20" s="1810"/>
      <c r="R20" s="774"/>
      <c r="S20" s="775"/>
      <c r="T20" s="774"/>
      <c r="U20" s="775"/>
      <c r="V20" s="774"/>
      <c r="W20" s="775"/>
      <c r="X20" s="1813"/>
      <c r="Y20" s="3248"/>
      <c r="Z20" s="1814"/>
      <c r="AA20" s="1811"/>
      <c r="AB20" s="1811"/>
      <c r="AC20" s="1811"/>
    </row>
    <row r="21" spans="1:29" ht="71.25">
      <c r="A21" s="404"/>
      <c r="B21" s="631" t="s">
        <v>2798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8"/>
      <c r="Q21" s="1810" t="str">
        <f t="shared" si="8"/>
        <v>环境状况</v>
      </c>
      <c r="R21" s="774" t="s">
        <v>17</v>
      </c>
      <c r="S21" s="775">
        <f>F21</f>
        <v>100</v>
      </c>
      <c r="T21" s="774" t="s">
        <v>17</v>
      </c>
      <c r="U21" s="775">
        <f>H21</f>
        <v>100</v>
      </c>
      <c r="V21" s="774" t="s">
        <v>17</v>
      </c>
      <c r="W21" s="775">
        <f>J21</f>
        <v>100</v>
      </c>
      <c r="X21" s="1813"/>
      <c r="Y21" s="3248"/>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48"/>
      <c r="Q22" s="1810"/>
      <c r="R22" s="774"/>
      <c r="S22" s="775"/>
      <c r="T22" s="774"/>
      <c r="U22" s="775"/>
      <c r="V22" s="774"/>
      <c r="W22" s="775"/>
      <c r="X22" s="1813"/>
      <c r="Y22" s="3248"/>
      <c r="Z22" s="1814"/>
      <c r="AA22" s="1811">
        <v>1</v>
      </c>
      <c r="AB22" s="1811">
        <v>1</v>
      </c>
      <c r="AC22" s="1811">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8"/>
      <c r="Q23" s="1795" t="str">
        <f t="shared" si="8"/>
        <v>公共配套设施</v>
      </c>
      <c r="R23" s="770" t="s">
        <v>17</v>
      </c>
      <c r="S23" s="771">
        <f>F23</f>
        <v>100</v>
      </c>
      <c r="T23" s="770" t="s">
        <v>17</v>
      </c>
      <c r="U23" s="771">
        <f>H23</f>
        <v>100</v>
      </c>
      <c r="V23" s="770" t="s">
        <v>17</v>
      </c>
      <c r="W23" s="771">
        <f>J23</f>
        <v>100</v>
      </c>
      <c r="X23" s="772"/>
      <c r="Y23" s="3248"/>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48"/>
      <c r="Q24" s="1795"/>
      <c r="R24" s="770"/>
      <c r="S24" s="771"/>
      <c r="T24" s="770"/>
      <c r="U24" s="771"/>
      <c r="V24" s="770"/>
      <c r="W24" s="771"/>
      <c r="X24" s="772"/>
      <c r="Y24" s="3248"/>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8"/>
      <c r="Q25" s="1795" t="str">
        <f t="shared" ref="Q25" si="9">B25</f>
        <v>基础设施水平</v>
      </c>
      <c r="R25" s="770" t="s">
        <v>17</v>
      </c>
      <c r="S25" s="771">
        <f>F25</f>
        <v>100</v>
      </c>
      <c r="T25" s="770" t="s">
        <v>17</v>
      </c>
      <c r="U25" s="771">
        <f>H25</f>
        <v>100</v>
      </c>
      <c r="V25" s="770" t="s">
        <v>17</v>
      </c>
      <c r="W25" s="771">
        <f>J25</f>
        <v>100</v>
      </c>
      <c r="X25" s="772"/>
      <c r="Y25" s="3248"/>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48"/>
      <c r="Q26" s="1795"/>
      <c r="R26" s="770"/>
      <c r="S26" s="771"/>
      <c r="T26" s="770"/>
      <c r="U26" s="771"/>
      <c r="V26" s="770"/>
      <c r="W26" s="771"/>
      <c r="X26" s="772"/>
      <c r="Y26" s="324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8"/>
      <c r="Z27" s="1814" t="str">
        <f t="shared" ref="Z27:Z40" si="13">Q27</f>
        <v>临街状况</v>
      </c>
      <c r="AA27" s="1811">
        <f t="shared" si="3"/>
        <v>1</v>
      </c>
      <c r="AB27" s="1811">
        <f t="shared" si="4"/>
        <v>1</v>
      </c>
      <c r="AC27" s="1811">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8"/>
      <c r="Q28" s="1810" t="str">
        <f t="shared" si="8"/>
        <v>毗邻道路的类型与等级</v>
      </c>
      <c r="R28" s="774" t="s">
        <v>17</v>
      </c>
      <c r="S28" s="775">
        <f t="shared" si="10"/>
        <v>100</v>
      </c>
      <c r="T28" s="774" t="s">
        <v>17</v>
      </c>
      <c r="U28" s="775">
        <f t="shared" si="11"/>
        <v>100</v>
      </c>
      <c r="V28" s="774" t="s">
        <v>17</v>
      </c>
      <c r="W28" s="775">
        <f t="shared" si="12"/>
        <v>100</v>
      </c>
      <c r="X28" s="1813"/>
      <c r="Y28" s="3248"/>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48"/>
      <c r="Q29" s="1810"/>
      <c r="R29" s="774"/>
      <c r="S29" s="775"/>
      <c r="T29" s="774"/>
      <c r="U29" s="775"/>
      <c r="V29" s="774"/>
      <c r="W29" s="775"/>
      <c r="X29" s="1813"/>
      <c r="Y29" s="3248"/>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8"/>
      <c r="Q30" s="1810" t="str">
        <f t="shared" si="8"/>
        <v>土地级别</v>
      </c>
      <c r="R30" s="774" t="s">
        <v>17</v>
      </c>
      <c r="S30" s="775">
        <f t="shared" si="10"/>
        <v>100</v>
      </c>
      <c r="T30" s="774" t="s">
        <v>17</v>
      </c>
      <c r="U30" s="775">
        <f t="shared" si="11"/>
        <v>100</v>
      </c>
      <c r="V30" s="774" t="s">
        <v>17</v>
      </c>
      <c r="W30" s="775">
        <f t="shared" si="12"/>
        <v>100</v>
      </c>
      <c r="X30" s="1813"/>
      <c r="Y30" s="3248"/>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8"/>
      <c r="Q31" s="1810">
        <f t="shared" si="8"/>
        <v>111</v>
      </c>
      <c r="R31" s="774" t="s">
        <v>17</v>
      </c>
      <c r="S31" s="775">
        <f t="shared" si="10"/>
        <v>100</v>
      </c>
      <c r="T31" s="774" t="s">
        <v>17</v>
      </c>
      <c r="U31" s="775">
        <f t="shared" si="11"/>
        <v>100</v>
      </c>
      <c r="V31" s="774" t="s">
        <v>17</v>
      </c>
      <c r="W31" s="775">
        <f t="shared" si="12"/>
        <v>100</v>
      </c>
      <c r="X31" s="1813"/>
      <c r="Y31" s="3248"/>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3" t="s">
        <v>2564</v>
      </c>
      <c r="Q32" s="1810">
        <f t="shared" si="8"/>
        <v>111</v>
      </c>
      <c r="R32" s="774" t="s">
        <v>17</v>
      </c>
      <c r="S32" s="775">
        <f t="shared" si="10"/>
        <v>100</v>
      </c>
      <c r="T32" s="774" t="s">
        <v>17</v>
      </c>
      <c r="U32" s="775">
        <f t="shared" si="11"/>
        <v>100</v>
      </c>
      <c r="V32" s="774" t="s">
        <v>17</v>
      </c>
      <c r="W32" s="775">
        <f t="shared" si="12"/>
        <v>100</v>
      </c>
      <c r="X32" s="1813"/>
      <c r="Y32" s="3252"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2"/>
      <c r="Q33" s="1810">
        <f t="shared" si="8"/>
        <v>111</v>
      </c>
      <c r="R33" s="777" t="s">
        <v>17</v>
      </c>
      <c r="S33" s="778">
        <f t="shared" si="10"/>
        <v>100</v>
      </c>
      <c r="T33" s="777" t="s">
        <v>17</v>
      </c>
      <c r="U33" s="778">
        <f t="shared" si="11"/>
        <v>100</v>
      </c>
      <c r="V33" s="777" t="s">
        <v>17</v>
      </c>
      <c r="W33" s="778">
        <f t="shared" si="12"/>
        <v>100</v>
      </c>
      <c r="X33" s="779"/>
      <c r="Y33" s="3252"/>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2"/>
      <c r="Q34" s="1810" t="str">
        <f>B34</f>
        <v>宗地面积</v>
      </c>
      <c r="R34" s="774" t="s">
        <v>17</v>
      </c>
      <c r="S34" s="775" t="e">
        <f t="shared" si="10"/>
        <v>#N/A</v>
      </c>
      <c r="T34" s="774" t="s">
        <v>17</v>
      </c>
      <c r="U34" s="775" t="e">
        <f t="shared" si="11"/>
        <v>#N/A</v>
      </c>
      <c r="V34" s="774" t="s">
        <v>17</v>
      </c>
      <c r="W34" s="775" t="e">
        <f t="shared" si="12"/>
        <v>#N/A</v>
      </c>
      <c r="X34" s="1813"/>
      <c r="Y34" s="3252"/>
      <c r="Z34" s="1814" t="str">
        <f t="shared" si="13"/>
        <v>宗地面积</v>
      </c>
      <c r="AA34" s="1811" t="e">
        <f t="shared" si="3"/>
        <v>#N/A</v>
      </c>
      <c r="AB34" s="1811" t="e">
        <f t="shared" si="4"/>
        <v>#N/A</v>
      </c>
      <c r="AC34" s="1811"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52"/>
      <c r="Q35" s="1810" t="str">
        <f t="shared" ref="Q35:Q40" si="14">B35</f>
        <v>宗地形状</v>
      </c>
      <c r="R35" s="774" t="s">
        <v>17</v>
      </c>
      <c r="S35" s="775">
        <f t="shared" si="10"/>
        <v>100</v>
      </c>
      <c r="T35" s="774" t="s">
        <v>17</v>
      </c>
      <c r="U35" s="775">
        <f t="shared" si="11"/>
        <v>100</v>
      </c>
      <c r="V35" s="774" t="s">
        <v>17</v>
      </c>
      <c r="W35" s="775">
        <f t="shared" si="12"/>
        <v>100</v>
      </c>
      <c r="X35" s="1813"/>
      <c r="Y35" s="3252"/>
      <c r="Z35" s="1814" t="str">
        <f t="shared" si="13"/>
        <v>宗地形状</v>
      </c>
      <c r="AA35" s="1811">
        <f t="shared" si="3"/>
        <v>1</v>
      </c>
      <c r="AB35" s="1811">
        <f t="shared" si="4"/>
        <v>1</v>
      </c>
      <c r="AC35" s="1811">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52"/>
      <c r="Q36" s="1810" t="str">
        <f t="shared" si="14"/>
        <v>宗地开发程度</v>
      </c>
      <c r="R36" s="770" t="s">
        <v>17</v>
      </c>
      <c r="S36" s="771">
        <f t="shared" si="10"/>
        <v>100</v>
      </c>
      <c r="T36" s="770" t="s">
        <v>17</v>
      </c>
      <c r="U36" s="771">
        <f t="shared" si="11"/>
        <v>100</v>
      </c>
      <c r="V36" s="770" t="s">
        <v>17</v>
      </c>
      <c r="W36" s="771">
        <f t="shared" si="12"/>
        <v>100</v>
      </c>
      <c r="X36" s="772"/>
      <c r="Y36" s="3252"/>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52" t="s">
        <v>2564</v>
      </c>
      <c r="Q37" s="1810" t="str">
        <f t="shared" si="14"/>
        <v>工程地质条件</v>
      </c>
      <c r="R37" s="774" t="s">
        <v>17</v>
      </c>
      <c r="S37" s="775">
        <f t="shared" si="10"/>
        <v>100</v>
      </c>
      <c r="T37" s="774" t="s">
        <v>17</v>
      </c>
      <c r="U37" s="775">
        <f t="shared" si="11"/>
        <v>100</v>
      </c>
      <c r="V37" s="774" t="s">
        <v>17</v>
      </c>
      <c r="W37" s="775">
        <f t="shared" si="12"/>
        <v>100</v>
      </c>
      <c r="X37" s="1813"/>
      <c r="Y37" s="3252"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2"/>
      <c r="Q38" s="1810">
        <f t="shared" si="14"/>
        <v>111</v>
      </c>
      <c r="R38" s="774" t="s">
        <v>17</v>
      </c>
      <c r="S38" s="775">
        <f t="shared" si="10"/>
        <v>100</v>
      </c>
      <c r="T38" s="774" t="s">
        <v>17</v>
      </c>
      <c r="U38" s="775">
        <f t="shared" si="11"/>
        <v>100</v>
      </c>
      <c r="V38" s="774" t="s">
        <v>17</v>
      </c>
      <c r="W38" s="775">
        <f t="shared" si="12"/>
        <v>100</v>
      </c>
      <c r="X38" s="1813"/>
      <c r="Y38" s="325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2"/>
      <c r="Q39" s="1810">
        <f t="shared" si="14"/>
        <v>111</v>
      </c>
      <c r="R39" s="774" t="s">
        <v>17</v>
      </c>
      <c r="S39" s="775">
        <f t="shared" si="10"/>
        <v>100</v>
      </c>
      <c r="T39" s="774" t="s">
        <v>17</v>
      </c>
      <c r="U39" s="775">
        <f t="shared" si="11"/>
        <v>100</v>
      </c>
      <c r="V39" s="774" t="s">
        <v>17</v>
      </c>
      <c r="W39" s="775">
        <f t="shared" si="12"/>
        <v>100</v>
      </c>
      <c r="X39" s="1813"/>
      <c r="Y39" s="3252"/>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2"/>
      <c r="Q40" s="1810">
        <f t="shared" si="14"/>
        <v>111</v>
      </c>
      <c r="R40" s="777" t="s">
        <v>17</v>
      </c>
      <c r="S40" s="778">
        <f t="shared" si="10"/>
        <v>100</v>
      </c>
      <c r="T40" s="777" t="s">
        <v>17</v>
      </c>
      <c r="U40" s="778">
        <f t="shared" si="11"/>
        <v>100</v>
      </c>
      <c r="V40" s="777" t="s">
        <v>17</v>
      </c>
      <c r="W40" s="778">
        <f t="shared" si="12"/>
        <v>100</v>
      </c>
      <c r="X40" s="779"/>
      <c r="Y40" s="3252"/>
      <c r="Z40" s="780">
        <f t="shared" si="13"/>
        <v>111</v>
      </c>
      <c r="AA40" s="1811">
        <f t="shared" si="3"/>
        <v>1</v>
      </c>
      <c r="AB40" s="1811">
        <f t="shared" si="4"/>
        <v>1</v>
      </c>
      <c r="AC40" s="1811">
        <f t="shared" si="5"/>
        <v>1</v>
      </c>
    </row>
    <row r="41" spans="1:29" ht="15">
      <c r="A41" s="479" t="s">
        <v>2719</v>
      </c>
      <c r="B41" s="2702" t="s">
        <v>2799</v>
      </c>
      <c r="C41" s="682" t="s">
        <v>1</v>
      </c>
      <c r="D41" s="481"/>
      <c r="E41" s="482"/>
      <c r="F41" s="483"/>
      <c r="G41" s="484"/>
      <c r="H41" s="485"/>
      <c r="I41" s="482"/>
      <c r="J41" s="485"/>
      <c r="K41" s="783"/>
      <c r="L41" s="1143"/>
      <c r="M41" s="1131"/>
      <c r="N41" s="1131"/>
      <c r="O41" s="1144"/>
      <c r="P41" s="3245" t="str">
        <f>A41</f>
        <v>成交单价</v>
      </c>
      <c r="Q41" s="3245"/>
      <c r="R41" s="3240">
        <f>E41</f>
        <v>0</v>
      </c>
      <c r="S41" s="3240"/>
      <c r="T41" s="3240">
        <f>G41</f>
        <v>0</v>
      </c>
      <c r="U41" s="3240"/>
      <c r="V41" s="3240">
        <f>I41</f>
        <v>0</v>
      </c>
      <c r="W41" s="324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45" t="str">
        <f>A42</f>
        <v>比较价值（元/平方米）</v>
      </c>
      <c r="Q42" s="3245"/>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42" t="str">
        <f>A43</f>
        <v>估价对象XX用房的比较价值（楼面单价，元/平方米）</v>
      </c>
      <c r="Q43" s="3243"/>
      <c r="R43" s="3275" t="e">
        <f>ROUND(AVERAGE(R42:V42),0)</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3" t="s">
        <v>2759</v>
      </c>
      <c r="D50" s="2704" t="s">
        <v>2760</v>
      </c>
      <c r="E50" s="686" t="s">
        <v>2761</v>
      </c>
      <c r="F50" s="687" t="s">
        <v>2762</v>
      </c>
      <c r="G50" s="3228" t="s">
        <v>2763</v>
      </c>
      <c r="H50" s="3276"/>
      <c r="I50" s="1814" t="s">
        <v>2800</v>
      </c>
      <c r="J50" s="1814">
        <f>项目基本情况!F35</f>
        <v>0</v>
      </c>
      <c r="K50" s="2706" t="s">
        <v>2765</v>
      </c>
      <c r="L50" s="1106"/>
      <c r="M50" s="1144"/>
      <c r="N50" s="1144"/>
      <c r="O50" s="1144"/>
    </row>
    <row r="51" spans="1:17" s="692" customFormat="1">
      <c r="A51" s="688" t="s">
        <v>2766</v>
      </c>
      <c r="B51" s="689" t="e">
        <f>C43</f>
        <v>#DIV/0!</v>
      </c>
      <c r="C51" s="690">
        <v>1</v>
      </c>
      <c r="D51" s="1163">
        <v>1</v>
      </c>
      <c r="E51" s="690">
        <f>'数据-汇总表'!E8+'数据-汇总表'!E9</f>
        <v>86971.4</v>
      </c>
      <c r="F51" s="691" t="e">
        <f t="shared" ref="F51:F60" si="15">ROUND(B51*E51/10000,0)</f>
        <v>#DIV/0!</v>
      </c>
      <c r="G51" s="3227"/>
      <c r="H51" s="3245"/>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77"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77"/>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77"/>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77"/>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7"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7"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8"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43648.1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9"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70"/>
      <c r="L1" s="2716" t="s">
        <v>2805</v>
      </c>
      <c r="M1" s="1080">
        <f>SUMPRODUCT((区片价!B5:B9=I2)*(区片价!C3:F3=E2)*(区片价!C5:F9))</f>
        <v>0</v>
      </c>
      <c r="N1" s="1083">
        <f>SUMPRODUCT((因素修正幅度!B5:B9=I2)*(因素修正幅度!C3:F3=E2)*(因素修正幅度!C5:F9))</f>
        <v>0</v>
      </c>
      <c r="O1" s="2717"/>
      <c r="P1" s="2717"/>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70"/>
      <c r="L2" s="2724"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19" t="s">
        <v>2818</v>
      </c>
      <c r="D3" s="2720" t="s">
        <v>2819</v>
      </c>
      <c r="E3" s="2725"/>
      <c r="F3" s="2726" t="s">
        <v>2820</v>
      </c>
      <c r="G3" s="916">
        <f>IF(F3="宗地容积率",'数据-汇总表'!I4,IF(F3="估价对象容积率",'数据-汇总表'!I6,'数据-汇总表'!I7))</f>
        <v>1.99</v>
      </c>
      <c r="H3" s="198" t="s">
        <v>2821</v>
      </c>
      <c r="I3" s="944"/>
      <c r="J3" s="2723" t="s">
        <v>2822</v>
      </c>
      <c r="K3" s="1370"/>
      <c r="L3" s="2724"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8"/>
      <c r="B4" s="3299"/>
      <c r="C4" s="3299"/>
      <c r="D4" s="3300"/>
      <c r="E4" s="3300"/>
      <c r="F4" s="3300"/>
      <c r="G4" s="3300"/>
      <c r="H4" s="3300"/>
      <c r="I4" s="3300"/>
      <c r="J4" s="3301"/>
      <c r="K4" s="1370"/>
      <c r="L4" s="2724"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2825</v>
      </c>
      <c r="C5" s="917" t="e">
        <f>ROUND(IF(E2="商业",C6*C7+C16,(IF(E2="住宅",C6*C12+C16,C6+C16))),0)</f>
        <v>#DIV/0!</v>
      </c>
      <c r="D5" s="1787" t="e">
        <f>ROUND(C6+C16,0)</f>
        <v>#DIV/0!</v>
      </c>
      <c r="E5" s="1787"/>
      <c r="F5" s="2729"/>
      <c r="G5" s="2730"/>
      <c r="H5" s="2730"/>
      <c r="I5" s="2730"/>
      <c r="J5" s="2731"/>
      <c r="K5" s="2732"/>
      <c r="L5" s="2724"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2827</v>
      </c>
      <c r="B6" s="2738" t="s">
        <v>2828</v>
      </c>
      <c r="C6" s="918">
        <f>SUMIF(L1:L12,G2,M1:M12)</f>
        <v>0</v>
      </c>
      <c r="D6" s="2739" t="s">
        <v>2829</v>
      </c>
      <c r="E6" s="2740"/>
      <c r="F6" s="2740"/>
      <c r="G6" s="2741"/>
      <c r="H6" s="2741"/>
      <c r="I6" s="2741"/>
      <c r="J6" s="2742"/>
      <c r="K6" s="1842"/>
      <c r="L6" s="2724"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82" t="str">
        <f>IF(E2="商业",IF(C8="不临58条商业街","",2),"")</f>
        <v/>
      </c>
      <c r="B7" s="2743" t="s">
        <v>2831</v>
      </c>
      <c r="C7" s="919" t="e">
        <f>IF(C8="不临58条商业街",1,ROUND(1+(1.6*E8+1.2*E9+0.8*E10+0.4*E11)*C9,4))</f>
        <v>#DIV/0!</v>
      </c>
      <c r="D7" s="2744" t="s">
        <v>2832</v>
      </c>
      <c r="E7" s="945"/>
      <c r="F7" s="2745"/>
      <c r="G7" s="2746"/>
      <c r="H7" s="2746"/>
      <c r="I7" s="2746"/>
      <c r="J7" s="2747"/>
      <c r="K7" s="1842"/>
      <c r="L7" s="2724"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1.99</v>
      </c>
      <c r="AA7" s="1606"/>
      <c r="AB7" s="1606"/>
      <c r="AC7" s="1607"/>
      <c r="AD7" s="1608"/>
      <c r="AE7" s="1608"/>
      <c r="AF7" s="1608"/>
      <c r="AG7" s="1608"/>
      <c r="AH7" s="1608"/>
      <c r="AI7" s="1608"/>
      <c r="AJ7" s="1609"/>
    </row>
    <row r="8" spans="1:36" ht="15">
      <c r="A8" s="3302"/>
      <c r="B8" s="198" t="s">
        <v>2836</v>
      </c>
      <c r="C8" s="2748"/>
      <c r="D8" s="920" t="s">
        <v>139</v>
      </c>
      <c r="E8" s="921" t="e">
        <f>ROUND(C11/E7,4)</f>
        <v>#DIV/0!</v>
      </c>
      <c r="F8" s="2749" t="s">
        <v>2837</v>
      </c>
      <c r="G8" s="2750"/>
      <c r="H8" s="2750"/>
      <c r="I8" s="2750"/>
      <c r="J8" s="2751"/>
      <c r="K8" s="1370"/>
      <c r="L8" s="2724"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5" t="s">
        <v>2839</v>
      </c>
      <c r="X8" s="3296"/>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302"/>
      <c r="B9" s="198" t="s">
        <v>2852</v>
      </c>
      <c r="C9" s="922">
        <f>SUMIF(修正!C59:C119,C8,修正!E59:E119)</f>
        <v>0</v>
      </c>
      <c r="D9" s="200" t="s">
        <v>140</v>
      </c>
      <c r="E9" s="200" t="e">
        <f>ROUND(C11/E7,4)</f>
        <v>#DIV/0!</v>
      </c>
      <c r="F9" s="2749" t="s">
        <v>2853</v>
      </c>
      <c r="G9" s="2750"/>
      <c r="H9" s="2750"/>
      <c r="I9" s="2750"/>
      <c r="J9" s="2751"/>
      <c r="K9" s="1370"/>
      <c r="L9" s="2724"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97"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2"/>
      <c r="B10" s="198" t="s">
        <v>2857</v>
      </c>
      <c r="C10" s="200">
        <f>SUMIF(修正!C59:C119,C8,修正!F59:F119)</f>
        <v>0</v>
      </c>
      <c r="D10" s="200" t="s">
        <v>141</v>
      </c>
      <c r="E10" s="200" t="e">
        <f>ROUND(C11/E7,4)</f>
        <v>#DIV/0!</v>
      </c>
      <c r="F10" s="2749" t="s">
        <v>2858</v>
      </c>
      <c r="G10" s="2750"/>
      <c r="H10" s="2750"/>
      <c r="I10" s="2750"/>
      <c r="J10" s="2751"/>
      <c r="K10" s="1370"/>
      <c r="L10" s="2724"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9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2"/>
      <c r="B11" s="2752" t="s">
        <v>2860</v>
      </c>
      <c r="C11" s="923">
        <f>C10/4</f>
        <v>0</v>
      </c>
      <c r="D11" s="923" t="s">
        <v>142</v>
      </c>
      <c r="E11" s="923" t="e">
        <f>ROUND(C11/E7,4)</f>
        <v>#DIV/0!</v>
      </c>
      <c r="F11" s="2753" t="s">
        <v>2861</v>
      </c>
      <c r="G11" s="2754"/>
      <c r="H11" s="2754"/>
      <c r="I11" s="2754"/>
      <c r="J11" s="2755"/>
      <c r="K11" s="1370"/>
      <c r="L11" s="2724"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97" t="s">
        <v>2863</v>
      </c>
      <c r="X11" s="1614" t="s">
        <v>2864</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25.5" thickBot="1">
      <c r="A12" s="3282" t="s">
        <v>2865</v>
      </c>
      <c r="B12" s="2756" t="s">
        <v>2866</v>
      </c>
      <c r="C12" s="919">
        <f>ROUND(C15*D15*E15*F15*G15*H15*I15*J15,4)</f>
        <v>1</v>
      </c>
      <c r="D12" s="2757" t="s">
        <v>2867</v>
      </c>
      <c r="E12" s="2758"/>
      <c r="F12" s="2758"/>
      <c r="G12" s="2759"/>
      <c r="H12" s="2759"/>
      <c r="I12" s="2759"/>
      <c r="J12" s="2760"/>
      <c r="K12" s="1370"/>
      <c r="L12" s="2761"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97"/>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3"/>
      <c r="B13" s="2762" t="s">
        <v>2870</v>
      </c>
      <c r="C13" s="2763" t="s">
        <v>2871</v>
      </c>
      <c r="D13" s="1808" t="s">
        <v>2872</v>
      </c>
      <c r="E13" s="1808" t="s">
        <v>2873</v>
      </c>
      <c r="F13" s="30" t="s">
        <v>2874</v>
      </c>
      <c r="G13" s="2764" t="s">
        <v>2875</v>
      </c>
      <c r="H13" s="2764" t="s">
        <v>2875</v>
      </c>
      <c r="I13" s="2764" t="s">
        <v>2875</v>
      </c>
      <c r="J13" s="2765" t="s">
        <v>2875</v>
      </c>
      <c r="K13" s="1370"/>
      <c r="L13" s="1370"/>
      <c r="M13" s="1370"/>
      <c r="N13" s="1370"/>
      <c r="O13" s="1370"/>
      <c r="P13" s="1370"/>
      <c r="Q13" s="1370"/>
      <c r="R13" s="1602">
        <v>12</v>
      </c>
      <c r="S13" s="1603"/>
      <c r="T13" s="1602" t="e">
        <f t="shared" si="0"/>
        <v>#DIV/0!</v>
      </c>
      <c r="U13" s="1603"/>
      <c r="V13" s="1602" t="e">
        <f t="shared" si="1"/>
        <v>#DIV/0!</v>
      </c>
      <c r="W13" s="3297"/>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5">
      <c r="A14" s="3303"/>
      <c r="B14" s="2766"/>
      <c r="C14" s="2767"/>
      <c r="D14" s="2768"/>
      <c r="E14" s="2768"/>
      <c r="F14" s="2769"/>
      <c r="G14" s="2770" t="s">
        <v>2876</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4"/>
      <c r="B15" s="2774"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2" t="s">
        <v>2882</v>
      </c>
      <c r="B16" s="2743" t="s">
        <v>2883</v>
      </c>
      <c r="C16" s="2930" t="e">
        <f>ROUND(IF(F17="与级别开发程度一致",0,(G17-E17)/C17),0)</f>
        <v>#DIV/0!</v>
      </c>
      <c r="D16" s="3293" t="s">
        <v>2887</v>
      </c>
      <c r="E16" s="3294"/>
      <c r="F16" s="3293" t="s">
        <v>2884</v>
      </c>
      <c r="G16" s="3294"/>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3"/>
      <c r="B17" s="2941" t="s">
        <v>2886</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2889</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2890</v>
      </c>
      <c r="C19" s="924" t="e">
        <f>ROUND(IF(H19="按公示增长率计算",SUMPRODUCT((地价!A3:A29=YEAR(G19)&amp;"-"&amp;ROUNDUP(MONTH(G19)/3,0))*(地价!X2:AB2=E2)*(地价!X3:AB29)),IF(H19="地价指数",M20/M19,(1+I19)^O19)),4)</f>
        <v>#VALUE!</v>
      </c>
      <c r="D19" s="2787" t="s">
        <v>2891</v>
      </c>
      <c r="E19" s="925">
        <v>41640</v>
      </c>
      <c r="F19" s="2787" t="s">
        <v>2892</v>
      </c>
      <c r="G19" s="926">
        <f>'数据-取费表'!B2</f>
        <v>43847</v>
      </c>
      <c r="H19" s="2788"/>
      <c r="I19" s="927" t="str">
        <f>IF(H19="季度增幅（自定义）",SUMIF(N21:N24,E2,O21:O24),"")</f>
        <v/>
      </c>
      <c r="J19" s="2785"/>
      <c r="K19" s="1377"/>
      <c r="L19" s="2789" t="s">
        <v>2893</v>
      </c>
      <c r="M19" s="1734">
        <f>ROUND(SUMIF(地价!B2:F2,E2,地价!B29:F29),0)</f>
        <v>0</v>
      </c>
      <c r="N19" s="2790" t="s">
        <v>2894</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2895</v>
      </c>
      <c r="C20" s="929" t="e">
        <f>ROUND(POWER(1+G20,J20-I20)*(POWER(1+G20,I20)-1)/(POWER(1+G20,J20)-1),4)</f>
        <v>#DIV/0!</v>
      </c>
      <c r="D20" s="2796" t="s">
        <v>2896</v>
      </c>
      <c r="E20" s="1768">
        <f ca="1">存贷款利率!D4/100</f>
        <v>4.3499999999999997E-2</v>
      </c>
      <c r="F20" s="2796" t="s">
        <v>2888</v>
      </c>
      <c r="G20" s="934">
        <f>SUMIF(M26:P26,E2,M28:P28)</f>
        <v>0</v>
      </c>
      <c r="H20" s="2796" t="s">
        <v>2897</v>
      </c>
      <c r="I20" s="935" t="e">
        <f>SUMIF('数据-取费表'!C6:C15,E2,'数据-取费表'!F6:F15)/COUNTIF('数据-取费表'!C6:C15,E2)</f>
        <v>#DIV/0!</v>
      </c>
      <c r="J20" s="936">
        <f>IF(E2="住宅",70,IF(E2="商业",40,50))</f>
        <v>50</v>
      </c>
      <c r="K20" s="1377"/>
      <c r="L20" s="2797" t="s">
        <v>2898</v>
      </c>
      <c r="M20" s="1735">
        <f>ROUND(SUMPRODUCT((地价!A4:A29=YEAR(G19)&amp;"-"&amp;ROUNDUP(MONTH(G19)/3,0))*(地价!B2:F2=E2)*(地价!B4:F29)),0)</f>
        <v>0</v>
      </c>
      <c r="N20" s="2798" t="s">
        <v>2899</v>
      </c>
      <c r="O20" s="2799" t="s">
        <v>2900</v>
      </c>
      <c r="P20" s="2800" t="s">
        <v>2901</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2902</v>
      </c>
      <c r="C21" s="937">
        <f>IF(B21="容积率修正",IF(G3&lt;=10,D22,J22),C23)</f>
        <v>0</v>
      </c>
      <c r="D21" s="2803"/>
      <c r="E21" s="2803"/>
      <c r="F21" s="2803"/>
      <c r="G21" s="2803"/>
      <c r="H21" s="2803"/>
      <c r="I21" s="2803"/>
      <c r="J21" s="2804"/>
      <c r="K21" s="1377"/>
      <c r="N21" s="2805" t="s">
        <v>2903</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2904</v>
      </c>
      <c r="B22" s="2806" t="s">
        <v>2905</v>
      </c>
      <c r="C22" s="1810" t="s">
        <v>2906</v>
      </c>
      <c r="D22" s="1810">
        <f>IF(E22=G22,F22,IF(G3&lt;=10,ROUND(F22+(H22-F22)*(G3-E22)/(G22-E22),4),"——"))</f>
        <v>0</v>
      </c>
      <c r="E22" s="916">
        <f>ROUNDDOWN(G3,1)</f>
        <v>1.9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2907</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2908</v>
      </c>
      <c r="B23" s="2807" t="s">
        <v>2909</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2910</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2911</v>
      </c>
      <c r="C24" s="924">
        <f>SUMIF(A45:A88,E2,B45:B88)</f>
        <v>0</v>
      </c>
      <c r="D24" s="2784"/>
      <c r="E24" s="2813"/>
      <c r="F24" s="2813"/>
      <c r="G24" s="2813"/>
      <c r="H24" s="2813"/>
      <c r="I24" s="2813"/>
      <c r="J24" s="2814"/>
      <c r="K24" s="1377"/>
      <c r="N24" s="2815" t="s">
        <v>2912</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2913</v>
      </c>
      <c r="C25" s="930"/>
      <c r="D25" s="2746"/>
      <c r="E25" s="2746"/>
      <c r="F25" s="2817"/>
      <c r="G25" s="2746"/>
      <c r="H25" s="2746"/>
      <c r="I25" s="2746"/>
      <c r="J25" s="2747"/>
      <c r="K25" s="1370"/>
      <c r="N25" s="2818" t="s">
        <v>2914</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2915</v>
      </c>
      <c r="C26" s="206" t="e">
        <f>E29+SUM(E33:E39)</f>
        <v>#DIV/0!</v>
      </c>
      <c r="D26" s="2820"/>
      <c r="E26" s="2771"/>
      <c r="F26" s="2821"/>
      <c r="G26" s="2771"/>
      <c r="H26" s="2771"/>
      <c r="I26" s="2771"/>
      <c r="J26" s="2822"/>
      <c r="K26" s="1370"/>
      <c r="L26" s="2775" t="s">
        <v>2813</v>
      </c>
      <c r="M26" s="920" t="s">
        <v>2878</v>
      </c>
      <c r="N26" s="920" t="s">
        <v>2879</v>
      </c>
      <c r="O26" s="920" t="s">
        <v>2880</v>
      </c>
      <c r="P26" s="2776" t="s">
        <v>2881</v>
      </c>
      <c r="R26" s="1376"/>
      <c r="S26" s="1376"/>
      <c r="T26" s="1371"/>
      <c r="U26" s="1371"/>
      <c r="V26" s="1371"/>
      <c r="W26" s="1370"/>
      <c r="X26" s="1370"/>
      <c r="Y26" s="1370"/>
      <c r="Z26" s="1377"/>
      <c r="AA26" s="1378"/>
      <c r="AB26" s="1378"/>
      <c r="AC26" s="1378"/>
      <c r="AD26" s="1378"/>
    </row>
    <row r="27" spans="1:37" ht="15.75" thickBot="1">
      <c r="A27" s="2819"/>
      <c r="B27" s="2823" t="s">
        <v>2916</v>
      </c>
      <c r="C27" s="931" t="e">
        <f>E30+SUM(I33:I39)</f>
        <v>#DIV/0!</v>
      </c>
      <c r="D27" s="2824"/>
      <c r="E27" s="2825"/>
      <c r="F27" s="2826"/>
      <c r="G27" s="2825"/>
      <c r="H27" s="2825"/>
      <c r="I27" s="2825"/>
      <c r="J27" s="2827"/>
      <c r="K27" s="1370"/>
      <c r="L27" s="2779"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2917</v>
      </c>
      <c r="C28" s="2830" t="s">
        <v>2918</v>
      </c>
      <c r="D28" s="2830" t="s">
        <v>2919</v>
      </c>
      <c r="E28" s="2831" t="s">
        <v>2920</v>
      </c>
      <c r="F28" s="2832"/>
      <c r="G28" s="2759"/>
      <c r="H28" s="2759"/>
      <c r="I28" s="2759"/>
      <c r="J28" s="2760"/>
      <c r="K28" s="1370"/>
      <c r="L28" s="2780"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2921</v>
      </c>
      <c r="C29" s="206" t="e">
        <f>ROUND(C5*C18*C19*C20*C21*C24,0)</f>
        <v>#DIV/0!</v>
      </c>
      <c r="D29" s="2835"/>
      <c r="E29" s="942" t="e">
        <f>ROUND(C29*D29/10000,0)</f>
        <v>#DIV/0!</v>
      </c>
      <c r="F29" s="2836" t="s">
        <v>2922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2923</v>
      </c>
      <c r="C30" s="229" t="e">
        <f>ROUND(IF(E2="工业",C29*M39,C29*M38),0)</f>
        <v>#DIV/0!</v>
      </c>
      <c r="D30" s="2841"/>
      <c r="E30" s="942" t="e">
        <f>ROUND(C30*D30/10000,0)</f>
        <v>#DIV/0!</v>
      </c>
      <c r="F30" s="2842" t="s">
        <v>2924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2925</v>
      </c>
      <c r="C31" s="2847" t="s">
        <v>2926</v>
      </c>
      <c r="D31" s="2759"/>
      <c r="E31" s="2847"/>
      <c r="F31" s="2847"/>
      <c r="G31" s="2757" t="s">
        <v>2927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2918</v>
      </c>
      <c r="D32" s="498" t="s">
        <v>2919</v>
      </c>
      <c r="E32" s="498" t="s">
        <v>2920</v>
      </c>
      <c r="F32" s="388" t="s">
        <v>2928</v>
      </c>
      <c r="G32" s="2850" t="s">
        <v>2918</v>
      </c>
      <c r="H32" s="2850" t="s">
        <v>2919</v>
      </c>
      <c r="I32" s="2850"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90" t="s">
        <v>2929</v>
      </c>
      <c r="B33" s="2851" t="s">
        <v>2930</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1"/>
      <c r="B34" s="2763" t="s">
        <v>2931</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1"/>
      <c r="B35" s="2763" t="s">
        <v>2932</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92"/>
      <c r="B36" s="2763" t="s">
        <v>2933</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2934</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2935</v>
      </c>
      <c r="M37" s="2855"/>
      <c r="N37" s="1370"/>
      <c r="O37" s="1370"/>
      <c r="P37" s="1370"/>
      <c r="Q37" s="1370"/>
      <c r="R37" s="1370"/>
      <c r="S37" s="1370"/>
      <c r="T37" s="1370"/>
      <c r="U37" s="1370"/>
      <c r="V37" s="1370"/>
      <c r="W37" s="1370"/>
      <c r="X37" s="1370"/>
      <c r="Y37" s="1370"/>
      <c r="Z37" s="1371"/>
    </row>
    <row r="38" spans="1:37">
      <c r="A38" s="2853"/>
      <c r="B38" s="2763" t="s">
        <v>2936</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2937</v>
      </c>
      <c r="M38" s="2856">
        <v>0.25</v>
      </c>
      <c r="N38" s="1370"/>
      <c r="O38" s="1370"/>
      <c r="P38" s="1370"/>
      <c r="Q38" s="1370"/>
      <c r="R38" s="1370"/>
      <c r="S38" s="1370"/>
      <c r="T38" s="1370"/>
      <c r="U38" s="1370"/>
      <c r="V38" s="1370"/>
      <c r="W38" s="1370"/>
      <c r="X38" s="1370"/>
      <c r="Y38" s="1370"/>
      <c r="Z38" s="1371"/>
    </row>
    <row r="39" spans="1:37" ht="13.5" thickBot="1">
      <c r="A39" s="2839"/>
      <c r="B39" s="2857" t="s">
        <v>2938</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2881</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3046</v>
      </c>
      <c r="C41" s="388" t="e">
        <f>ROUND(POWER(1+E41,H41-G41)*(POWER(1+E41,G41)-1)/(POWER(1+E41,H41)-1),4)</f>
        <v>#DIV/0!</v>
      </c>
      <c r="D41" s="200" t="s">
        <v>2888</v>
      </c>
      <c r="E41" s="2927">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2940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2941</v>
      </c>
      <c r="B47" s="1809" t="s">
        <v>2942</v>
      </c>
      <c r="C47" s="1809" t="s">
        <v>2943</v>
      </c>
      <c r="D47" s="1809" t="s">
        <v>2944</v>
      </c>
      <c r="E47" s="819" t="s">
        <v>2945</v>
      </c>
      <c r="F47" s="2869" t="s">
        <v>2946</v>
      </c>
      <c r="G47" s="1809" t="s">
        <v>754</v>
      </c>
      <c r="H47" s="2870"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68" t="s">
        <v>2949</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68" t="s">
        <v>2950</v>
      </c>
      <c r="B49" s="2872" t="str">
        <f>估价对象房地状况!C18</f>
        <v>估价对象周边有开发区3路、快速直达专线181路、578路多条公交线路，距地铁8号线（瀛海站）约4公里，综合评价交通便捷度一般。</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2951</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2952</v>
      </c>
      <c r="B51" s="2873" t="s">
        <v>2953</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2954</v>
      </c>
      <c r="B52" s="2872" t="str">
        <f>估价对象房地状况!C24</f>
        <v>城市次干道——兴海路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2955</v>
      </c>
      <c r="B53" s="2874" t="s">
        <v>2956</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2957</v>
      </c>
      <c r="B54" s="1725" t="str">
        <f>估价对象房地状况!C21</f>
        <v>估价对象所在区域公共配套设施齐备情况一般</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2958</v>
      </c>
      <c r="B55" s="2872" t="str">
        <f>估价对象房地状况!C22</f>
        <v>七通</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6" t="s">
        <v>2959</v>
      </c>
      <c r="B56" s="2877" t="str">
        <f>估价对象房地状况!C20</f>
        <v>区域自然环境：体育公园、南海子公园、凉水河；人文环境：北京电子科技职业学院(亦庄校区)；综合评价环境状况一般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2960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2941</v>
      </c>
      <c r="B58" s="1809"/>
      <c r="C58" s="1809" t="s">
        <v>2943</v>
      </c>
      <c r="D58" s="1809" t="s">
        <v>2944</v>
      </c>
      <c r="E58" s="819" t="s">
        <v>2945</v>
      </c>
      <c r="F58" s="2869" t="s">
        <v>2961</v>
      </c>
      <c r="G58" s="1809" t="s">
        <v>754</v>
      </c>
      <c r="H58" s="2870"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68" t="s">
        <v>2962</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68" t="s">
        <v>2950</v>
      </c>
      <c r="B60" s="2872" t="str">
        <f>估价对象房地状况!C18</f>
        <v>估价对象周边有开发区3路、快速直达专线181路、578路多条公交线路，距地铁8号线（瀛海站）约4公里，综合评价交通便捷度一般。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2951</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2952</v>
      </c>
      <c r="B62" s="2873" t="s">
        <v>2953</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2954</v>
      </c>
      <c r="B63" s="2872" t="str">
        <f>估价对象房地状况!C24</f>
        <v>城市次干道——兴海路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2955</v>
      </c>
      <c r="B64" s="2874" t="s">
        <v>2956</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2957</v>
      </c>
      <c r="B65" s="1725" t="str">
        <f>估价对象房地状况!C21</f>
        <v>估价对象所在区域公共配套设施齐备情况一般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2958</v>
      </c>
      <c r="B66" s="1725" t="str">
        <f>估价对象房地状况!C22</f>
        <v>七通</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6" t="s">
        <v>2959</v>
      </c>
      <c r="B67" s="2878" t="str">
        <f>估价对象房地状况!C20</f>
        <v>区域自然环境：体育公园、南海子公园、凉水河；人文环境：北京电子科技职业学院(亦庄校区)；综合评价环境状况一般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2963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2941</v>
      </c>
      <c r="B69" s="1809"/>
      <c r="C69" s="1809" t="s">
        <v>2943</v>
      </c>
      <c r="D69" s="1809" t="s">
        <v>2944</v>
      </c>
      <c r="E69" s="819" t="s">
        <v>2945</v>
      </c>
      <c r="F69" s="2869" t="s">
        <v>2961</v>
      </c>
      <c r="G69" s="1809" t="s">
        <v>754</v>
      </c>
      <c r="H69" s="2870"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114.75">
      <c r="A70" s="2868" t="s">
        <v>2964</v>
      </c>
      <c r="B70" s="287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68" t="s">
        <v>2950</v>
      </c>
      <c r="B71" s="2872" t="str">
        <f>估价对象房地状况!C18</f>
        <v>估价对象周边有开发区3路、快速直达专线181路、578路多条公交线路，距地铁8号线（瀛海站）约4公里，综合评价交通便捷度一般。</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2951</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2965</v>
      </c>
      <c r="B73" s="2872" t="str">
        <f>估价对象房地状况!C24</f>
        <v>城市次干道——兴海路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2957</v>
      </c>
      <c r="B74" s="1725" t="str">
        <f>估价对象房地状况!C21</f>
        <v>估价对象所在区域公共配套设施齐备情况一般</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2958</v>
      </c>
      <c r="B75" s="1725" t="str">
        <f>估价对象房地状况!C22</f>
        <v>七通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2955</v>
      </c>
      <c r="B76" s="2874" t="s">
        <v>2956</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63.75">
      <c r="A77" s="2868" t="s">
        <v>2959</v>
      </c>
      <c r="B77" s="2871" t="str">
        <f>估价对象房地状况!C20</f>
        <v>区域自然环境：体育公园、南海子公园、凉水河；人文环境：北京电子科技职业学院(亦庄校区)；综合评价环境状况一般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2966</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2967</v>
      </c>
      <c r="B79" s="2865">
        <f>1+E81</f>
        <v>1</v>
      </c>
      <c r="C79" s="814"/>
      <c r="D79" s="814"/>
      <c r="E79" s="815"/>
      <c r="F79" s="2867"/>
      <c r="G79" s="6"/>
      <c r="H79" s="6"/>
      <c r="I79" s="6"/>
      <c r="J79" s="7"/>
      <c r="K79" s="7"/>
      <c r="L79" s="7"/>
      <c r="M79" s="7"/>
      <c r="N79" s="7"/>
      <c r="Z79" s="2718"/>
      <c r="AA79" s="2786"/>
      <c r="AG79" s="1372"/>
      <c r="AK79" s="2786"/>
    </row>
    <row r="80" spans="1:37" ht="24.75">
      <c r="A80" s="2868" t="s">
        <v>2941</v>
      </c>
      <c r="B80" s="1809"/>
      <c r="C80" s="1809" t="s">
        <v>2943</v>
      </c>
      <c r="D80" s="1809" t="s">
        <v>2944</v>
      </c>
      <c r="E80" s="819" t="s">
        <v>2945</v>
      </c>
      <c r="F80" s="2869" t="s">
        <v>2961</v>
      </c>
      <c r="G80" s="1809" t="s">
        <v>754</v>
      </c>
      <c r="H80" s="2870" t="s">
        <v>2947</v>
      </c>
      <c r="I80" s="1809" t="s">
        <v>2948</v>
      </c>
      <c r="J80" s="603" t="s">
        <v>2596</v>
      </c>
      <c r="K80" s="603" t="s">
        <v>2597</v>
      </c>
      <c r="L80" s="603" t="s">
        <v>2598</v>
      </c>
      <c r="M80" s="603" t="s">
        <v>2599</v>
      </c>
      <c r="N80" s="603" t="s">
        <v>2600</v>
      </c>
      <c r="Z80" s="2718"/>
      <c r="AA80" s="2786"/>
      <c r="AG80" s="1372"/>
      <c r="AK80" s="2786"/>
    </row>
    <row r="81" spans="1:37" ht="38.25">
      <c r="A81" s="2868" t="s">
        <v>2968</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2950</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2951</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2965</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2957</v>
      </c>
      <c r="B85" s="1725"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2958</v>
      </c>
      <c r="B86" s="1725"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2955</v>
      </c>
      <c r="B87" s="2874" t="s">
        <v>2969</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2970</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84" t="s">
        <v>2971</v>
      </c>
      <c r="B90" s="3284"/>
      <c r="C90" s="3284"/>
      <c r="D90" s="3284"/>
      <c r="E90" s="3284"/>
      <c r="F90" s="3284"/>
      <c r="G90" s="3284"/>
      <c r="H90" s="3284"/>
      <c r="I90" s="3284"/>
      <c r="J90" s="3284"/>
      <c r="K90" s="2882"/>
      <c r="L90" s="2882"/>
      <c r="M90" s="2882"/>
      <c r="N90" s="2882"/>
    </row>
    <row r="91" spans="1:37">
      <c r="A91" s="3286" t="s">
        <v>2972</v>
      </c>
      <c r="B91" s="3286" t="s">
        <v>2973</v>
      </c>
      <c r="C91" s="2836" t="s">
        <v>2974</v>
      </c>
      <c r="D91" s="2837"/>
      <c r="E91" s="2837"/>
      <c r="F91" s="2837"/>
      <c r="G91" s="2837"/>
      <c r="H91" s="2837"/>
      <c r="I91" s="2837"/>
      <c r="J91" s="2883"/>
      <c r="K91" s="2884"/>
      <c r="L91" s="2884"/>
      <c r="M91" s="2884"/>
      <c r="N91" s="2884"/>
    </row>
    <row r="92" spans="1:37">
      <c r="A92" s="3286"/>
      <c r="B92" s="328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87" t="s">
        <v>2975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8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8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8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8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8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88"/>
      <c r="B99" s="2885" t="s">
        <v>2856</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8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87" t="s">
        <v>2976</v>
      </c>
      <c r="B101" s="2889" t="s">
        <v>2977</v>
      </c>
      <c r="C101" s="2890">
        <f>$G$3</f>
        <v>1.99</v>
      </c>
      <c r="D101" s="2890">
        <f t="shared" ref="D101:N101" si="31">$G$3</f>
        <v>1.99</v>
      </c>
      <c r="E101" s="2890">
        <f t="shared" si="31"/>
        <v>1.99</v>
      </c>
      <c r="F101" s="2890">
        <f t="shared" si="31"/>
        <v>1.99</v>
      </c>
      <c r="G101" s="2890">
        <f t="shared" si="31"/>
        <v>1.99</v>
      </c>
      <c r="H101" s="2890">
        <f t="shared" si="31"/>
        <v>1.99</v>
      </c>
      <c r="I101" s="2890">
        <f t="shared" si="31"/>
        <v>1.99</v>
      </c>
      <c r="J101" s="2890">
        <f t="shared" si="31"/>
        <v>1.99</v>
      </c>
      <c r="K101" s="2890">
        <f t="shared" si="31"/>
        <v>1.99</v>
      </c>
      <c r="L101" s="2890">
        <f t="shared" si="31"/>
        <v>1.99</v>
      </c>
      <c r="M101" s="2890">
        <f t="shared" si="31"/>
        <v>1.99</v>
      </c>
      <c r="N101" s="2890">
        <f t="shared" si="31"/>
        <v>1.99</v>
      </c>
    </row>
    <row r="102" spans="1:14">
      <c r="A102" s="3288"/>
      <c r="B102" s="2885">
        <v>1</v>
      </c>
      <c r="C102" s="2886">
        <f>1.9362/C101</f>
        <v>0.97296482412060303</v>
      </c>
      <c r="D102" s="2886">
        <f>1.9362/D101</f>
        <v>0.97296482412060303</v>
      </c>
      <c r="E102" s="2886">
        <f>1.8629/E101</f>
        <v>0.93613065326633171</v>
      </c>
      <c r="F102" s="2886">
        <f>1.8629/F101</f>
        <v>0.93613065326633171</v>
      </c>
      <c r="G102" s="2886">
        <f>1.8629/G101</f>
        <v>0.93613065326633171</v>
      </c>
      <c r="H102" s="2886">
        <f>1.8629/H101</f>
        <v>0.93613065326633171</v>
      </c>
      <c r="I102" s="2886">
        <f>1.8629/I101</f>
        <v>0.93613065326633171</v>
      </c>
      <c r="J102" s="2886">
        <f>1.942/J101</f>
        <v>0.97587939698492465</v>
      </c>
      <c r="K102" s="2886">
        <f>1.942/K101</f>
        <v>0.97587939698492465</v>
      </c>
      <c r="L102" s="2886">
        <f>1.942/L101</f>
        <v>0.97587939698492465</v>
      </c>
      <c r="M102" s="2886">
        <f>1.942/M101</f>
        <v>0.97587939698492465</v>
      </c>
      <c r="N102" s="2886">
        <f>1.942/N101</f>
        <v>0.97587939698492465</v>
      </c>
    </row>
    <row r="103" spans="1:14">
      <c r="A103" s="3288"/>
      <c r="B103" s="2885">
        <v>2</v>
      </c>
      <c r="C103" s="2886">
        <f>1.4198/C101</f>
        <v>0.71346733668341711</v>
      </c>
      <c r="D103" s="2886">
        <f>1.4198/D101</f>
        <v>0.71346733668341711</v>
      </c>
      <c r="E103" s="2886">
        <f>1.3372/E101</f>
        <v>0.67195979899497482</v>
      </c>
      <c r="F103" s="2886">
        <f>1.3372/F101</f>
        <v>0.67195979899497482</v>
      </c>
      <c r="G103" s="2886">
        <f>1.3372/G101</f>
        <v>0.67195979899497482</v>
      </c>
      <c r="H103" s="2886">
        <f>1.3372/H101</f>
        <v>0.67195979899497482</v>
      </c>
      <c r="I103" s="2886">
        <f>1.3372/I101</f>
        <v>0.67195979899497482</v>
      </c>
      <c r="J103" s="2886">
        <f>1.2799/J101</f>
        <v>0.64316582914572862</v>
      </c>
      <c r="K103" s="2886">
        <f>1.2799/K101</f>
        <v>0.64316582914572862</v>
      </c>
      <c r="L103" s="2886">
        <f>1.2799/L101</f>
        <v>0.64316582914572862</v>
      </c>
      <c r="M103" s="2886">
        <f>1.2799/M101</f>
        <v>0.64316582914572862</v>
      </c>
      <c r="N103" s="2886">
        <f>1.2799/N101</f>
        <v>0.64316582914572862</v>
      </c>
    </row>
    <row r="104" spans="1:14">
      <c r="A104" s="3288"/>
      <c r="B104" s="2885">
        <v>3</v>
      </c>
      <c r="C104" s="2886">
        <f>1.1594/C101</f>
        <v>0.58261306532663315</v>
      </c>
      <c r="D104" s="2886">
        <f>1.1594/D101</f>
        <v>0.58261306532663315</v>
      </c>
      <c r="E104" s="2886">
        <f>1.0788/E101</f>
        <v>0.54211055276381914</v>
      </c>
      <c r="F104" s="2886">
        <f>1.0788/F101</f>
        <v>0.54211055276381914</v>
      </c>
      <c r="G104" s="2886">
        <f>1.0788/G101</f>
        <v>0.54211055276381914</v>
      </c>
      <c r="H104" s="2886">
        <f>1.0788/H101</f>
        <v>0.54211055276381914</v>
      </c>
      <c r="I104" s="2886">
        <f>1.0788/I101</f>
        <v>0.54211055276381914</v>
      </c>
      <c r="J104" s="2886">
        <f>1.0072/J101</f>
        <v>0.50613065326633166</v>
      </c>
      <c r="K104" s="2886">
        <f>1.0072/K101</f>
        <v>0.50613065326633166</v>
      </c>
      <c r="L104" s="2886">
        <f>1.0072/L101</f>
        <v>0.50613065326633166</v>
      </c>
      <c r="M104" s="2886">
        <f>1.0072/M101</f>
        <v>0.50613065326633166</v>
      </c>
      <c r="N104" s="2886">
        <f>1.0072/N101</f>
        <v>0.50613065326633166</v>
      </c>
    </row>
    <row r="105" spans="1:14">
      <c r="A105" s="3288"/>
      <c r="B105" s="2885">
        <v>4</v>
      </c>
      <c r="C105" s="2886">
        <f>0.9622/C101</f>
        <v>0.48351758793969851</v>
      </c>
      <c r="D105" s="2886">
        <f>0.9622/D101</f>
        <v>0.48351758793969851</v>
      </c>
      <c r="E105" s="2886">
        <f>0.8656/E101</f>
        <v>0.43497487437185933</v>
      </c>
      <c r="F105" s="2886">
        <f>0.8656/F101</f>
        <v>0.43497487437185933</v>
      </c>
      <c r="G105" s="2886">
        <f>0.8656/G101</f>
        <v>0.43497487437185933</v>
      </c>
      <c r="H105" s="2886">
        <f>0.8656/H101</f>
        <v>0.43497487437185933</v>
      </c>
      <c r="I105" s="2886">
        <f>0.8656/I101</f>
        <v>0.43497487437185933</v>
      </c>
      <c r="J105" s="2886">
        <f>0.7525/J101</f>
        <v>0.37814070351758794</v>
      </c>
      <c r="K105" s="2886">
        <f>0.7525/K101</f>
        <v>0.37814070351758794</v>
      </c>
      <c r="L105" s="2886">
        <f>0.7525/L101</f>
        <v>0.37814070351758794</v>
      </c>
      <c r="M105" s="2886">
        <f>0.7525/M101</f>
        <v>0.37814070351758794</v>
      </c>
      <c r="N105" s="2886">
        <f>0.7525/N101</f>
        <v>0.37814070351758794</v>
      </c>
    </row>
    <row r="106" spans="1:14">
      <c r="A106" s="3288"/>
      <c r="B106" s="2885">
        <v>5</v>
      </c>
      <c r="C106" s="2886">
        <f>0.8417/C101</f>
        <v>0.42296482412060304</v>
      </c>
      <c r="D106" s="2886">
        <f>0.8417/D101</f>
        <v>0.42296482412060304</v>
      </c>
      <c r="E106" s="2886">
        <f>0.7371/E101</f>
        <v>0.37040201005025125</v>
      </c>
      <c r="F106" s="2886">
        <f>0.7371/F101</f>
        <v>0.37040201005025125</v>
      </c>
      <c r="G106" s="2886">
        <f>0.7371/G101</f>
        <v>0.37040201005025125</v>
      </c>
      <c r="H106" s="2886">
        <f>0.7371/H101</f>
        <v>0.37040201005025125</v>
      </c>
      <c r="I106" s="2886">
        <f>0.7371/I101</f>
        <v>0.37040201005025125</v>
      </c>
      <c r="J106" s="2886">
        <f>0.5659/J101</f>
        <v>0.2843718592964824</v>
      </c>
      <c r="K106" s="2886">
        <f>0.5659/K101</f>
        <v>0.2843718592964824</v>
      </c>
      <c r="L106" s="2886">
        <f>0.5659/L101</f>
        <v>0.2843718592964824</v>
      </c>
      <c r="M106" s="2886">
        <f>0.5659/M101</f>
        <v>0.2843718592964824</v>
      </c>
      <c r="N106" s="2886">
        <f>0.5659/N101</f>
        <v>0.2843718592964824</v>
      </c>
    </row>
    <row r="107" spans="1:14">
      <c r="A107" s="3288"/>
      <c r="B107" s="2885">
        <v>6</v>
      </c>
      <c r="C107" s="2886">
        <f>0.7608/C101</f>
        <v>0.38231155778894477</v>
      </c>
      <c r="D107" s="2886">
        <f>0.7608/D101</f>
        <v>0.38231155778894477</v>
      </c>
      <c r="E107" s="2886">
        <f>0.6482/E101</f>
        <v>0.32572864321608042</v>
      </c>
      <c r="F107" s="2886">
        <f>0.6482/F101</f>
        <v>0.32572864321608042</v>
      </c>
      <c r="G107" s="2886">
        <f>0.6482/G101</f>
        <v>0.32572864321608042</v>
      </c>
      <c r="H107" s="2886">
        <f>0.6482/H101</f>
        <v>0.32572864321608042</v>
      </c>
      <c r="I107" s="2886">
        <f>0.6482/I101</f>
        <v>0.32572864321608042</v>
      </c>
      <c r="J107" s="2886">
        <f>0.4525/J101</f>
        <v>0.22738693467336685</v>
      </c>
      <c r="K107" s="2886">
        <f>0.4525/K101</f>
        <v>0.22738693467336685</v>
      </c>
      <c r="L107" s="2886">
        <f>0.4525/L101</f>
        <v>0.22738693467336685</v>
      </c>
      <c r="M107" s="2886">
        <f>0.4525/M101</f>
        <v>0.22738693467336685</v>
      </c>
      <c r="N107" s="2886">
        <f>0.4525/N101</f>
        <v>0.22738693467336685</v>
      </c>
    </row>
    <row r="108" spans="1:14">
      <c r="A108" s="3288"/>
      <c r="B108" s="3113" t="s">
        <v>2978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89"/>
      <c r="B109" s="3114"/>
      <c r="C109" s="2888">
        <f>(-0.163*(C108^2)-0.59*C108+7617)*(10^(-4))/C101</f>
        <v>0.38276381909547741</v>
      </c>
      <c r="D109" s="2888">
        <f>(-0.163*(D108^2)-0.59*D108+7617)*(10^(-4))/D101</f>
        <v>0.38276381909547741</v>
      </c>
      <c r="E109" s="2888">
        <f>(-0.161*(E108^2)-7.509*E108+6533)*(10^(-4))/E101</f>
        <v>0.32829145728643216</v>
      </c>
      <c r="F109" s="2888">
        <f>(-0.161*(F108^2)-7.509*F108+6533)*(10^(-4))/F101</f>
        <v>0.32829145728643216</v>
      </c>
      <c r="G109" s="2888">
        <f>(-0.161*(G108^2)-7.509*G108+6533)*(10^(-4))/G101</f>
        <v>0.32829145728643216</v>
      </c>
      <c r="H109" s="2888">
        <f>(-0.161*(H108^2)-7.509*H108+6533)*(10^(-4))/H101</f>
        <v>0.32829145728643216</v>
      </c>
      <c r="I109" s="2888">
        <f>(-0.161*(I108^2)-7.509*I108+6533)*(10^(-4))/I101</f>
        <v>0.32829145728643216</v>
      </c>
      <c r="J109" s="2888">
        <f>(-0.214*(J108^2)-21.991*J108+4665)*(10^(-4))/J101</f>
        <v>0.23442211055276382</v>
      </c>
      <c r="K109" s="2888">
        <f>(-0.214*(K108^2)-21.991*K108+4665)*(10^(-4))/K101</f>
        <v>0.23442211055276382</v>
      </c>
      <c r="L109" s="2888">
        <f>(-0.214*(L108^2)-21.991*L108+4665)*(10^(-4))/L101</f>
        <v>0.23442211055276382</v>
      </c>
      <c r="M109" s="2888">
        <f>(-0.214*(M108^2)-21.991*M108+4665)*(10^(-4))/M101</f>
        <v>0.23442211055276382</v>
      </c>
      <c r="N109" s="2888">
        <f>(-0.214*(N108^2)-21.991*N108+4665)*(10^(-4))/N101</f>
        <v>0.23442211055276382</v>
      </c>
    </row>
    <row r="110" spans="1:14">
      <c r="A110" s="3285" t="s">
        <v>2979</v>
      </c>
      <c r="B110" s="3285"/>
      <c r="C110" s="3285"/>
      <c r="D110" s="3285"/>
      <c r="E110" s="3285"/>
      <c r="F110" s="3285"/>
      <c r="G110" s="3285"/>
      <c r="H110" s="3285"/>
      <c r="I110" s="3285"/>
      <c r="J110" s="3285"/>
      <c r="K110" s="2891"/>
      <c r="L110" s="2891"/>
      <c r="M110" s="2891"/>
      <c r="N110" s="2891"/>
    </row>
    <row r="112" spans="1:14" ht="13.5" thickBot="1"/>
    <row r="113" spans="1:13" ht="25.5" thickBot="1">
      <c r="A113" s="903" t="s">
        <v>2980</v>
      </c>
      <c r="B113" s="1287">
        <f>G3</f>
        <v>1.99</v>
      </c>
      <c r="C113" s="904" t="s">
        <v>2981</v>
      </c>
      <c r="D113" s="905">
        <f>SUMPRODUCT((A115:A118=F113)*(B114:M114=H113)*B115:M118)</f>
        <v>0</v>
      </c>
      <c r="E113" s="2722" t="s">
        <v>2813</v>
      </c>
      <c r="F113" s="2893">
        <f>E2</f>
        <v>0</v>
      </c>
      <c r="G113" s="2722" t="s">
        <v>2814</v>
      </c>
      <c r="H113" s="2893">
        <f>G2</f>
        <v>0</v>
      </c>
      <c r="I113" s="2722"/>
      <c r="J113" s="2894"/>
      <c r="K113" s="2894"/>
      <c r="L113" s="2894"/>
      <c r="M113" s="2894"/>
    </row>
    <row r="114" spans="1:13">
      <c r="A114" s="908"/>
      <c r="B114" s="2895" t="s">
        <v>2982</v>
      </c>
      <c r="C114" s="2895" t="s">
        <v>2983</v>
      </c>
      <c r="D114" s="2895" t="s">
        <v>2984</v>
      </c>
      <c r="E114" s="2896" t="s">
        <v>2985</v>
      </c>
      <c r="F114" s="2896" t="s">
        <v>2986</v>
      </c>
      <c r="G114" s="2896" t="s">
        <v>2987</v>
      </c>
      <c r="H114" s="2897" t="s">
        <v>2988</v>
      </c>
      <c r="I114" s="2897" t="s">
        <v>2989</v>
      </c>
      <c r="J114" s="2898" t="s">
        <v>2990</v>
      </c>
      <c r="K114" s="2898" t="s">
        <v>2991</v>
      </c>
      <c r="L114" s="2898" t="s">
        <v>2992</v>
      </c>
      <c r="M114" s="2899" t="s">
        <v>2993</v>
      </c>
    </row>
    <row r="115" spans="1:13">
      <c r="A115" s="909" t="s">
        <v>2878</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3">I115</f>
        <v>0.65820000000000001</v>
      </c>
      <c r="K115" s="910">
        <f t="shared" si="33"/>
        <v>0.65820000000000001</v>
      </c>
      <c r="L115" s="910">
        <f t="shared" si="33"/>
        <v>0.65820000000000001</v>
      </c>
      <c r="M115" s="911">
        <f t="shared" si="33"/>
        <v>0.65820000000000001</v>
      </c>
    </row>
    <row r="116" spans="1:13">
      <c r="A116" s="909" t="s">
        <v>2879</v>
      </c>
      <c r="B116" s="910">
        <f>ROUND(0.949-0.012*B113,4)</f>
        <v>0.92510000000000003</v>
      </c>
      <c r="C116" s="910">
        <f>B116</f>
        <v>0.92510000000000003</v>
      </c>
      <c r="D116" s="910">
        <f>ROUND(0.8567-0.013*B113,4)</f>
        <v>0.83079999999999998</v>
      </c>
      <c r="E116" s="910">
        <f t="shared" ref="E116:H117" si="34">D116</f>
        <v>0.83079999999999998</v>
      </c>
      <c r="F116" s="910">
        <f t="shared" si="34"/>
        <v>0.83079999999999998</v>
      </c>
      <c r="G116" s="910">
        <f t="shared" si="34"/>
        <v>0.83079999999999998</v>
      </c>
      <c r="H116" s="910">
        <f t="shared" si="34"/>
        <v>0.83079999999999998</v>
      </c>
      <c r="I116" s="910">
        <f>ROUND(0.7694-0.014*B113,4)</f>
        <v>0.74150000000000005</v>
      </c>
      <c r="J116" s="910">
        <f t="shared" si="33"/>
        <v>0.74150000000000005</v>
      </c>
      <c r="K116" s="910">
        <f t="shared" si="33"/>
        <v>0.74150000000000005</v>
      </c>
      <c r="L116" s="910">
        <f t="shared" si="33"/>
        <v>0.74150000000000005</v>
      </c>
      <c r="M116" s="911">
        <f t="shared" si="33"/>
        <v>0.74150000000000005</v>
      </c>
    </row>
    <row r="117" spans="1:13">
      <c r="A117" s="909" t="s">
        <v>2880</v>
      </c>
      <c r="B117" s="910">
        <f>ROUND(0.8808-0.006*B113,4)</f>
        <v>0.86890000000000001</v>
      </c>
      <c r="C117" s="910">
        <f>B117</f>
        <v>0.86890000000000001</v>
      </c>
      <c r="D117" s="910">
        <f>ROUND(0.8748-0.008*B113,4)</f>
        <v>0.8589</v>
      </c>
      <c r="E117" s="910">
        <f t="shared" si="34"/>
        <v>0.8589</v>
      </c>
      <c r="F117" s="910">
        <f t="shared" si="34"/>
        <v>0.8589</v>
      </c>
      <c r="G117" s="910">
        <f t="shared" si="34"/>
        <v>0.8589</v>
      </c>
      <c r="H117" s="910">
        <f t="shared" si="34"/>
        <v>0.8589</v>
      </c>
      <c r="I117" s="910">
        <f>ROUND(0.7412-0.0095*B113,4)</f>
        <v>0.72230000000000005</v>
      </c>
      <c r="J117" s="910">
        <f t="shared" si="33"/>
        <v>0.72230000000000005</v>
      </c>
      <c r="K117" s="910">
        <f t="shared" si="33"/>
        <v>0.72230000000000005</v>
      </c>
      <c r="L117" s="910">
        <f t="shared" si="33"/>
        <v>0.72230000000000005</v>
      </c>
      <c r="M117" s="911">
        <f t="shared" si="33"/>
        <v>0.72230000000000005</v>
      </c>
    </row>
    <row r="118" spans="1:13" ht="13.5" thickBot="1">
      <c r="A118" s="714" t="s">
        <v>2881</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3"/>
        <v>0.53959999999999997</v>
      </c>
      <c r="K118" s="912">
        <f t="shared" si="33"/>
        <v>0.53959999999999997</v>
      </c>
      <c r="L118" s="912">
        <f t="shared" si="33"/>
        <v>0.53959999999999997</v>
      </c>
      <c r="M118" s="913">
        <f t="shared" si="33"/>
        <v>0.53959999999999997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5" t="s">
        <v>183</v>
      </c>
      <c r="B18" s="882" t="s">
        <v>560</v>
      </c>
      <c r="C18" s="883" t="s">
        <v>561</v>
      </c>
      <c r="D18" s="884"/>
      <c r="E18" s="882">
        <v>1</v>
      </c>
      <c r="F18" s="885" t="s">
        <v>562</v>
      </c>
      <c r="G18" s="886"/>
      <c r="H18" s="878"/>
      <c r="I18" s="878"/>
    </row>
    <row r="19" spans="1:9" s="887" customFormat="1" ht="19.5" customHeight="1">
      <c r="A19" s="3305"/>
      <c r="B19" s="3305" t="s">
        <v>563</v>
      </c>
      <c r="C19" s="883" t="s">
        <v>564</v>
      </c>
      <c r="D19" s="884"/>
      <c r="E19" s="882">
        <v>0.9</v>
      </c>
      <c r="F19" s="885" t="s">
        <v>565</v>
      </c>
      <c r="G19" s="886"/>
      <c r="H19" s="878"/>
      <c r="I19" s="878"/>
    </row>
    <row r="20" spans="1:9" s="887" customFormat="1" ht="19.5" customHeight="1">
      <c r="A20" s="3305"/>
      <c r="B20" s="3305"/>
      <c r="C20" s="883" t="s">
        <v>566</v>
      </c>
      <c r="D20" s="884"/>
      <c r="E20" s="882">
        <v>1.1000000000000001</v>
      </c>
      <c r="F20" s="885" t="s">
        <v>567</v>
      </c>
      <c r="G20" s="886"/>
      <c r="H20" s="878"/>
      <c r="I20" s="878"/>
    </row>
    <row r="21" spans="1:9" s="887" customFormat="1" ht="19.5" customHeight="1">
      <c r="A21" s="3305"/>
      <c r="B21" s="3305"/>
      <c r="C21" s="883" t="s">
        <v>568</v>
      </c>
      <c r="D21" s="884"/>
      <c r="E21" s="882">
        <v>0.8</v>
      </c>
      <c r="F21" s="885" t="s">
        <v>569</v>
      </c>
      <c r="G21" s="886"/>
      <c r="H21" s="878"/>
      <c r="I21" s="878"/>
    </row>
    <row r="22" spans="1:9" s="887" customFormat="1" ht="19.5" customHeight="1">
      <c r="A22" s="3305"/>
      <c r="B22" s="3305"/>
      <c r="C22" s="883" t="s">
        <v>570</v>
      </c>
      <c r="D22" s="884"/>
      <c r="E22" s="882">
        <v>0.5</v>
      </c>
      <c r="F22" s="885"/>
      <c r="G22" s="886"/>
      <c r="H22" s="878"/>
      <c r="I22" s="878"/>
    </row>
    <row r="23" spans="1:9" s="887" customFormat="1" ht="19.5" customHeight="1">
      <c r="A23" s="3305" t="s">
        <v>184</v>
      </c>
      <c r="B23" s="882" t="s">
        <v>560</v>
      </c>
      <c r="C23" s="883" t="s">
        <v>571</v>
      </c>
      <c r="D23" s="884"/>
      <c r="E23" s="882">
        <v>1</v>
      </c>
      <c r="F23" s="885" t="s">
        <v>572</v>
      </c>
      <c r="G23" s="886"/>
      <c r="H23" s="878"/>
      <c r="I23" s="878"/>
    </row>
    <row r="24" spans="1:9" s="887" customFormat="1" ht="19.5" customHeight="1">
      <c r="A24" s="3305"/>
      <c r="B24" s="3305" t="s">
        <v>563</v>
      </c>
      <c r="C24" s="883" t="s">
        <v>573</v>
      </c>
      <c r="D24" s="884"/>
      <c r="E24" s="882">
        <v>0.5</v>
      </c>
      <c r="F24" s="885"/>
      <c r="G24" s="886"/>
      <c r="H24" s="878"/>
      <c r="I24" s="878"/>
    </row>
    <row r="25" spans="1:9" s="887" customFormat="1" ht="19.5" customHeight="1">
      <c r="A25" s="3305"/>
      <c r="B25" s="3305"/>
      <c r="C25" s="883" t="s">
        <v>574</v>
      </c>
      <c r="D25" s="884"/>
      <c r="E25" s="882">
        <v>1.1000000000000001</v>
      </c>
      <c r="F25" s="885"/>
      <c r="G25" s="886"/>
      <c r="H25" s="878"/>
      <c r="I25" s="878"/>
    </row>
    <row r="26" spans="1:9" s="887" customFormat="1" ht="19.5" customHeight="1">
      <c r="A26" s="3305"/>
      <c r="B26" s="3305"/>
      <c r="C26" s="883" t="s">
        <v>575</v>
      </c>
      <c r="D26" s="884"/>
      <c r="E26" s="882">
        <v>1.1000000000000001</v>
      </c>
      <c r="F26" s="885"/>
      <c r="G26" s="886"/>
      <c r="H26" s="878"/>
      <c r="I26" s="878"/>
    </row>
    <row r="27" spans="1:9" s="887" customFormat="1" ht="19.5" customHeight="1">
      <c r="A27" s="3305"/>
      <c r="B27" s="3305"/>
      <c r="C27" s="883" t="s">
        <v>576</v>
      </c>
      <c r="D27" s="884"/>
      <c r="E27" s="882">
        <v>0.9</v>
      </c>
      <c r="F27" s="885" t="s">
        <v>577</v>
      </c>
      <c r="G27" s="886"/>
      <c r="H27" s="878"/>
      <c r="I27" s="878"/>
    </row>
    <row r="28" spans="1:9" s="887" customFormat="1" ht="19.5" customHeight="1">
      <c r="A28" s="3305"/>
      <c r="B28" s="3305"/>
      <c r="C28" s="883" t="s">
        <v>578</v>
      </c>
      <c r="D28" s="884"/>
      <c r="E28" s="882">
        <v>0.9</v>
      </c>
      <c r="F28" s="885" t="s">
        <v>579</v>
      </c>
      <c r="G28" s="886"/>
      <c r="H28" s="878"/>
      <c r="I28" s="878"/>
    </row>
    <row r="29" spans="1:9" s="887" customFormat="1" ht="19.5" customHeight="1">
      <c r="A29" s="3305"/>
      <c r="B29" s="3305"/>
      <c r="C29" s="883" t="s">
        <v>580</v>
      </c>
      <c r="D29" s="884"/>
      <c r="E29" s="882">
        <v>0.9</v>
      </c>
      <c r="F29" s="885" t="s">
        <v>581</v>
      </c>
      <c r="G29" s="886"/>
      <c r="H29" s="878"/>
      <c r="I29" s="878"/>
    </row>
    <row r="30" spans="1:9" s="887" customFormat="1" ht="19.5" customHeight="1">
      <c r="A30" s="3305"/>
      <c r="B30" s="3305"/>
      <c r="C30" s="883" t="s">
        <v>582</v>
      </c>
      <c r="D30" s="884"/>
      <c r="E30" s="882">
        <v>0.9</v>
      </c>
      <c r="F30" s="885" t="s">
        <v>583</v>
      </c>
      <c r="G30" s="886"/>
      <c r="H30" s="878"/>
      <c r="I30" s="878"/>
    </row>
    <row r="31" spans="1:9" s="887" customFormat="1" ht="19.5" customHeight="1">
      <c r="A31" s="3305"/>
      <c r="B31" s="3305"/>
      <c r="C31" s="883" t="s">
        <v>584</v>
      </c>
      <c r="D31" s="884"/>
      <c r="E31" s="882">
        <v>0.8</v>
      </c>
      <c r="F31" s="885" t="s">
        <v>585</v>
      </c>
      <c r="G31" s="886"/>
      <c r="H31" s="878"/>
      <c r="I31" s="878"/>
    </row>
    <row r="32" spans="1:9" s="887" customFormat="1" ht="19.5" customHeight="1">
      <c r="A32" s="3305"/>
      <c r="B32" s="3305"/>
      <c r="C32" s="883" t="s">
        <v>586</v>
      </c>
      <c r="D32" s="884"/>
      <c r="E32" s="882">
        <v>0.8</v>
      </c>
      <c r="F32" s="885" t="s">
        <v>587</v>
      </c>
      <c r="G32" s="886"/>
      <c r="H32" s="878"/>
      <c r="I32" s="878"/>
    </row>
    <row r="33" spans="1:9" s="887" customFormat="1" ht="19.5" customHeight="1">
      <c r="A33" s="3305" t="s">
        <v>185</v>
      </c>
      <c r="B33" s="882" t="s">
        <v>560</v>
      </c>
      <c r="C33" s="883" t="s">
        <v>588</v>
      </c>
      <c r="D33" s="884"/>
      <c r="E33" s="882">
        <v>1</v>
      </c>
      <c r="F33" s="885" t="s">
        <v>589</v>
      </c>
      <c r="G33" s="886"/>
      <c r="H33" s="878"/>
      <c r="I33" s="878"/>
    </row>
    <row r="34" spans="1:9" s="887" customFormat="1" ht="19.5" customHeight="1">
      <c r="A34" s="3305"/>
      <c r="B34" s="882" t="s">
        <v>563</v>
      </c>
      <c r="C34" s="883" t="s">
        <v>590</v>
      </c>
      <c r="D34" s="884"/>
      <c r="E34" s="882">
        <v>1.5</v>
      </c>
      <c r="F34" s="885" t="s">
        <v>591</v>
      </c>
      <c r="G34" s="886"/>
      <c r="H34" s="878"/>
      <c r="I34" s="878"/>
    </row>
    <row r="35" spans="1:9" s="887" customFormat="1" ht="19.5" customHeight="1">
      <c r="A35" s="3305" t="s">
        <v>186</v>
      </c>
      <c r="B35" s="882" t="s">
        <v>560</v>
      </c>
      <c r="C35" s="883" t="s">
        <v>592</v>
      </c>
      <c r="D35" s="884"/>
      <c r="E35" s="882">
        <v>1</v>
      </c>
      <c r="F35" s="885" t="s">
        <v>593</v>
      </c>
      <c r="G35" s="886"/>
      <c r="H35" s="878"/>
      <c r="I35" s="878"/>
    </row>
    <row r="36" spans="1:9" s="887" customFormat="1" ht="19.5" customHeight="1">
      <c r="A36" s="3305"/>
      <c r="B36" s="3305" t="s">
        <v>563</v>
      </c>
      <c r="C36" s="883" t="s">
        <v>594</v>
      </c>
      <c r="D36" s="884"/>
      <c r="E36" s="882">
        <v>1</v>
      </c>
      <c r="F36" s="885" t="s">
        <v>595</v>
      </c>
      <c r="G36" s="886"/>
      <c r="H36" s="878"/>
      <c r="I36" s="878"/>
    </row>
    <row r="37" spans="1:9" s="887" customFormat="1" ht="19.5" customHeight="1">
      <c r="A37" s="3305"/>
      <c r="B37" s="3305"/>
      <c r="C37" s="883" t="s">
        <v>596</v>
      </c>
      <c r="D37" s="884"/>
      <c r="E37" s="882">
        <v>1.5</v>
      </c>
      <c r="F37" s="885" t="s">
        <v>597</v>
      </c>
      <c r="G37" s="886"/>
      <c r="H37" s="878"/>
      <c r="I37" s="878"/>
    </row>
    <row r="38" spans="1:9" s="887" customFormat="1" ht="19.5" customHeight="1">
      <c r="A38" s="3305"/>
      <c r="B38" s="3305"/>
      <c r="C38" s="883" t="s">
        <v>598</v>
      </c>
      <c r="D38" s="884"/>
      <c r="E38" s="882">
        <v>1</v>
      </c>
      <c r="F38" s="885" t="s">
        <v>599</v>
      </c>
      <c r="G38" s="886"/>
      <c r="H38" s="878"/>
      <c r="I38" s="878"/>
    </row>
    <row r="39" spans="1:9" s="887" customFormat="1" ht="19.5" customHeight="1">
      <c r="A39" s="3305"/>
      <c r="B39" s="330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5" t="s">
        <v>614</v>
      </c>
      <c r="C61" s="818" t="s">
        <v>615</v>
      </c>
      <c r="D61" s="818" t="s">
        <v>616</v>
      </c>
      <c r="E61" s="895">
        <v>0.5</v>
      </c>
      <c r="F61" s="882">
        <v>80</v>
      </c>
    </row>
    <row r="62" spans="1:8" s="878" customFormat="1" ht="24">
      <c r="A62" s="882">
        <v>2</v>
      </c>
      <c r="B62" s="3305"/>
      <c r="C62" s="818" t="s">
        <v>617</v>
      </c>
      <c r="D62" s="818" t="s">
        <v>618</v>
      </c>
      <c r="E62" s="895">
        <v>0.5</v>
      </c>
      <c r="F62" s="882">
        <v>80</v>
      </c>
    </row>
    <row r="63" spans="1:8" s="878" customFormat="1" ht="36">
      <c r="A63" s="882">
        <v>3</v>
      </c>
      <c r="B63" s="3305"/>
      <c r="C63" s="818" t="s">
        <v>619</v>
      </c>
      <c r="D63" s="818" t="s">
        <v>620</v>
      </c>
      <c r="E63" s="895">
        <v>0.5</v>
      </c>
      <c r="F63" s="882">
        <v>80</v>
      </c>
    </row>
    <row r="64" spans="1:8" s="878" customFormat="1" ht="36">
      <c r="A64" s="882">
        <v>4</v>
      </c>
      <c r="B64" s="3305"/>
      <c r="C64" s="818" t="s">
        <v>621</v>
      </c>
      <c r="D64" s="818" t="s">
        <v>622</v>
      </c>
      <c r="E64" s="895">
        <v>0.4</v>
      </c>
      <c r="F64" s="882">
        <v>60</v>
      </c>
    </row>
    <row r="65" spans="1:6" s="878" customFormat="1" ht="36">
      <c r="A65" s="882">
        <v>5</v>
      </c>
      <c r="B65" s="3305"/>
      <c r="C65" s="818" t="s">
        <v>623</v>
      </c>
      <c r="D65" s="818" t="s">
        <v>624</v>
      </c>
      <c r="E65" s="895">
        <v>0.2</v>
      </c>
      <c r="F65" s="882">
        <v>30</v>
      </c>
    </row>
    <row r="66" spans="1:6" s="878" customFormat="1" ht="36">
      <c r="A66" s="882">
        <v>6</v>
      </c>
      <c r="B66" s="3305"/>
      <c r="C66" s="818" t="s">
        <v>625</v>
      </c>
      <c r="D66" s="818" t="s">
        <v>626</v>
      </c>
      <c r="E66" s="895">
        <v>0.3</v>
      </c>
      <c r="F66" s="882">
        <v>50</v>
      </c>
    </row>
    <row r="67" spans="1:6" s="878" customFormat="1" ht="36">
      <c r="A67" s="882">
        <v>7</v>
      </c>
      <c r="B67" s="3305"/>
      <c r="C67" s="818" t="s">
        <v>627</v>
      </c>
      <c r="D67" s="818" t="s">
        <v>628</v>
      </c>
      <c r="E67" s="895">
        <v>0.2</v>
      </c>
      <c r="F67" s="882">
        <v>30</v>
      </c>
    </row>
    <row r="68" spans="1:6" s="878" customFormat="1" ht="36">
      <c r="A68" s="882">
        <v>8</v>
      </c>
      <c r="B68" s="3305"/>
      <c r="C68" s="818" t="s">
        <v>629</v>
      </c>
      <c r="D68" s="818" t="s">
        <v>630</v>
      </c>
      <c r="E68" s="895">
        <v>0.2</v>
      </c>
      <c r="F68" s="882">
        <v>30</v>
      </c>
    </row>
    <row r="69" spans="1:6" s="878" customFormat="1" ht="36">
      <c r="A69" s="882">
        <v>9</v>
      </c>
      <c r="B69" s="3305"/>
      <c r="C69" s="818" t="s">
        <v>631</v>
      </c>
      <c r="D69" s="818" t="s">
        <v>632</v>
      </c>
      <c r="E69" s="895">
        <v>0.2</v>
      </c>
      <c r="F69" s="882">
        <v>30</v>
      </c>
    </row>
    <row r="70" spans="1:6" s="878" customFormat="1" ht="48">
      <c r="A70" s="882">
        <v>10</v>
      </c>
      <c r="B70" s="3305"/>
      <c r="C70" s="818" t="s">
        <v>633</v>
      </c>
      <c r="D70" s="818" t="s">
        <v>634</v>
      </c>
      <c r="E70" s="895">
        <v>0.2</v>
      </c>
      <c r="F70" s="882">
        <v>30</v>
      </c>
    </row>
    <row r="71" spans="1:6" s="878" customFormat="1" ht="48">
      <c r="A71" s="882">
        <v>11</v>
      </c>
      <c r="B71" s="3305"/>
      <c r="C71" s="818" t="s">
        <v>635</v>
      </c>
      <c r="D71" s="818" t="s">
        <v>636</v>
      </c>
      <c r="E71" s="895">
        <v>0.2</v>
      </c>
      <c r="F71" s="882">
        <v>30</v>
      </c>
    </row>
    <row r="72" spans="1:6" s="878" customFormat="1" ht="36">
      <c r="A72" s="882">
        <v>12</v>
      </c>
      <c r="B72" s="3305"/>
      <c r="C72" s="818" t="s">
        <v>637</v>
      </c>
      <c r="D72" s="818" t="s">
        <v>638</v>
      </c>
      <c r="E72" s="895">
        <v>0.5</v>
      </c>
      <c r="F72" s="882">
        <v>80</v>
      </c>
    </row>
    <row r="73" spans="1:6" s="878" customFormat="1" ht="24">
      <c r="A73" s="882">
        <v>13</v>
      </c>
      <c r="B73" s="3305"/>
      <c r="C73" s="818" t="s">
        <v>639</v>
      </c>
      <c r="D73" s="818" t="s">
        <v>640</v>
      </c>
      <c r="E73" s="895">
        <v>0.4</v>
      </c>
      <c r="F73" s="882">
        <v>60</v>
      </c>
    </row>
    <row r="74" spans="1:6" s="878" customFormat="1" ht="24">
      <c r="A74" s="882">
        <v>14</v>
      </c>
      <c r="B74" s="3305"/>
      <c r="C74" s="818" t="s">
        <v>641</v>
      </c>
      <c r="D74" s="818" t="s">
        <v>642</v>
      </c>
      <c r="E74" s="895">
        <v>0.2</v>
      </c>
      <c r="F74" s="882">
        <v>30</v>
      </c>
    </row>
    <row r="75" spans="1:6" s="878" customFormat="1" ht="24">
      <c r="A75" s="882">
        <v>15</v>
      </c>
      <c r="B75" s="3305"/>
      <c r="C75" s="818" t="s">
        <v>643</v>
      </c>
      <c r="D75" s="818" t="s">
        <v>644</v>
      </c>
      <c r="E75" s="895">
        <v>0.2</v>
      </c>
      <c r="F75" s="882">
        <v>30</v>
      </c>
    </row>
    <row r="76" spans="1:6" s="878" customFormat="1" ht="24">
      <c r="A76" s="882">
        <v>16</v>
      </c>
      <c r="B76" s="3305" t="s">
        <v>645</v>
      </c>
      <c r="C76" s="818" t="s">
        <v>646</v>
      </c>
      <c r="D76" s="818" t="s">
        <v>647</v>
      </c>
      <c r="E76" s="895">
        <v>0.5</v>
      </c>
      <c r="F76" s="882">
        <v>80</v>
      </c>
    </row>
    <row r="77" spans="1:6" s="878" customFormat="1" ht="24">
      <c r="A77" s="882">
        <v>17</v>
      </c>
      <c r="B77" s="3305"/>
      <c r="C77" s="818" t="s">
        <v>648</v>
      </c>
      <c r="D77" s="818" t="s">
        <v>649</v>
      </c>
      <c r="E77" s="895">
        <v>0.5</v>
      </c>
      <c r="F77" s="882">
        <v>80</v>
      </c>
    </row>
    <row r="78" spans="1:6" s="878" customFormat="1" ht="24">
      <c r="A78" s="882">
        <v>18</v>
      </c>
      <c r="B78" s="3305"/>
      <c r="C78" s="818" t="s">
        <v>650</v>
      </c>
      <c r="D78" s="818" t="s">
        <v>651</v>
      </c>
      <c r="E78" s="895">
        <v>0.2</v>
      </c>
      <c r="F78" s="882">
        <v>30</v>
      </c>
    </row>
    <row r="79" spans="1:6" s="878" customFormat="1" ht="24">
      <c r="A79" s="882">
        <v>19</v>
      </c>
      <c r="B79" s="3305"/>
      <c r="C79" s="818" t="s">
        <v>652</v>
      </c>
      <c r="D79" s="818" t="s">
        <v>653</v>
      </c>
      <c r="E79" s="895">
        <v>0.5</v>
      </c>
      <c r="F79" s="882">
        <v>80</v>
      </c>
    </row>
    <row r="80" spans="1:6" s="878" customFormat="1" ht="36">
      <c r="A80" s="882">
        <v>20</v>
      </c>
      <c r="B80" s="3305"/>
      <c r="C80" s="818" t="s">
        <v>654</v>
      </c>
      <c r="D80" s="818" t="s">
        <v>655</v>
      </c>
      <c r="E80" s="895">
        <v>0.2</v>
      </c>
      <c r="F80" s="882">
        <v>30</v>
      </c>
    </row>
    <row r="81" spans="1:6" s="878" customFormat="1" ht="36">
      <c r="A81" s="882">
        <v>21</v>
      </c>
      <c r="B81" s="3305"/>
      <c r="C81" s="818" t="s">
        <v>656</v>
      </c>
      <c r="D81" s="818" t="s">
        <v>657</v>
      </c>
      <c r="E81" s="895">
        <v>0.2</v>
      </c>
      <c r="F81" s="882">
        <v>30</v>
      </c>
    </row>
    <row r="82" spans="1:6" s="878" customFormat="1" ht="48">
      <c r="A82" s="882">
        <v>22</v>
      </c>
      <c r="B82" s="3305"/>
      <c r="C82" s="818" t="s">
        <v>658</v>
      </c>
      <c r="D82" s="818" t="s">
        <v>659</v>
      </c>
      <c r="E82" s="895">
        <v>0.2</v>
      </c>
      <c r="F82" s="882">
        <v>30</v>
      </c>
    </row>
    <row r="83" spans="1:6" s="878" customFormat="1" ht="48">
      <c r="A83" s="882">
        <v>23</v>
      </c>
      <c r="B83" s="3305"/>
      <c r="C83" s="818" t="s">
        <v>660</v>
      </c>
      <c r="D83" s="818" t="s">
        <v>661</v>
      </c>
      <c r="E83" s="895">
        <v>0.2</v>
      </c>
      <c r="F83" s="882">
        <v>30</v>
      </c>
    </row>
    <row r="84" spans="1:6" s="878" customFormat="1" ht="36">
      <c r="A84" s="882">
        <v>24</v>
      </c>
      <c r="B84" s="3305"/>
      <c r="C84" s="818" t="s">
        <v>662</v>
      </c>
      <c r="D84" s="818" t="s">
        <v>663</v>
      </c>
      <c r="E84" s="895">
        <v>0.2</v>
      </c>
      <c r="F84" s="882">
        <v>30</v>
      </c>
    </row>
    <row r="85" spans="1:6" s="878" customFormat="1" ht="36">
      <c r="A85" s="882">
        <v>25</v>
      </c>
      <c r="B85" s="3305"/>
      <c r="C85" s="818" t="s">
        <v>664</v>
      </c>
      <c r="D85" s="818" t="s">
        <v>665</v>
      </c>
      <c r="E85" s="895">
        <v>0.5</v>
      </c>
      <c r="F85" s="882">
        <v>80</v>
      </c>
    </row>
    <row r="86" spans="1:6" s="878" customFormat="1" ht="36">
      <c r="A86" s="882">
        <v>26</v>
      </c>
      <c r="B86" s="3305"/>
      <c r="C86" s="818" t="s">
        <v>666</v>
      </c>
      <c r="D86" s="818" t="s">
        <v>667</v>
      </c>
      <c r="E86" s="895">
        <v>0.2</v>
      </c>
      <c r="F86" s="882">
        <v>30</v>
      </c>
    </row>
    <row r="87" spans="1:6" s="878" customFormat="1" ht="36">
      <c r="A87" s="882">
        <v>27</v>
      </c>
      <c r="B87" s="3305"/>
      <c r="C87" s="818" t="s">
        <v>668</v>
      </c>
      <c r="D87" s="818" t="s">
        <v>669</v>
      </c>
      <c r="E87" s="895">
        <v>0.2</v>
      </c>
      <c r="F87" s="882">
        <v>30</v>
      </c>
    </row>
    <row r="88" spans="1:6" s="878" customFormat="1" ht="36">
      <c r="A88" s="882">
        <v>28</v>
      </c>
      <c r="B88" s="3305"/>
      <c r="C88" s="818" t="s">
        <v>670</v>
      </c>
      <c r="D88" s="818" t="s">
        <v>671</v>
      </c>
      <c r="E88" s="895">
        <v>0.2</v>
      </c>
      <c r="F88" s="882">
        <v>30</v>
      </c>
    </row>
    <row r="89" spans="1:6" s="878" customFormat="1" ht="24">
      <c r="A89" s="882">
        <v>29</v>
      </c>
      <c r="B89" s="3305"/>
      <c r="C89" s="818" t="s">
        <v>672</v>
      </c>
      <c r="D89" s="818" t="s">
        <v>673</v>
      </c>
      <c r="E89" s="895">
        <v>0.2</v>
      </c>
      <c r="F89" s="882">
        <v>30</v>
      </c>
    </row>
    <row r="90" spans="1:6" s="878" customFormat="1" ht="24">
      <c r="A90" s="882">
        <v>30</v>
      </c>
      <c r="B90" s="3305"/>
      <c r="C90" s="818" t="s">
        <v>674</v>
      </c>
      <c r="D90" s="818" t="s">
        <v>675</v>
      </c>
      <c r="E90" s="895">
        <v>0.2</v>
      </c>
      <c r="F90" s="882">
        <v>30</v>
      </c>
    </row>
    <row r="91" spans="1:6" s="878" customFormat="1" ht="36">
      <c r="A91" s="882">
        <v>31</v>
      </c>
      <c r="B91" s="3305"/>
      <c r="C91" s="818" t="s">
        <v>676</v>
      </c>
      <c r="D91" s="818" t="s">
        <v>677</v>
      </c>
      <c r="E91" s="895">
        <v>0.2</v>
      </c>
      <c r="F91" s="882">
        <v>30</v>
      </c>
    </row>
    <row r="92" spans="1:6" s="878" customFormat="1" ht="24">
      <c r="A92" s="882">
        <v>32</v>
      </c>
      <c r="B92" s="3305" t="s">
        <v>678</v>
      </c>
      <c r="C92" s="882" t="s">
        <v>679</v>
      </c>
      <c r="D92" s="818" t="s">
        <v>680</v>
      </c>
      <c r="E92" s="895">
        <v>0.2</v>
      </c>
      <c r="F92" s="882">
        <v>30</v>
      </c>
    </row>
    <row r="93" spans="1:6" s="878" customFormat="1" ht="36">
      <c r="A93" s="882">
        <v>33</v>
      </c>
      <c r="B93" s="3305"/>
      <c r="C93" s="882" t="s">
        <v>681</v>
      </c>
      <c r="D93" s="818" t="s">
        <v>682</v>
      </c>
      <c r="E93" s="895">
        <v>0.2</v>
      </c>
      <c r="F93" s="882">
        <v>30</v>
      </c>
    </row>
    <row r="94" spans="1:6" s="878" customFormat="1" ht="48">
      <c r="A94" s="882">
        <v>34</v>
      </c>
      <c r="B94" s="3305"/>
      <c r="C94" s="882" t="s">
        <v>683</v>
      </c>
      <c r="D94" s="818" t="s">
        <v>684</v>
      </c>
      <c r="E94" s="895">
        <v>0.2</v>
      </c>
      <c r="F94" s="882">
        <v>30</v>
      </c>
    </row>
    <row r="95" spans="1:6" s="878" customFormat="1" ht="36">
      <c r="A95" s="882">
        <v>35</v>
      </c>
      <c r="B95" s="3305"/>
      <c r="C95" s="882" t="s">
        <v>685</v>
      </c>
      <c r="D95" s="818" t="s">
        <v>686</v>
      </c>
      <c r="E95" s="895">
        <v>0.2</v>
      </c>
      <c r="F95" s="882">
        <v>30</v>
      </c>
    </row>
    <row r="96" spans="1:6" s="878" customFormat="1" ht="48">
      <c r="A96" s="882">
        <v>36</v>
      </c>
      <c r="B96" s="3305"/>
      <c r="C96" s="818" t="s">
        <v>687</v>
      </c>
      <c r="D96" s="818" t="s">
        <v>688</v>
      </c>
      <c r="E96" s="895">
        <v>0.2</v>
      </c>
      <c r="F96" s="882">
        <v>30</v>
      </c>
    </row>
    <row r="97" spans="1:6" s="878" customFormat="1" ht="36">
      <c r="A97" s="882">
        <v>37</v>
      </c>
      <c r="B97" s="3305"/>
      <c r="C97" s="882" t="s">
        <v>689</v>
      </c>
      <c r="D97" s="818" t="s">
        <v>690</v>
      </c>
      <c r="E97" s="895">
        <v>0.2</v>
      </c>
      <c r="F97" s="882">
        <v>30</v>
      </c>
    </row>
    <row r="98" spans="1:6" s="878" customFormat="1" ht="36">
      <c r="A98" s="882">
        <v>38</v>
      </c>
      <c r="B98" s="3305"/>
      <c r="C98" s="882" t="s">
        <v>691</v>
      </c>
      <c r="D98" s="818" t="s">
        <v>692</v>
      </c>
      <c r="E98" s="895">
        <v>0.2</v>
      </c>
      <c r="F98" s="882">
        <v>30</v>
      </c>
    </row>
    <row r="99" spans="1:6" s="878" customFormat="1" ht="36">
      <c r="A99" s="882">
        <v>39</v>
      </c>
      <c r="B99" s="3305" t="s">
        <v>693</v>
      </c>
      <c r="C99" s="882" t="s">
        <v>694</v>
      </c>
      <c r="D99" s="818" t="s">
        <v>695</v>
      </c>
      <c r="E99" s="895">
        <v>0.3</v>
      </c>
      <c r="F99" s="882">
        <v>50</v>
      </c>
    </row>
    <row r="100" spans="1:6" s="878" customFormat="1" ht="24">
      <c r="A100" s="882">
        <v>40</v>
      </c>
      <c r="B100" s="3305"/>
      <c r="C100" s="882" t="s">
        <v>696</v>
      </c>
      <c r="D100" s="818" t="s">
        <v>697</v>
      </c>
      <c r="E100" s="895">
        <v>0.2</v>
      </c>
      <c r="F100" s="882">
        <v>30</v>
      </c>
    </row>
    <row r="101" spans="1:6" s="878" customFormat="1" ht="36">
      <c r="A101" s="882">
        <v>41</v>
      </c>
      <c r="B101" s="330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5" t="s">
        <v>708</v>
      </c>
      <c r="C105" s="882" t="s">
        <v>709</v>
      </c>
      <c r="D105" s="818" t="s">
        <v>710</v>
      </c>
      <c r="E105" s="895">
        <v>0.2</v>
      </c>
      <c r="F105" s="882">
        <v>30</v>
      </c>
    </row>
    <row r="106" spans="1:6" s="878" customFormat="1" ht="36">
      <c r="A106" s="882">
        <v>46</v>
      </c>
      <c r="B106" s="3305"/>
      <c r="C106" s="882" t="s">
        <v>711</v>
      </c>
      <c r="D106" s="818" t="s">
        <v>712</v>
      </c>
      <c r="E106" s="895">
        <v>0.2</v>
      </c>
      <c r="F106" s="882">
        <v>30</v>
      </c>
    </row>
    <row r="107" spans="1:6" s="878" customFormat="1" ht="36">
      <c r="A107" s="882">
        <v>47</v>
      </c>
      <c r="B107" s="3305" t="s">
        <v>713</v>
      </c>
      <c r="C107" s="882" t="s">
        <v>714</v>
      </c>
      <c r="D107" s="818" t="s">
        <v>715</v>
      </c>
      <c r="E107" s="895">
        <v>0.3</v>
      </c>
      <c r="F107" s="882">
        <v>50</v>
      </c>
    </row>
    <row r="108" spans="1:6" s="878" customFormat="1" ht="36">
      <c r="A108" s="882">
        <v>48</v>
      </c>
      <c r="B108" s="330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5" t="s">
        <v>724</v>
      </c>
      <c r="C111" s="882" t="s">
        <v>725</v>
      </c>
      <c r="D111" s="818" t="s">
        <v>726</v>
      </c>
      <c r="E111" s="895">
        <v>0.2</v>
      </c>
      <c r="F111" s="882">
        <v>30</v>
      </c>
    </row>
    <row r="112" spans="1:6" s="878" customFormat="1" ht="24">
      <c r="A112" s="882">
        <v>52</v>
      </c>
      <c r="B112" s="3305"/>
      <c r="C112" s="882" t="s">
        <v>727</v>
      </c>
      <c r="D112" s="818" t="s">
        <v>728</v>
      </c>
      <c r="E112" s="895">
        <v>0.2</v>
      </c>
      <c r="F112" s="882">
        <v>30</v>
      </c>
    </row>
    <row r="113" spans="1:6" s="878" customFormat="1" ht="24">
      <c r="A113" s="882">
        <v>53</v>
      </c>
      <c r="B113" s="330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5" t="s">
        <v>737</v>
      </c>
      <c r="C116" s="882" t="s">
        <v>738</v>
      </c>
      <c r="D116" s="818" t="s">
        <v>739</v>
      </c>
      <c r="E116" s="895">
        <v>0.2</v>
      </c>
      <c r="F116" s="882">
        <v>30</v>
      </c>
    </row>
    <row r="117" spans="1:6" ht="36">
      <c r="A117" s="882">
        <v>57</v>
      </c>
      <c r="B117" s="330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3002</v>
      </c>
    </row>
    <row r="2" spans="1:5" ht="15.75">
      <c r="A2" s="2900" t="s">
        <v>2994</v>
      </c>
      <c r="B2" s="2901" t="e">
        <f ca="1">SUMIF(B6:B13,"&lt;&gt;#ref!",B6:B13)</f>
        <v>#DIV/0!</v>
      </c>
      <c r="C2" s="2900" t="s">
        <v>2995</v>
      </c>
      <c r="D2" s="2900" t="s">
        <v>2996</v>
      </c>
      <c r="E2" s="2901">
        <f ca="1">SUMIF(E6:E13,"&lt;&gt;#ref!",E6:E13)</f>
        <v>0</v>
      </c>
    </row>
    <row r="3" spans="1:5" ht="15.75">
      <c r="A3" s="2900" t="s">
        <v>2997</v>
      </c>
      <c r="B3" s="2901" t="e">
        <f ca="1">ROUND(B2*10000/E2,0)</f>
        <v>#DIV/0!</v>
      </c>
      <c r="C3" s="2900" t="s">
        <v>3003</v>
      </c>
      <c r="D3" s="2902"/>
      <c r="E3" s="2902"/>
    </row>
    <row r="4" spans="1:5" ht="15.75">
      <c r="A4" s="2903"/>
      <c r="B4" s="2902"/>
      <c r="C4" s="2902"/>
      <c r="D4" s="2902"/>
      <c r="E4" s="2902"/>
    </row>
    <row r="5" spans="1:5" ht="28.5">
      <c r="A5" s="2904" t="s">
        <v>2998</v>
      </c>
      <c r="B5" s="2900" t="s">
        <v>2999</v>
      </c>
      <c r="C5" s="2901"/>
      <c r="D5" s="2902"/>
      <c r="E5" s="2900" t="s">
        <v>3000</v>
      </c>
    </row>
    <row r="6" spans="1:5" ht="15.75">
      <c r="A6" s="2905" t="s">
        <v>3001</v>
      </c>
      <c r="B6" s="2901" t="e">
        <f ca="1">SUMIF(INDIRECT("'"&amp;A6&amp;"'"&amp;"!A:A"),"总价",INDIRECT("'"&amp;A6&amp;"'"&amp;"!B:B"))</f>
        <v>#DIV/0!</v>
      </c>
      <c r="C6" s="2900" t="s">
        <v>2995</v>
      </c>
      <c r="D6" s="2902"/>
      <c r="E6" s="2573">
        <f ca="1">SUMIF(INDIRECT("'"&amp;A6&amp;"'"&amp;"!C:C"),"建筑面积",INDIRECT("'"&amp;A6&amp;"'"&amp;"!D:D"))</f>
        <v>0</v>
      </c>
    </row>
    <row r="7" spans="1:5" ht="15.75">
      <c r="A7" s="2905"/>
      <c r="B7" s="2901" t="e">
        <f ca="1">SUMIF(INDIRECT("'"&amp;A7&amp;"'"&amp;"!A:A"),"总价",INDIRECT("'"&amp;A7&amp;"'"&amp;"!B:B"))</f>
        <v>#REF!</v>
      </c>
      <c r="C7" s="2900" t="s">
        <v>2995</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2995</v>
      </c>
      <c r="D8" s="2902"/>
      <c r="E8" s="2573" t="e">
        <f t="shared" ca="1" si="0"/>
        <v>#REF!</v>
      </c>
    </row>
    <row r="9" spans="1:5" ht="15.75">
      <c r="A9" s="2905"/>
      <c r="B9" s="2901" t="e">
        <f t="shared" ca="1" si="1"/>
        <v>#REF!</v>
      </c>
      <c r="C9" s="2900" t="s">
        <v>2995</v>
      </c>
      <c r="D9" s="2902"/>
      <c r="E9" s="2573" t="e">
        <f t="shared" ca="1" si="0"/>
        <v>#REF!</v>
      </c>
    </row>
    <row r="10" spans="1:5" ht="15.75">
      <c r="A10" s="2905"/>
      <c r="B10" s="2901" t="e">
        <f t="shared" ca="1" si="1"/>
        <v>#REF!</v>
      </c>
      <c r="C10" s="2900" t="s">
        <v>2995</v>
      </c>
      <c r="D10" s="2902"/>
      <c r="E10" s="2573" t="e">
        <f t="shared" ca="1" si="0"/>
        <v>#REF!</v>
      </c>
    </row>
    <row r="11" spans="1:5" ht="15.75">
      <c r="A11" s="2905"/>
      <c r="B11" s="2901" t="e">
        <f t="shared" ca="1" si="1"/>
        <v>#REF!</v>
      </c>
      <c r="C11" s="2900" t="s">
        <v>2995</v>
      </c>
      <c r="D11" s="2902"/>
      <c r="E11" s="2573" t="e">
        <f t="shared" ca="1" si="0"/>
        <v>#REF!</v>
      </c>
    </row>
    <row r="12" spans="1:5" ht="15.75">
      <c r="A12" s="2905"/>
      <c r="B12" s="2901" t="e">
        <f t="shared" ca="1" si="1"/>
        <v>#REF!</v>
      </c>
      <c r="C12" s="2900" t="s">
        <v>2995</v>
      </c>
      <c r="D12" s="2902"/>
      <c r="E12" s="2573" t="e">
        <f t="shared" ca="1" si="0"/>
        <v>#REF!</v>
      </c>
    </row>
    <row r="13" spans="1:5" ht="15.75">
      <c r="A13" s="2905"/>
      <c r="B13" s="2901" t="e">
        <f t="shared" ca="1" si="1"/>
        <v>#REF!</v>
      </c>
      <c r="C13" s="2900" t="s">
        <v>2995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1" t="s">
        <v>1145</v>
      </c>
      <c r="C1" s="3311"/>
      <c r="D1" s="3311"/>
      <c r="E1" s="3311"/>
      <c r="F1" s="3311"/>
      <c r="G1" s="3307" t="s">
        <v>1146</v>
      </c>
      <c r="H1" s="3307"/>
      <c r="I1" s="3307"/>
      <c r="J1" s="3307"/>
      <c r="K1" s="3307"/>
      <c r="L1" s="3307"/>
      <c r="N1" s="3307" t="s">
        <v>1147</v>
      </c>
      <c r="O1" s="3307"/>
      <c r="P1" s="3307"/>
      <c r="Q1" s="3307"/>
      <c r="R1" s="1446"/>
      <c r="S1" s="3307" t="s">
        <v>1148</v>
      </c>
      <c r="T1" s="3307"/>
      <c r="U1" s="3307"/>
      <c r="V1" s="3307"/>
      <c r="X1" s="3306" t="s">
        <v>1149</v>
      </c>
      <c r="Y1" s="3307"/>
      <c r="Z1" s="3307"/>
      <c r="AA1" s="3307"/>
      <c r="AB1" s="3307"/>
      <c r="AD1" s="3306" t="s">
        <v>1150</v>
      </c>
      <c r="AE1" s="3307"/>
      <c r="AF1" s="3307"/>
      <c r="AG1" s="3307"/>
      <c r="AH1" s="330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3037</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3038</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3050</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30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0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0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1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3033</v>
      </c>
      <c r="B14" s="1469">
        <v>439</v>
      </c>
      <c r="C14" s="1469">
        <v>327</v>
      </c>
      <c r="D14" s="1469">
        <f>C14</f>
        <v>327</v>
      </c>
      <c r="E14" s="1469">
        <v>627</v>
      </c>
      <c r="F14" s="1470">
        <v>283</v>
      </c>
      <c r="G14" s="331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0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0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1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1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0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0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1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0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0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0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1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0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0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0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1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1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1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1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1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0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0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0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1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0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0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0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1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0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0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0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1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0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0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0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1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0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0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0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1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0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0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0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1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0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0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0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1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0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0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0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1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0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0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0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1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0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0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09">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10">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0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0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09">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10">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18" t="s">
        <v>3005</v>
      </c>
      <c r="D1" s="3319"/>
      <c r="E1" s="3319"/>
      <c r="F1" s="3319"/>
      <c r="G1" s="3319"/>
      <c r="H1" s="3319"/>
      <c r="I1" s="3319"/>
      <c r="J1" s="3319"/>
      <c r="K1" s="3319"/>
      <c r="L1" s="3319"/>
      <c r="M1" s="3319"/>
      <c r="N1" s="3319"/>
      <c r="O1" s="3319"/>
      <c r="P1" s="3319"/>
      <c r="Q1" s="3319"/>
      <c r="R1" s="3319"/>
      <c r="S1" s="3320"/>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3014</v>
      </c>
      <c r="B17" s="2907"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09" t="s">
        <v>3018</v>
      </c>
      <c r="E20" s="1793"/>
      <c r="F20" s="1204" t="e">
        <f ca="1">SUMIF(INDIRECT("'"&amp;H20&amp;"'"&amp;"!A:A"),"承租人权益价值",INDIRECT("'"&amp;H20&amp;"'"&amp;"!c:c"))</f>
        <v>#REF!</v>
      </c>
      <c r="G20" s="1204" t="s">
        <v>3019</v>
      </c>
      <c r="H20" s="2910"/>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94" t="s">
        <v>33</v>
      </c>
      <c r="D22" s="3095"/>
      <c r="E22" s="3095"/>
      <c r="F22" s="3095"/>
      <c r="G22" s="3095"/>
      <c r="H22" s="3095"/>
      <c r="I22" s="3095"/>
      <c r="J22" s="3095"/>
      <c r="K22" s="3095"/>
      <c r="L22" s="3095"/>
      <c r="M22" s="3095"/>
      <c r="N22" s="3095"/>
      <c r="O22" s="3095"/>
      <c r="P22" s="3095"/>
      <c r="Q22" s="331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估价结果一览表（市场价值不需“结果表-1”）</v>
      </c>
      <c r="B3" s="2994"/>
      <c r="C3" s="2994"/>
      <c r="D3" s="2994"/>
      <c r="E3" s="2994"/>
    </row>
    <row r="4" spans="1:5" ht="19.5" thickBot="1">
      <c r="A4" s="1960"/>
      <c r="B4" s="2992" t="s">
        <v>1624</v>
      </c>
      <c r="C4" s="2992"/>
      <c r="D4" s="2992"/>
      <c r="E4" s="1960"/>
    </row>
    <row r="5" spans="1:5" ht="16.5" thickTop="1">
      <c r="A5" s="1958"/>
      <c r="B5" s="2990" t="s">
        <v>1616</v>
      </c>
      <c r="C5" s="1961" t="s">
        <v>1617</v>
      </c>
      <c r="D5" s="1040">
        <f ca="1">结果表!H101</f>
        <v>417245</v>
      </c>
      <c r="E5" s="1958"/>
    </row>
    <row r="6" spans="1:5" ht="15.75">
      <c r="A6" s="1958"/>
      <c r="B6" s="2990"/>
      <c r="C6" s="1961" t="s">
        <v>1618</v>
      </c>
      <c r="D6" s="1040" t="str">
        <f ca="1">NUMBERSTRING(INT(D5*10000),2)&amp;"元整"</f>
        <v>肆拾壹亿柒仟贰佰肆拾伍万元整</v>
      </c>
      <c r="E6" s="1958"/>
    </row>
    <row r="7" spans="1:5" ht="15.75">
      <c r="A7" s="1958"/>
      <c r="B7" s="2995"/>
      <c r="C7" s="1962" t="s">
        <v>1619</v>
      </c>
      <c r="D7" s="1041" t="e">
        <f ca="1">结果表!H102</f>
        <v>#DIV/0!</v>
      </c>
      <c r="E7" s="1958"/>
    </row>
    <row r="8" spans="1:5" ht="15.75">
      <c r="A8" s="1958"/>
      <c r="B8" s="2996" t="str">
        <f>结果表!E103</f>
        <v>2.估价师知悉的法定优先受偿款</v>
      </c>
      <c r="C8" s="1963" t="s">
        <v>1620</v>
      </c>
      <c r="D8" s="1041">
        <f>结果表!H103</f>
        <v>0</v>
      </c>
      <c r="E8" s="1958"/>
    </row>
    <row r="9" spans="1:5" ht="15.75">
      <c r="A9" s="1958"/>
      <c r="B9" s="2998"/>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89" t="str">
        <f>结果表!E107</f>
        <v>3.房地产抵押价值</v>
      </c>
      <c r="C13" s="1966" t="s">
        <v>1617</v>
      </c>
      <c r="D13" s="1043">
        <f ca="1">结果表!H107</f>
        <v>417245</v>
      </c>
      <c r="E13" s="1958"/>
    </row>
    <row r="14" spans="1:5" ht="15.75">
      <c r="A14" s="1958"/>
      <c r="B14" s="2990"/>
      <c r="C14" s="1961" t="s">
        <v>1618</v>
      </c>
      <c r="D14" s="1040" t="str">
        <f ca="1">NUMBERSTRING(INT(D13*10000),2)&amp;"元整"</f>
        <v>肆拾壹亿柒仟贰佰肆拾伍万元整</v>
      </c>
      <c r="E14" s="1958"/>
    </row>
    <row r="15" spans="1:5" ht="15">
      <c r="A15" s="1958"/>
      <c r="B15" s="2995"/>
      <c r="C15" s="1962" t="s">
        <v>1628</v>
      </c>
      <c r="D15" s="1052">
        <f ca="1">结果表!H108</f>
        <v>47975</v>
      </c>
      <c r="E15" s="1958"/>
    </row>
    <row r="16" spans="1:5" ht="15">
      <c r="A16" s="1958"/>
      <c r="B16" s="2996" t="str">
        <f>结果表!E109</f>
        <v>——</v>
      </c>
      <c r="C16" s="1966" t="s">
        <v>1629</v>
      </c>
      <c r="D16" s="1967" t="str">
        <f>结果表!H109</f>
        <v>——</v>
      </c>
      <c r="E16" s="1958"/>
    </row>
    <row r="17" spans="1:5" ht="15.75">
      <c r="A17" s="1958"/>
      <c r="B17" s="2997"/>
      <c r="C17" s="1961" t="s">
        <v>1630</v>
      </c>
      <c r="D17" s="1040" t="e">
        <f>NUMBERSTRING(INT(D16*10000),2)&amp;"元整"</f>
        <v>#VALUE!</v>
      </c>
      <c r="E17" s="1958"/>
    </row>
    <row r="18" spans="1:5" ht="15">
      <c r="A18" s="1958"/>
      <c r="B18" s="2998"/>
      <c r="C18" s="1962" t="s">
        <v>1619</v>
      </c>
      <c r="D18" s="1052" t="str">
        <f>结果表!H110</f>
        <v>——</v>
      </c>
      <c r="E18" s="1958"/>
    </row>
    <row r="19" spans="1:5" ht="15.75">
      <c r="A19" s="1958"/>
      <c r="B19" s="2989" t="str">
        <f>结果表!E111</f>
        <v>——</v>
      </c>
      <c r="C19" s="1966" t="s">
        <v>1617</v>
      </c>
      <c r="D19" s="1041" t="str">
        <f>结果表!H111</f>
        <v>——</v>
      </c>
      <c r="E19" s="1958"/>
    </row>
    <row r="20" spans="1:5" ht="15.75">
      <c r="A20" s="1958"/>
      <c r="B20" s="2990"/>
      <c r="C20" s="1961" t="s">
        <v>1630</v>
      </c>
      <c r="D20" s="1040" t="e">
        <f>NUMBERSTRING(INT(D19*10000),2)&amp;"元整"</f>
        <v>#VALUE!</v>
      </c>
      <c r="E20" s="1958"/>
    </row>
    <row r="21" spans="1:5" ht="15.75" thickBot="1">
      <c r="A21" s="1958"/>
      <c r="B21" s="2991"/>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86971.4</v>
      </c>
      <c r="E9" s="269">
        <f>'数据-取费表'!B27</f>
        <v>0</v>
      </c>
      <c r="F9" s="265"/>
      <c r="G9" s="270"/>
    </row>
    <row r="10" spans="1:7" s="258" customFormat="1" ht="13.5" customHeight="1">
      <c r="A10" s="950" t="s">
        <v>801</v>
      </c>
      <c r="B10" s="268" t="s">
        <v>94</v>
      </c>
      <c r="C10" s="269">
        <f>ROUND(D10*E10/10000,0)</f>
        <v>0</v>
      </c>
      <c r="D10" s="1032">
        <f>'数据-汇总表'!E6</f>
        <v>0</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86971.4</v>
      </c>
      <c r="E19" s="255">
        <f>'数据-取费表'!B31</f>
        <v>0</v>
      </c>
      <c r="F19" s="275"/>
      <c r="G19" s="1" t="s">
        <v>1070</v>
      </c>
    </row>
    <row r="20" spans="1:7" s="258" customFormat="1" ht="13.5" customHeight="1">
      <c r="A20" s="948" t="s">
        <v>1053</v>
      </c>
      <c r="B20" s="254" t="s">
        <v>104</v>
      </c>
      <c r="C20" s="276">
        <f>ROUND((C5+C19)*F20,0)</f>
        <v>0</v>
      </c>
      <c r="D20" s="276"/>
      <c r="E20" s="276"/>
      <c r="F20" s="277">
        <f>'数据-取费表'!B37</f>
        <v>0</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1057</v>
      </c>
      <c r="C23" s="1355" t="e">
        <f ca="1">ROUND(IF('数据-取费表'!B22&lt;=1,C5*F22*'数据-取费表'!B23,C5*(POWER((1+F22),'数据-取费表'!B23)-1)),0)</f>
        <v>#VALUE!</v>
      </c>
      <c r="D23" s="282"/>
      <c r="E23" s="282"/>
      <c r="F23" s="283"/>
      <c r="G23" s="284" t="s">
        <v>108</v>
      </c>
    </row>
    <row r="24" spans="1:7" s="258" customFormat="1" ht="13.5" customHeight="1">
      <c r="A24" s="951" t="s">
        <v>792</v>
      </c>
      <c r="B24" s="259" t="s">
        <v>1052</v>
      </c>
      <c r="C24" s="1355" t="e">
        <f ca="1">ROUND(IF('数据-取费表'!B22&lt;=1,C19*F22*('数据-取费表'!B19/2+'数据-取费表'!B21),C19*(POWER((1+F22),('数据-取费表'!B19/2+'数据-取费表'!B21))-1)),0)</f>
        <v>#VALUE!</v>
      </c>
      <c r="D24" s="282"/>
      <c r="E24" s="282"/>
      <c r="F24" s="283"/>
      <c r="G24" s="284" t="s">
        <v>109</v>
      </c>
    </row>
    <row r="25" spans="1:7" s="258" customFormat="1" ht="24">
      <c r="A25" s="951" t="s">
        <v>793</v>
      </c>
      <c r="B25" s="259" t="s">
        <v>1054</v>
      </c>
      <c r="C25" s="1355" t="e">
        <f ca="1">ROUND(IF('数据-取费表'!B22&lt;=1,C20*F22*'数据-取费表'!B23/2,C20*(POWER((1+F22),'数据-取费表'!B23/2)-1)),0)</f>
        <v>#VALUE!</v>
      </c>
      <c r="D25" s="282"/>
      <c r="E25" s="285"/>
      <c r="F25" s="283"/>
      <c r="G25" s="286" t="s">
        <v>110</v>
      </c>
    </row>
    <row r="26" spans="1:7" s="258" customFormat="1">
      <c r="A26" s="951" t="s">
        <v>795</v>
      </c>
      <c r="B26" s="259" t="s">
        <v>1056</v>
      </c>
      <c r="C26" s="282" t="e">
        <f ca="1">ROUND(IF('数据-取费表'!B22&lt;=1,F21*F22*'数据-取费表'!B23/2,F21*(POWER((1+F22),'数据-取费表'!B23/2)-1)),4)</f>
        <v>#VALUE!</v>
      </c>
      <c r="D26" s="282"/>
      <c r="E26" s="285"/>
      <c r="F26" s="283"/>
      <c r="G26" s="287"/>
    </row>
    <row r="27" spans="1:7" s="258" customFormat="1" ht="24.75">
      <c r="A27" s="948" t="s">
        <v>787</v>
      </c>
      <c r="B27" s="288" t="s">
        <v>112</v>
      </c>
      <c r="C27" s="289" t="e">
        <f>C28</f>
        <v>#DIV/0!</v>
      </c>
      <c r="D27" s="279" t="e">
        <f>C29</f>
        <v>#DIV/0!</v>
      </c>
      <c r="E27" s="280" t="s">
        <v>126</v>
      </c>
      <c r="F27" s="290" t="e">
        <f>'数据-取费表'!Q16</f>
        <v>#DIV/0!</v>
      </c>
      <c r="G27" s="291" t="s">
        <v>1065</v>
      </c>
    </row>
    <row r="28" spans="1:7" s="258" customFormat="1" ht="13.5" customHeight="1">
      <c r="A28" s="951" t="s">
        <v>794</v>
      </c>
      <c r="B28" s="292" t="s">
        <v>1058</v>
      </c>
      <c r="C28" s="293" t="e">
        <f>ROUND((C5+C19+C20)*F27*'数据-取费表'!B21/'数据-取费表'!B20,0)</f>
        <v>#DIV/0!</v>
      </c>
      <c r="D28" s="279"/>
      <c r="E28" s="280"/>
      <c r="F28" s="290"/>
      <c r="G28" s="291"/>
    </row>
    <row r="29" spans="1:7" s="258" customFormat="1" ht="13.5" customHeight="1">
      <c r="A29" s="951" t="s">
        <v>792</v>
      </c>
      <c r="B29" s="292" t="s">
        <v>1059</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86971.4</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1057</v>
      </c>
      <c r="C42" s="282" t="e">
        <f ca="1">ROUND(IF('数据-取费表'!B22&lt;=1,C33*F22*'数据-取费表'!B21/2,C33*(POWER((1+F22),'数据-取费表'!B21/2)-1)),0)</f>
        <v>#VALUE!</v>
      </c>
      <c r="D42" s="282"/>
      <c r="E42" s="282"/>
      <c r="F42" s="283"/>
      <c r="G42" s="3179" t="s">
        <v>121</v>
      </c>
    </row>
    <row r="43" spans="1:7" ht="13.5" customHeight="1">
      <c r="A43" s="951" t="s">
        <v>792</v>
      </c>
      <c r="B43" s="259" t="s">
        <v>1060</v>
      </c>
      <c r="C43" s="282" t="e">
        <f ca="1">ROUND(IF('数据-取费表'!B22&lt;=1,C39*F22*'数据-取费表'!B21/2,C39*(POWER((1+F22),'数据-取费表'!B21/2)-1)),0)</f>
        <v>#VALUE!</v>
      </c>
      <c r="D43" s="282"/>
      <c r="E43" s="282"/>
      <c r="F43" s="283"/>
      <c r="G43" s="3180"/>
    </row>
    <row r="44" spans="1:7" ht="13.5" customHeight="1">
      <c r="A44" s="951" t="s">
        <v>793</v>
      </c>
      <c r="B44" s="259" t="s">
        <v>1062</v>
      </c>
      <c r="C44" s="282" t="e">
        <f ca="1">ROUND(IF('数据-取费表'!B22&lt;=1,C40*F22*'数据-取费表'!B21/2,C40*(POWER((1+F22),'数据-取费表'!B21/2)-1)),4)</f>
        <v>#VALUE!</v>
      </c>
      <c r="D44" s="282"/>
      <c r="E44" s="282"/>
      <c r="F44" s="283"/>
      <c r="G44" s="3181"/>
    </row>
    <row r="45" spans="1:7" s="258" customFormat="1" ht="13.5" customHeight="1">
      <c r="A45" s="948" t="s">
        <v>786</v>
      </c>
      <c r="B45" s="288" t="s">
        <v>112</v>
      </c>
      <c r="C45" s="289" t="e">
        <f>C46</f>
        <v>#DIV/0!</v>
      </c>
      <c r="D45" s="279" t="e">
        <f>C47</f>
        <v>#DIV/0!</v>
      </c>
      <c r="E45" s="280" t="s">
        <v>129</v>
      </c>
      <c r="F45" s="290"/>
      <c r="G45" s="291" t="s">
        <v>1068</v>
      </c>
    </row>
    <row r="46" spans="1:7" s="258" customFormat="1" ht="13.5" customHeight="1">
      <c r="A46" s="951" t="s">
        <v>794</v>
      </c>
      <c r="B46" s="292" t="s">
        <v>1061</v>
      </c>
      <c r="C46" s="293" t="e">
        <f>ROUND((C33+C39)*F27,0)</f>
        <v>#DIV/0!</v>
      </c>
      <c r="D46" s="307"/>
      <c r="E46" s="280"/>
      <c r="F46" s="290"/>
      <c r="G46" s="291"/>
    </row>
    <row r="47" spans="1:7" s="258" customFormat="1" ht="13.5" customHeight="1">
      <c r="A47" s="951" t="s">
        <v>792</v>
      </c>
      <c r="B47" s="292" t="s">
        <v>1063</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1069</v>
      </c>
    </row>
    <row r="50" spans="1:7" s="302" customFormat="1" ht="24">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1" t="s">
        <v>156</v>
      </c>
      <c r="B1" s="3321"/>
      <c r="C1" s="3321"/>
      <c r="D1" s="3321"/>
      <c r="E1" s="3321"/>
      <c r="F1" s="332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2" t="s">
        <v>169</v>
      </c>
      <c r="B2" s="3322"/>
      <c r="C2" s="3322"/>
      <c r="D2" s="3322"/>
      <c r="E2" s="3322"/>
      <c r="F2" s="332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1" t="s">
        <v>867</v>
      </c>
      <c r="B1" s="332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43847</v>
      </c>
      <c r="D1" s="1700" t="s">
        <v>1296</v>
      </c>
      <c r="E1" s="1695">
        <f>'数据-取费表'!B22</f>
        <v>0</v>
      </c>
      <c r="F1" s="1700" t="s">
        <v>1297</v>
      </c>
      <c r="G1" s="1696" t="e">
        <f ca="1">INDIRECT("d"&amp;$K$1)/100</f>
        <v>#VALUE!</v>
      </c>
      <c r="H1" s="1700" t="s">
        <v>1327</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8"/>
  <sheetViews>
    <sheetView topLeftCell="A43" workbookViewId="0">
      <selection activeCell="A54" sqref="A54"/>
    </sheetView>
  </sheetViews>
  <sheetFormatPr defaultRowHeight="13.5"/>
  <sheetData>
    <row r="28" spans="8:8">
      <c r="H28" s="2966" t="s">
        <v>3106</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G22" sqref="G22"/>
    </sheetView>
  </sheetViews>
  <sheetFormatPr defaultRowHeight="13.5"/>
  <sheetData>
    <row r="1" spans="1:9">
      <c r="A1" s="2966" t="s">
        <v>3128</v>
      </c>
      <c r="B1" s="2966" t="s">
        <v>3129</v>
      </c>
      <c r="C1" s="2966" t="s">
        <v>3130</v>
      </c>
      <c r="D1" s="2966" t="s">
        <v>3132</v>
      </c>
    </row>
    <row r="2" spans="1:9">
      <c r="A2">
        <v>1</v>
      </c>
      <c r="B2">
        <v>14686.91</v>
      </c>
      <c r="C2">
        <v>12589.92</v>
      </c>
      <c r="D2">
        <v>2096.9899999999998</v>
      </c>
    </row>
    <row r="3" spans="1:9">
      <c r="A3">
        <v>2</v>
      </c>
      <c r="B3">
        <v>9769.99</v>
      </c>
      <c r="C3">
        <v>8391.39</v>
      </c>
      <c r="D3">
        <v>1378.6</v>
      </c>
    </row>
    <row r="4" spans="1:9">
      <c r="A4">
        <v>3</v>
      </c>
      <c r="B4">
        <v>14873.99</v>
      </c>
      <c r="C4">
        <v>12659</v>
      </c>
      <c r="D4">
        <v>2214.9899999999998</v>
      </c>
    </row>
    <row r="5" spans="1:9">
      <c r="A5">
        <v>4</v>
      </c>
      <c r="B5">
        <v>9899.07</v>
      </c>
      <c r="C5">
        <v>8403.31</v>
      </c>
      <c r="D5" s="2966">
        <v>1495.76</v>
      </c>
    </row>
    <row r="6" spans="1:9">
      <c r="A6">
        <v>5</v>
      </c>
      <c r="B6">
        <v>13744.54</v>
      </c>
      <c r="C6">
        <v>11548.46</v>
      </c>
      <c r="D6" s="2966">
        <v>2196.08</v>
      </c>
    </row>
    <row r="7" spans="1:9">
      <c r="A7">
        <v>6</v>
      </c>
      <c r="B7">
        <v>14776.87</v>
      </c>
      <c r="C7">
        <v>12589.92</v>
      </c>
      <c r="D7" s="2966">
        <v>2186.9499999999998</v>
      </c>
    </row>
    <row r="8" spans="1:9">
      <c r="A8">
        <v>7</v>
      </c>
      <c r="B8">
        <v>9917.06</v>
      </c>
      <c r="C8">
        <v>8396.2099999999991</v>
      </c>
      <c r="D8" s="2966">
        <v>1520.85</v>
      </c>
    </row>
    <row r="9" spans="1:9">
      <c r="A9">
        <v>8</v>
      </c>
      <c r="B9">
        <v>14732.86</v>
      </c>
      <c r="C9">
        <v>12589.92</v>
      </c>
      <c r="D9" s="2966">
        <v>2142.94</v>
      </c>
    </row>
    <row r="11" spans="1:9" ht="14.25" thickBot="1"/>
    <row r="12" spans="1:9" ht="51.75" thickBot="1">
      <c r="A12" s="3325" t="s">
        <v>3133</v>
      </c>
      <c r="B12" s="3325" t="s">
        <v>3127</v>
      </c>
      <c r="C12" s="3327" t="s">
        <v>3134</v>
      </c>
      <c r="D12" s="3328"/>
      <c r="E12" s="3329" t="s">
        <v>3135</v>
      </c>
      <c r="F12" s="3330"/>
      <c r="G12" s="2979" t="s">
        <v>3136</v>
      </c>
      <c r="H12" s="2979" t="s">
        <v>3137</v>
      </c>
      <c r="I12" s="2979" t="s">
        <v>3138</v>
      </c>
    </row>
    <row r="13" spans="1:9" ht="26.25" thickBot="1">
      <c r="A13" s="3326"/>
      <c r="B13" s="3326"/>
      <c r="C13" s="2980" t="s">
        <v>3118</v>
      </c>
      <c r="D13" s="2980" t="s">
        <v>3131</v>
      </c>
      <c r="E13" s="2980" t="s">
        <v>3118</v>
      </c>
      <c r="F13" s="2981" t="s">
        <v>3131</v>
      </c>
      <c r="G13" s="2982" t="s">
        <v>3139</v>
      </c>
      <c r="H13" s="2982" t="s">
        <v>3139</v>
      </c>
      <c r="I13" s="2983" t="s">
        <v>3140</v>
      </c>
    </row>
    <row r="14" spans="1:9" ht="14.25" thickBot="1">
      <c r="A14" s="3331" t="s">
        <v>3141</v>
      </c>
      <c r="B14" s="2984">
        <v>1</v>
      </c>
      <c r="C14" s="2984">
        <v>12</v>
      </c>
      <c r="D14" s="2984">
        <v>2</v>
      </c>
      <c r="E14" s="2984">
        <v>35.700000000000003</v>
      </c>
      <c r="F14" s="2984">
        <v>9.1</v>
      </c>
      <c r="G14" s="2984">
        <v>14686.91</v>
      </c>
      <c r="H14" s="2984">
        <v>12589.92</v>
      </c>
      <c r="I14" s="2985">
        <v>144</v>
      </c>
    </row>
    <row r="15" spans="1:9" ht="14.25" thickBot="1">
      <c r="A15" s="3332"/>
      <c r="B15" s="2984">
        <v>2</v>
      </c>
      <c r="C15" s="2984">
        <v>12</v>
      </c>
      <c r="D15" s="2984">
        <v>2</v>
      </c>
      <c r="E15" s="2984">
        <v>35.700000000000003</v>
      </c>
      <c r="F15" s="2984">
        <v>9.1</v>
      </c>
      <c r="G15" s="2984">
        <v>9769.99</v>
      </c>
      <c r="H15" s="2984">
        <v>8254.9699999999993</v>
      </c>
      <c r="I15" s="2985">
        <v>94</v>
      </c>
    </row>
    <row r="16" spans="1:9" ht="14.25" thickBot="1">
      <c r="A16" s="3332"/>
      <c r="B16" s="2984">
        <v>3</v>
      </c>
      <c r="C16" s="2984">
        <v>12</v>
      </c>
      <c r="D16" s="2984">
        <v>3</v>
      </c>
      <c r="E16" s="2984">
        <v>35.700000000000003</v>
      </c>
      <c r="F16" s="2984">
        <v>12.85</v>
      </c>
      <c r="G16" s="2984">
        <v>14873.99</v>
      </c>
      <c r="H16" s="2985">
        <v>12598.69</v>
      </c>
      <c r="I16" s="2985">
        <v>144</v>
      </c>
    </row>
    <row r="17" spans="1:9" ht="14.25" thickBot="1">
      <c r="A17" s="3332"/>
      <c r="B17" s="2984">
        <v>4</v>
      </c>
      <c r="C17" s="2984">
        <v>12</v>
      </c>
      <c r="D17" s="2984">
        <v>3</v>
      </c>
      <c r="E17" s="2984">
        <v>35.700000000000003</v>
      </c>
      <c r="F17" s="2984">
        <v>12.85</v>
      </c>
      <c r="G17" s="2984">
        <v>9899.07</v>
      </c>
      <c r="H17" s="2985">
        <v>8403.31</v>
      </c>
      <c r="I17" s="2985">
        <v>96</v>
      </c>
    </row>
    <row r="18" spans="1:9" ht="14.25" thickBot="1">
      <c r="A18" s="3332"/>
      <c r="B18" s="2984">
        <v>5</v>
      </c>
      <c r="C18" s="2984">
        <v>11</v>
      </c>
      <c r="D18" s="2984">
        <v>3</v>
      </c>
      <c r="E18" s="2984">
        <v>32.799999999999997</v>
      </c>
      <c r="F18" s="2984">
        <v>12.85</v>
      </c>
      <c r="G18" s="2984">
        <v>13744.54</v>
      </c>
      <c r="H18" s="2985">
        <v>11548.46</v>
      </c>
      <c r="I18" s="2985">
        <v>132</v>
      </c>
    </row>
    <row r="19" spans="1:9" ht="14.25" thickBot="1">
      <c r="A19" s="3332"/>
      <c r="B19" s="2984">
        <v>6</v>
      </c>
      <c r="C19" s="2984">
        <v>12</v>
      </c>
      <c r="D19" s="2984">
        <v>3</v>
      </c>
      <c r="E19" s="2984">
        <v>35.700000000000003</v>
      </c>
      <c r="F19" s="2984">
        <v>12.85</v>
      </c>
      <c r="G19" s="2984">
        <v>14776.87</v>
      </c>
      <c r="H19" s="2985">
        <v>12589.92</v>
      </c>
      <c r="I19" s="2985">
        <v>144</v>
      </c>
    </row>
    <row r="20" spans="1:9" ht="14.25" thickBot="1">
      <c r="A20" s="3332"/>
      <c r="B20" s="2984">
        <v>7</v>
      </c>
      <c r="C20" s="2984">
        <v>12</v>
      </c>
      <c r="D20" s="2984">
        <v>3</v>
      </c>
      <c r="E20" s="2984">
        <v>35.700000000000003</v>
      </c>
      <c r="F20" s="2984">
        <v>12.85</v>
      </c>
      <c r="G20" s="2984">
        <v>9917.06</v>
      </c>
      <c r="H20" s="2985">
        <v>8396.2099999999991</v>
      </c>
      <c r="I20" s="2985">
        <v>96</v>
      </c>
    </row>
    <row r="21" spans="1:9" ht="14.25" thickBot="1">
      <c r="A21" s="3333"/>
      <c r="B21" s="2984">
        <v>8</v>
      </c>
      <c r="C21" s="2984">
        <v>12</v>
      </c>
      <c r="D21" s="2984">
        <v>3</v>
      </c>
      <c r="E21" s="2984">
        <v>35.700000000000003</v>
      </c>
      <c r="F21" s="2984">
        <v>12.85</v>
      </c>
      <c r="G21" s="2984">
        <v>14732.86</v>
      </c>
      <c r="H21" s="2985">
        <v>12589.92</v>
      </c>
      <c r="I21" s="2985">
        <v>144</v>
      </c>
    </row>
    <row r="22" spans="1:9" ht="14.25" thickBot="1">
      <c r="A22" s="3327" t="s">
        <v>37</v>
      </c>
      <c r="B22" s="3334"/>
      <c r="C22" s="3334"/>
      <c r="D22" s="3334"/>
      <c r="E22" s="3334"/>
      <c r="F22" s="3328"/>
      <c r="G22" s="2986">
        <f>SUM(G14:G21)</f>
        <v>102401.29</v>
      </c>
      <c r="H22" s="2986">
        <v>86971.4</v>
      </c>
      <c r="I22" s="2987">
        <v>994</v>
      </c>
    </row>
  </sheetData>
  <mergeCells count="6">
    <mergeCell ref="A22:F22"/>
    <mergeCell ref="A12:A13"/>
    <mergeCell ref="B12:B13"/>
    <mergeCell ref="C12:D12"/>
    <mergeCell ref="E12:F12"/>
    <mergeCell ref="A14:A2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9" t="str">
        <f>IF(项目基本情况!B9="房地产市场价值","估价结果一览表","结果表-2")</f>
        <v>估价结果一览表</v>
      </c>
      <c r="B1" s="2999"/>
      <c r="C1" s="2999"/>
      <c r="D1" s="2999"/>
      <c r="E1" s="2999"/>
      <c r="F1" s="2999"/>
      <c r="G1" s="2999"/>
      <c r="H1" s="2999"/>
      <c r="I1" s="2999"/>
    </row>
    <row r="2" spans="1:9" ht="30" customHeight="1" thickTop="1">
      <c r="A2" s="3000" t="s">
        <v>1635</v>
      </c>
      <c r="B2" s="3000" t="s">
        <v>1636</v>
      </c>
      <c r="C2" s="3000" t="s">
        <v>1637</v>
      </c>
      <c r="D2" s="3000" t="str">
        <f>结果表!D116</f>
        <v>出让国有建设用地使用权价值</v>
      </c>
      <c r="E2" s="3000"/>
      <c r="F2" s="3000" t="str">
        <f>结果表!F116</f>
        <v>在建建筑物价值</v>
      </c>
      <c r="G2" s="3000"/>
      <c r="H2" s="3000" t="str">
        <f>IF(项目基本情况!B9="房地产市场价值","房地产市场价值","房地产价值")</f>
        <v>房地产市场价值</v>
      </c>
      <c r="I2" s="3000"/>
    </row>
    <row r="3" spans="1:9" ht="15">
      <c r="A3" s="3001"/>
      <c r="B3" s="3001"/>
      <c r="C3" s="3001"/>
      <c r="D3" s="1044" t="s">
        <v>1632</v>
      </c>
      <c r="E3" s="1044" t="s">
        <v>1638</v>
      </c>
      <c r="F3" s="1044" t="s">
        <v>1632</v>
      </c>
      <c r="G3" s="1044" t="s">
        <v>1633</v>
      </c>
      <c r="H3" s="1044" t="s">
        <v>1632</v>
      </c>
      <c r="I3" s="1044" t="s">
        <v>1633</v>
      </c>
    </row>
    <row r="4" spans="1:9" ht="60">
      <c r="A4" s="1972" t="str">
        <f>项目基本情况!S2</f>
        <v>北京市北京经济技术开发区河西区X90R1、X90S1地块出让国有建设用地使用权及在建建筑物房地产</v>
      </c>
      <c r="B4" s="1044">
        <f>项目基本情况!C17</f>
        <v>86971.4</v>
      </c>
      <c r="C4" s="1044">
        <f>项目基本情况!C18</f>
        <v>43648.1</v>
      </c>
      <c r="D4" s="1044" t="e">
        <f ca="1">结果表!D118</f>
        <v>#REF!</v>
      </c>
      <c r="E4" s="1044" t="e">
        <f ca="1">结果表!E118</f>
        <v>#DIV/0!</v>
      </c>
      <c r="F4" s="1044" t="e">
        <f ca="1">结果表!F118</f>
        <v>#REF!</v>
      </c>
      <c r="G4" s="1044" t="e">
        <f ca="1">结果表!G118</f>
        <v>#REF!</v>
      </c>
      <c r="H4" s="1044">
        <f ca="1">结果表!H118</f>
        <v>417245</v>
      </c>
      <c r="I4" s="1044" t="e">
        <f ca="1">结果表!I118</f>
        <v>#DIV/0!</v>
      </c>
    </row>
    <row r="5" spans="1:9" ht="30" customHeight="1">
      <c r="A5" s="3001" t="s">
        <v>1634</v>
      </c>
      <c r="B5" s="3001"/>
      <c r="C5" s="3001"/>
      <c r="D5" s="3002" t="e">
        <f ca="1">结果表!D119</f>
        <v>#REF!</v>
      </c>
      <c r="E5" s="3002"/>
      <c r="F5" s="3002" t="e">
        <f ca="1">结果表!F119</f>
        <v>#REF!</v>
      </c>
      <c r="G5" s="3002"/>
      <c r="H5" s="3002" t="str">
        <f ca="1">结果表!H119</f>
        <v>肆拾壹亿柒仟贰佰肆拾伍万元整</v>
      </c>
      <c r="I5" s="3002"/>
    </row>
    <row r="6" spans="1:9" ht="15.75">
      <c r="A6" s="3003" t="str">
        <f>结果表!A120</f>
        <v/>
      </c>
      <c r="B6" s="3003"/>
      <c r="C6" s="3003"/>
      <c r="D6" s="3003">
        <f>结果表!D120</f>
        <v>0</v>
      </c>
      <c r="E6" s="3003"/>
      <c r="F6" s="3003"/>
      <c r="G6" s="3003"/>
      <c r="H6" s="3003"/>
      <c r="I6" s="3003"/>
    </row>
    <row r="7" spans="1:9" ht="15">
      <c r="A7" s="3001" t="s">
        <v>1634</v>
      </c>
      <c r="B7" s="3001"/>
      <c r="C7" s="3001"/>
      <c r="D7" s="3004" t="str">
        <f>结果表!D121</f>
        <v>零元整</v>
      </c>
      <c r="E7" s="3005"/>
      <c r="F7" s="3005"/>
      <c r="G7" s="3005"/>
      <c r="H7" s="3005"/>
      <c r="I7" s="3006"/>
    </row>
    <row r="8" spans="1:9" ht="15.75">
      <c r="A8" s="3003" t="str">
        <f>结果表!A122</f>
        <v/>
      </c>
      <c r="B8" s="3003"/>
      <c r="C8" s="3003"/>
      <c r="D8" s="3003">
        <f ca="1">结果表!D122</f>
        <v>417245</v>
      </c>
      <c r="E8" s="3003"/>
      <c r="F8" s="3003"/>
      <c r="G8" s="3003"/>
      <c r="H8" s="3003"/>
      <c r="I8" s="3003"/>
    </row>
    <row r="9" spans="1:9" ht="15">
      <c r="A9" s="3001" t="s">
        <v>1634</v>
      </c>
      <c r="B9" s="3001"/>
      <c r="C9" s="3001"/>
      <c r="D9" s="3002" t="str">
        <f ca="1">结果表!D123</f>
        <v>肆拾壹亿柒仟贰佰肆拾伍万元整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1634</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1634</v>
      </c>
      <c r="B13" s="3007"/>
      <c r="C13" s="3007"/>
      <c r="D13" s="3008" t="e">
        <f>结果表!D127</f>
        <v>#VALUE!</v>
      </c>
      <c r="E13" s="3008"/>
      <c r="F13" s="3008"/>
      <c r="G13" s="3008"/>
      <c r="H13" s="3008"/>
      <c r="I13" s="3008"/>
    </row>
    <row r="14" spans="1:9" ht="15" thickTop="1">
      <c r="A14" s="3009" t="s">
        <v>1639</v>
      </c>
      <c r="B14" s="3009"/>
      <c r="C14" s="3009"/>
      <c r="D14" s="3009"/>
      <c r="E14" s="3009"/>
      <c r="F14" s="3009"/>
      <c r="G14" s="3009"/>
      <c r="H14" s="3009"/>
      <c r="I14" s="300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0" t="s">
        <v>1656</v>
      </c>
      <c r="B1" s="3010"/>
      <c r="C1" s="3010"/>
      <c r="D1" s="3010"/>
    </row>
    <row r="2" spans="1:4" ht="18">
      <c r="A2" s="3011" t="s">
        <v>1640</v>
      </c>
      <c r="B2" s="3011"/>
      <c r="C2" s="3011"/>
      <c r="D2" s="3011"/>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3011" t="s">
        <v>1646</v>
      </c>
      <c r="B6" s="3011"/>
      <c r="C6" s="3011"/>
      <c r="D6" s="3011"/>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12" t="s">
        <v>1649</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4"/>
      <c r="C12" s="3014"/>
      <c r="D12" s="3014"/>
    </row>
    <row r="13" spans="1:4" ht="30" customHeight="1">
      <c r="A13" s="3013" t="str">
        <f>IF(项目基本情况!B8="抵押","3.抵押双方在办理抵押登记手续时，应使用本公司出具的正式《房地产评估报告》，特提醒报告使用者注意。","——")</f>
        <v>——</v>
      </c>
      <c r="B13" s="3014"/>
      <c r="C13" s="3014"/>
      <c r="D13" s="3014"/>
    </row>
    <row r="14" spans="1:4" ht="15.75" customHeight="1">
      <c r="A14" s="3013" t="str">
        <f>IF(项目基本情况!B8="抵押","4.本次评估估价师所知悉的法定优先受偿款情况说明如下：","——")</f>
        <v>——</v>
      </c>
      <c r="B14" s="3014"/>
      <c r="C14" s="3014"/>
      <c r="D14" s="3014"/>
    </row>
    <row r="15" spans="1:4" ht="42" customHeight="1">
      <c r="A15" s="3013" t="str">
        <f>IF(项目基本情况!B8="抵押","（1）"&amp;CONCATENATE(项目基本情况!L20,项目基本情况!L21,项目基本情况!L22),"——")</f>
        <v>——</v>
      </c>
      <c r="B15" s="3013"/>
      <c r="C15" s="3013"/>
      <c r="D15" s="3013"/>
    </row>
    <row r="16" spans="1:4" ht="30" customHeight="1">
      <c r="A16" s="3016" t="s">
        <v>1650</v>
      </c>
      <c r="B16" s="3016"/>
      <c r="C16" s="3016"/>
      <c r="D16" s="3016"/>
    </row>
    <row r="17" spans="1:4" ht="144" customHeight="1">
      <c r="A17" s="3016" t="s">
        <v>1651</v>
      </c>
      <c r="B17" s="3016"/>
      <c r="C17" s="3016"/>
      <c r="D17" s="3016"/>
    </row>
    <row r="18" spans="1:4" ht="15.75" customHeight="1">
      <c r="A18" s="3013" t="str">
        <f>IF(项目基本情况!B8="抵押",结果表!K120,"——")</f>
        <v>——</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1652</v>
      </c>
      <c r="B22" s="3018"/>
      <c r="C22" s="3018"/>
      <c r="D22" s="3018"/>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5" sqref="C15"/>
      <selection pane="bottomLeft" activeCell="C15" sqref="C15"/>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24" t="s">
        <v>1663</v>
      </c>
      <c r="B15" s="3019" t="s">
        <v>136</v>
      </c>
      <c r="C15" s="3020"/>
    </row>
    <row r="16" spans="1:7" ht="13.5">
      <c r="A16" s="3025"/>
      <c r="B16" s="3019" t="s">
        <v>69</v>
      </c>
      <c r="C16" s="3020"/>
    </row>
    <row r="17" spans="1:3" ht="13.5">
      <c r="A17" s="3025"/>
      <c r="B17" s="3022" t="s">
        <v>1664</v>
      </c>
      <c r="C17" s="1999" t="s">
        <v>1663</v>
      </c>
    </row>
    <row r="18" spans="1:3" ht="13.5">
      <c r="A18" s="3025"/>
      <c r="B18" s="3022"/>
      <c r="C18" s="1999" t="s">
        <v>1665</v>
      </c>
    </row>
    <row r="19" spans="1:3" ht="13.5">
      <c r="A19" s="3025"/>
      <c r="B19" s="3022"/>
      <c r="C19" s="1999" t="s">
        <v>1666</v>
      </c>
    </row>
    <row r="20" spans="1:3" ht="13.5">
      <c r="A20" s="3026"/>
      <c r="B20" s="3021" t="s">
        <v>1667</v>
      </c>
      <c r="C20" s="3020"/>
    </row>
    <row r="21" spans="1:3" ht="13.5">
      <c r="A21" s="2000" t="s">
        <v>1668</v>
      </c>
      <c r="B21" s="2001"/>
      <c r="C21" s="2002"/>
    </row>
    <row r="22" spans="1:3" ht="13.5">
      <c r="A22" s="3023" t="s">
        <v>1669</v>
      </c>
      <c r="B22" s="3021" t="s">
        <v>1670</v>
      </c>
      <c r="C22" s="3020"/>
    </row>
    <row r="23" spans="1:3" ht="13.5">
      <c r="A23" s="3023"/>
      <c r="B23" s="3021" t="s">
        <v>1671</v>
      </c>
      <c r="C23" s="3020"/>
    </row>
    <row r="24" spans="1:3" ht="13.5">
      <c r="A24" s="3023"/>
      <c r="B24" s="3021" t="s">
        <v>1672</v>
      </c>
      <c r="C24" s="3020"/>
    </row>
    <row r="25" spans="1:3" ht="13.5">
      <c r="A25" s="3023"/>
      <c r="B25" s="3022" t="s">
        <v>1673</v>
      </c>
      <c r="C25" s="1999" t="s">
        <v>1674</v>
      </c>
    </row>
    <row r="26" spans="1:3" ht="13.5">
      <c r="A26" s="3023"/>
      <c r="B26" s="3022"/>
      <c r="C26" s="1999" t="s">
        <v>1675</v>
      </c>
    </row>
    <row r="27" spans="1:3" ht="13.5">
      <c r="A27" s="3023"/>
      <c r="B27" s="3022"/>
      <c r="C27" s="1999" t="s">
        <v>1676</v>
      </c>
    </row>
    <row r="28" spans="1:3" ht="13.5">
      <c r="A28" s="3023"/>
      <c r="B28" s="3022"/>
      <c r="C28" s="1999" t="s">
        <v>1677</v>
      </c>
    </row>
    <row r="29" spans="1:3" ht="13.5">
      <c r="A29" s="3023"/>
      <c r="B29" s="3022"/>
      <c r="C29" s="1999" t="s">
        <v>1678</v>
      </c>
    </row>
    <row r="30" spans="1:3" ht="13.5">
      <c r="A30" s="3023"/>
      <c r="B30" s="3022"/>
      <c r="C30" s="1999" t="s">
        <v>1679</v>
      </c>
    </row>
    <row r="31" spans="1:3" ht="13.5">
      <c r="A31" s="3023"/>
      <c r="B31" s="3022"/>
      <c r="C31" s="1999" t="s">
        <v>1680</v>
      </c>
    </row>
    <row r="32" spans="1:3" ht="13.5">
      <c r="A32" s="3023"/>
      <c r="B32" s="3022"/>
      <c r="C32" s="1999" t="s">
        <v>1681</v>
      </c>
    </row>
    <row r="33" spans="1:3" ht="13.5">
      <c r="A33" s="3023"/>
      <c r="B33" s="302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43896</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t="str">
        <f ca="1">IF(C4&lt;B2,"已过期",1119970066)</f>
        <v>已过期</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t="str">
        <f ca="1">IF(C8&lt;B2,"已过期",1120000080)</f>
        <v>已过期</v>
      </c>
      <c r="C8" s="2346">
        <v>43849</v>
      </c>
      <c r="D8" s="2349" t="s">
        <v>835</v>
      </c>
      <c r="E8" s="1022">
        <f ca="1">IF(F8&lt;B2,"已过期",2000110082)</f>
        <v>2000110082</v>
      </c>
      <c r="F8" s="1030">
        <v>46387</v>
      </c>
    </row>
    <row r="9" spans="1:6" ht="24" customHeight="1">
      <c r="A9" s="1702" t="s">
        <v>836</v>
      </c>
      <c r="B9" s="1022" t="str">
        <f ca="1">IF(C9&lt;B2,"已过期",1419970001)</f>
        <v>已过期</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3045</v>
      </c>
      <c r="B14" s="1022">
        <f ca="1">IF(C14&lt;B2,"已过期",1120040230)</f>
        <v>1120040230</v>
      </c>
      <c r="C14" s="2346">
        <v>44864</v>
      </c>
      <c r="D14" s="2349" t="s">
        <v>3045</v>
      </c>
      <c r="E14" s="1022">
        <f ca="1">IF(F14&lt;B2,"已过期",98030020)</f>
        <v>98030020</v>
      </c>
      <c r="F14" s="1030">
        <v>47118</v>
      </c>
    </row>
    <row r="15" spans="1:6" ht="24" customHeight="1">
      <c r="A15" s="1703"/>
      <c r="B15" s="1022"/>
      <c r="C15" s="2346"/>
      <c r="D15" s="2350"/>
      <c r="E15" s="1022"/>
      <c r="F15" s="1023"/>
    </row>
    <row r="16" spans="1:6" ht="24" customHeight="1">
      <c r="A16" s="1702"/>
      <c r="B16" s="1022"/>
      <c r="C16" s="2926"/>
      <c r="D16" s="2349"/>
      <c r="E16" s="1022"/>
      <c r="F16" s="1030"/>
    </row>
    <row r="17" spans="1:7" ht="24" customHeight="1">
      <c r="A17" s="1702"/>
      <c r="B17" s="1022"/>
      <c r="C17" s="2346"/>
      <c r="D17" s="2349"/>
      <c r="E17" s="1022"/>
      <c r="F17" s="1030"/>
    </row>
    <row r="18" spans="1:7" ht="24" customHeight="1">
      <c r="A18" s="1702" t="s">
        <v>3052</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6">
        <v>44339</v>
      </c>
      <c r="D22" s="2349" t="s">
        <v>841</v>
      </c>
      <c r="E22" s="1022">
        <f ca="1">IF(F22&lt;B2,"已过期",2000110137)</f>
        <v>2000110137</v>
      </c>
      <c r="F22" s="1030">
        <v>46387</v>
      </c>
    </row>
    <row r="23" spans="1:7" ht="24" customHeight="1">
      <c r="A23" s="1702" t="s">
        <v>3054</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27" t="s">
        <v>842</v>
      </c>
      <c r="B25" s="3027"/>
      <c r="C25" s="3027"/>
      <c r="D25" s="3027"/>
      <c r="E25" s="3027"/>
      <c r="F25" s="3027"/>
      <c r="G25" s="3027"/>
    </row>
    <row r="26" spans="1:7" s="1025" customFormat="1" ht="24" customHeight="1">
      <c r="A26" s="3028" t="s">
        <v>843</v>
      </c>
      <c r="B26" s="3028"/>
      <c r="C26" s="3029"/>
      <c r="D26" s="3030" t="s">
        <v>844</v>
      </c>
      <c r="E26" s="3028"/>
      <c r="F26" s="3028"/>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cp:lastModifiedBy>
  <cp:lastPrinted>2017-03-01T09:15:43Z</cp:lastPrinted>
  <dcterms:created xsi:type="dcterms:W3CDTF">2015-07-13T07:17:23Z</dcterms:created>
  <dcterms:modified xsi:type="dcterms:W3CDTF">2020-03-06T06:18:09Z</dcterms:modified>
</cp:coreProperties>
</file>