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920" windowHeight="960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I13" i="3"/>
  <c r="I27" i="21" l="1"/>
  <c r="I45" i="21"/>
  <c r="I44" i="21"/>
  <c r="G44" i="21"/>
  <c r="G27" i="21"/>
  <c r="E45" i="21"/>
  <c r="E44" i="21"/>
  <c r="I41" i="21"/>
  <c r="G41" i="21"/>
  <c r="E41" i="21"/>
  <c r="E27" i="21"/>
  <c r="I7" i="21"/>
  <c r="G7" i="21"/>
  <c r="E7" i="21"/>
  <c r="C27" i="21"/>
  <c r="C45" i="21"/>
  <c r="C41" i="21"/>
  <c r="C6" i="21" l="1"/>
  <c r="D3" i="4" l="1"/>
  <c r="AB7" i="71" l="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C7" i="69"/>
  <c r="AC21" i="37"/>
  <c r="W21" i="37"/>
  <c r="AC21" i="34"/>
  <c r="W21" i="34"/>
  <c r="AC21" i="33"/>
  <c r="W21" i="33"/>
  <c r="U21" i="21"/>
  <c r="G83" i="21"/>
  <c r="J21" i="21"/>
  <c r="W21" i="21" s="1"/>
  <c r="C40" i="69"/>
  <c r="F38" i="68"/>
  <c r="E37" i="68"/>
  <c r="F36" i="68"/>
  <c r="F35" i="68"/>
  <c r="F21" i="68"/>
  <c r="C21" i="68"/>
  <c r="F20" i="68"/>
  <c r="E10" i="68"/>
  <c r="E9" i="68"/>
  <c r="C7" i="68"/>
  <c r="C5" i="68"/>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67" i="43" s="1"/>
  <c r="B77" i="43"/>
  <c r="C18" i="20"/>
  <c r="B71" i="43"/>
  <c r="C17" i="20"/>
  <c r="B59" i="43"/>
  <c r="C16" i="20"/>
  <c r="C17" i="39"/>
  <c r="C15" i="20"/>
  <c r="B70" i="43" s="1"/>
  <c r="E54" i="21"/>
  <c r="F54" i="21" s="1"/>
  <c r="I54" i="21"/>
  <c r="J54" i="21" s="1"/>
  <c r="G54" i="21"/>
  <c r="H54" i="21" s="1"/>
  <c r="D125" i="21"/>
  <c r="E125" i="21" s="1"/>
  <c r="F125" i="21" s="1"/>
  <c r="G125" i="21" s="1"/>
  <c r="D123" i="21"/>
  <c r="E123" i="21" s="1"/>
  <c r="F42" i="21"/>
  <c r="AA42" i="21" s="1"/>
  <c r="D119" i="21"/>
  <c r="F40" i="21"/>
  <c r="AA40" i="21" s="1"/>
  <c r="D117" i="21"/>
  <c r="E117" i="21"/>
  <c r="F117" i="21"/>
  <c r="G117" i="21"/>
  <c r="D115" i="21"/>
  <c r="E115" i="21"/>
  <c r="F115" i="21"/>
  <c r="G115" i="21"/>
  <c r="H115" i="21"/>
  <c r="I115" i="21"/>
  <c r="J115" i="21"/>
  <c r="K115" i="21"/>
  <c r="L115" i="21"/>
  <c r="M115" i="21"/>
  <c r="D113" i="21"/>
  <c r="E113" i="21" s="1"/>
  <c r="F113" i="21" s="1"/>
  <c r="G113" i="21" s="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34" i="21"/>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AC35"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31" i="12"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c r="M20" i="67"/>
  <c r="F34" i="15"/>
  <c r="F62" i="15"/>
  <c r="G13" i="3"/>
  <c r="G5" i="3" s="1"/>
  <c r="B3" i="3" s="1"/>
  <c r="E230" i="3" s="1"/>
  <c r="BA13" i="3"/>
  <c r="E10" i="6"/>
  <c r="BA5" i="3"/>
  <c r="E11" i="6"/>
  <c r="E61" i="39" s="1"/>
  <c r="BL17" i="3"/>
  <c r="AZ17" i="3"/>
  <c r="BL13" i="3"/>
  <c r="E65" i="39"/>
  <c r="G30" i="6"/>
  <c r="G31" i="6"/>
  <c r="J56" i="9"/>
  <c r="J57" i="9"/>
  <c r="A24" i="51"/>
  <c r="B18" i="72"/>
  <c r="U29" i="34"/>
  <c r="E14" i="6"/>
  <c r="E64" i="39" s="1"/>
  <c r="E5" i="6"/>
  <c r="D9" i="11" s="1"/>
  <c r="C9" i="11" s="1"/>
  <c r="E32" i="6"/>
  <c r="G1" i="68"/>
  <c r="K1" i="12"/>
  <c r="F30" i="6"/>
  <c r="E28" i="6"/>
  <c r="E30" i="6" s="1"/>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D48" i="35"/>
  <c r="C4" i="12"/>
  <c r="H66" i="43"/>
  <c r="H65" i="43"/>
  <c r="H64" i="43"/>
  <c r="H63" i="43"/>
  <c r="H55" i="43"/>
  <c r="H56" i="43"/>
  <c r="H72" i="43"/>
  <c r="L20" i="6"/>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AB31" i="21"/>
  <c r="U31"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U9" i="21" s="1"/>
  <c r="J9" i="21"/>
  <c r="W9" i="21" s="1"/>
  <c r="J32" i="21"/>
  <c r="W32" i="21" s="1"/>
  <c r="F32" i="21"/>
  <c r="AA32" i="21" s="1"/>
  <c r="AA31" i="2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60" i="43"/>
  <c r="B63" i="43"/>
  <c r="D23" i="15"/>
  <c r="D22" i="15"/>
  <c r="AQ13" i="1"/>
  <c r="AZ13" i="3"/>
  <c r="AZ5" i="3" s="1"/>
  <c r="E3" i="6" s="1"/>
  <c r="M6" i="1"/>
  <c r="O6" i="1" s="1"/>
  <c r="P6" i="1" s="1"/>
  <c r="F30" i="68"/>
  <c r="F30" i="11"/>
  <c r="C48" i="11"/>
  <c r="F28" i="67"/>
  <c r="F31" i="12"/>
  <c r="F52" i="9"/>
  <c r="M18" i="67"/>
  <c r="F32" i="67"/>
  <c r="F60" i="67"/>
  <c r="F30" i="69"/>
  <c r="C48" i="69"/>
  <c r="F32" i="15"/>
  <c r="F60" i="15"/>
  <c r="M18" i="15"/>
  <c r="F28" i="15"/>
  <c r="E63" i="39"/>
  <c r="T11" i="1"/>
  <c r="AQ9" i="1"/>
  <c r="AR11" i="1"/>
  <c r="C28" i="15"/>
  <c r="T9" i="1"/>
  <c r="T13" i="1"/>
  <c r="D9" i="68"/>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F85" i="21"/>
  <c r="G85" i="21"/>
  <c r="H23" i="21"/>
  <c r="S13" i="21"/>
  <c r="D6" i="52"/>
  <c r="D121" i="9"/>
  <c r="D7" i="52"/>
  <c r="K120" i="9"/>
  <c r="BL5" i="3"/>
  <c r="J59" i="9"/>
  <c r="J61" i="9"/>
  <c r="E216" i="3"/>
  <c r="E169" i="3"/>
  <c r="E185" i="3"/>
  <c r="E61" i="3"/>
  <c r="E135" i="3"/>
  <c r="E290" i="3"/>
  <c r="E161"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AP7" i="1"/>
  <c r="M7" i="1"/>
  <c r="O7" i="1" s="1"/>
  <c r="P7" i="1" s="1"/>
  <c r="H16" i="1"/>
  <c r="AC33" i="21"/>
  <c r="AA33" i="21"/>
  <c r="AC32" i="21"/>
  <c r="AB9" i="21"/>
  <c r="AC9" i="21"/>
  <c r="AA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M18" i="9"/>
  <c r="B118" i="9" s="1"/>
  <c r="B14" i="74" s="1"/>
  <c r="B1" i="74" s="1"/>
  <c r="AC11" i="37"/>
  <c r="W11" i="37"/>
  <c r="W11" i="34"/>
  <c r="AC11" i="34"/>
  <c r="M19" i="9"/>
  <c r="C118" i="9" s="1"/>
  <c r="C14" i="74" s="1"/>
  <c r="B2" i="74" s="1"/>
  <c r="R7" i="1"/>
  <c r="L19" i="9"/>
  <c r="F34" i="11"/>
  <c r="F11" i="12"/>
  <c r="C23" i="12" s="1"/>
  <c r="F34" i="68"/>
  <c r="C36" i="68" s="1"/>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H7" i="33"/>
  <c r="H112" i="9"/>
  <c r="D21" i="53"/>
  <c r="B39" i="72"/>
  <c r="H111" i="9"/>
  <c r="D126" i="9"/>
  <c r="D19" i="53"/>
  <c r="D59" i="9"/>
  <c r="M55" i="9"/>
  <c r="B38" i="72"/>
  <c r="D20" i="53"/>
  <c r="B40" i="72"/>
  <c r="I14" i="74"/>
  <c r="B8" i="74"/>
  <c r="D127" i="9"/>
  <c r="D13" i="52"/>
  <c r="D12" i="52"/>
  <c r="AD3" i="71"/>
  <c r="D63" i="40"/>
  <c r="E63" i="40" s="1"/>
  <c r="J1" i="7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AC7" i="33"/>
  <c r="V48" i="33" s="1"/>
  <c r="I48" i="33" s="1"/>
  <c r="D58" i="21"/>
  <c r="C24" i="12"/>
  <c r="C48" i="68"/>
  <c r="C11" i="71"/>
  <c r="D11" i="71"/>
  <c r="D12" i="71"/>
  <c r="D13" i="71"/>
  <c r="U13" i="71"/>
  <c r="S13" i="71"/>
  <c r="T13" i="71"/>
  <c r="AB11" i="71"/>
  <c r="X9" i="71"/>
  <c r="X8" i="71"/>
  <c r="AA9" i="71"/>
  <c r="AA8" i="71"/>
  <c r="X12" i="71"/>
  <c r="Z7" i="71"/>
  <c r="Y8" i="71"/>
  <c r="Z8" i="71" s="1"/>
  <c r="AB9" i="71"/>
  <c r="AB8" i="71"/>
  <c r="S9" i="71"/>
  <c r="C94" i="9"/>
  <c r="C92" i="9"/>
  <c r="F10" i="71"/>
  <c r="F9" i="71"/>
  <c r="Y9" i="71"/>
  <c r="Z9" i="71" s="1"/>
  <c r="AB3" i="71"/>
  <c r="X3" i="71"/>
  <c r="C10" i="71"/>
  <c r="E10" i="71"/>
  <c r="E9" i="71"/>
  <c r="AF3" i="71"/>
  <c r="P24" i="43"/>
  <c r="B66" i="40" s="1"/>
  <c r="P21" i="43"/>
  <c r="P22" i="43"/>
  <c r="G20" i="43"/>
  <c r="D65" i="40"/>
  <c r="G17" i="43"/>
  <c r="C16" i="43"/>
  <c r="D5" i="43"/>
  <c r="C5" i="43"/>
  <c r="E58" i="21"/>
  <c r="F58" i="21" s="1"/>
  <c r="G58" i="21" s="1"/>
  <c r="D70" i="39"/>
  <c r="V9" i="71"/>
  <c r="P23" i="43"/>
  <c r="B71" i="39" s="1"/>
  <c r="C9" i="71"/>
  <c r="D10" i="71"/>
  <c r="P25" i="43"/>
  <c r="E65" i="40"/>
  <c r="F63" i="40"/>
  <c r="G63" i="40" s="1"/>
  <c r="E41" i="43"/>
  <c r="C41" i="43"/>
  <c r="C20" i="43"/>
  <c r="F68" i="39"/>
  <c r="E70" i="39"/>
  <c r="D7" i="71"/>
  <c r="T9" i="71"/>
  <c r="D8" i="71"/>
  <c r="D9" i="71"/>
  <c r="F65" i="40"/>
  <c r="G68" i="39"/>
  <c r="F70" i="39"/>
  <c r="M20" i="43"/>
  <c r="C19" i="43"/>
  <c r="U9" i="71"/>
  <c r="G65" i="40"/>
  <c r="H63" i="40"/>
  <c r="H68" i="39"/>
  <c r="G70" i="39"/>
  <c r="H65" i="40"/>
  <c r="I63" i="40"/>
  <c r="I68" i="39"/>
  <c r="J68" i="39" s="1"/>
  <c r="H70" i="39"/>
  <c r="I65" i="40"/>
  <c r="J63" i="40"/>
  <c r="J65" i="40" s="1"/>
  <c r="I70" i="39"/>
  <c r="K63" i="40"/>
  <c r="K65" i="40" s="1"/>
  <c r="L63" i="40"/>
  <c r="L65" i="40" s="1"/>
  <c r="M63" i="40"/>
  <c r="M65" i="40" s="1"/>
  <c r="N63" i="40"/>
  <c r="N65" i="40" s="1"/>
  <c r="O63" i="40"/>
  <c r="O65" i="40" s="1"/>
  <c r="F31" i="15"/>
  <c r="F31" i="67"/>
  <c r="L48" i="67"/>
  <c r="M21" i="67"/>
  <c r="M8" i="67"/>
  <c r="F26" i="15"/>
  <c r="M6" i="67"/>
  <c r="AO8" i="1"/>
  <c r="E13" i="76"/>
  <c r="B8" i="76"/>
  <c r="AO13" i="1"/>
  <c r="F41" i="15"/>
  <c r="L48" i="15"/>
  <c r="E2" i="68"/>
  <c r="L47" i="15"/>
  <c r="M26" i="67"/>
  <c r="F7" i="15"/>
  <c r="M23" i="67"/>
  <c r="F40" i="15"/>
  <c r="F37" i="67"/>
  <c r="E9" i="76"/>
  <c r="D4" i="73"/>
  <c r="D2" i="35"/>
  <c r="F38" i="15"/>
  <c r="D3" i="73"/>
  <c r="M22" i="67"/>
  <c r="F20" i="31"/>
  <c r="E2" i="69"/>
  <c r="M27" i="67"/>
  <c r="M24" i="67"/>
  <c r="F37" i="15"/>
  <c r="D35" i="9"/>
  <c r="F42" i="67"/>
  <c r="D2" i="37"/>
  <c r="F41" i="67"/>
  <c r="E11" i="76"/>
  <c r="F13" i="15"/>
  <c r="E10" i="76"/>
  <c r="F16" i="15"/>
  <c r="F13" i="67"/>
  <c r="AO11" i="1"/>
  <c r="D2" i="33"/>
  <c r="M23" i="15"/>
  <c r="B12" i="76"/>
  <c r="F16" i="67"/>
  <c r="F36" i="67"/>
  <c r="E12" i="76"/>
  <c r="C76" i="15"/>
  <c r="AO7" i="1"/>
  <c r="M29" i="67"/>
  <c r="F9" i="67"/>
  <c r="M21" i="15"/>
  <c r="F8" i="67"/>
  <c r="B13" i="76"/>
  <c r="D2" i="21"/>
  <c r="M28" i="67"/>
  <c r="E7" i="76"/>
  <c r="B10" i="76"/>
  <c r="D2" i="36"/>
  <c r="D7" i="73"/>
  <c r="M9" i="15"/>
  <c r="D34" i="9"/>
  <c r="L47" i="67"/>
  <c r="E8" i="76"/>
  <c r="AO6" i="1"/>
  <c r="B7" i="76"/>
  <c r="M24" i="15"/>
  <c r="F43" i="15"/>
  <c r="M29" i="15"/>
  <c r="F26" i="67"/>
  <c r="M22" i="15"/>
  <c r="F7" i="67"/>
  <c r="M9" i="67"/>
  <c r="J15" i="15"/>
  <c r="F36" i="15"/>
  <c r="F9" i="15"/>
  <c r="F40" i="67"/>
  <c r="F4" i="73"/>
  <c r="F6" i="73"/>
  <c r="F6" i="15"/>
  <c r="F3" i="73"/>
  <c r="F42" i="15"/>
  <c r="F5" i="73"/>
  <c r="M8" i="15"/>
  <c r="AO10" i="1"/>
  <c r="D2" i="34"/>
  <c r="F35" i="67"/>
  <c r="M6" i="15"/>
  <c r="F6" i="67"/>
  <c r="M26" i="15"/>
  <c r="F8" i="15"/>
  <c r="F7" i="73"/>
  <c r="B9" i="76"/>
  <c r="D5" i="73"/>
  <c r="M28" i="15"/>
  <c r="M27" i="15"/>
  <c r="AO12" i="1"/>
  <c r="F43" i="67"/>
  <c r="F38" i="67"/>
  <c r="AO9" i="1"/>
  <c r="F35" i="15"/>
  <c r="B11" i="76"/>
  <c r="C76" i="67"/>
  <c r="J15" i="67"/>
  <c r="D6" i="73"/>
  <c r="B9" i="49" l="1"/>
  <c r="B56" i="43"/>
  <c r="C25" i="39"/>
  <c r="C15" i="39"/>
  <c r="T14" i="43"/>
  <c r="V14" i="43" s="1"/>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D3" i="21"/>
  <c r="D19" i="11"/>
  <c r="C19" i="11" s="1"/>
  <c r="D37" i="11"/>
  <c r="D14" i="12"/>
  <c r="D17" i="12" s="1"/>
  <c r="C17" i="12" s="1"/>
  <c r="D3" i="34"/>
  <c r="D3" i="33"/>
  <c r="C17" i="4"/>
  <c r="B4" i="52" s="1"/>
  <c r="B43" i="72" s="1"/>
  <c r="D3" i="37"/>
  <c r="F27" i="69"/>
  <c r="C47" i="69" s="1"/>
  <c r="D45" i="69" s="1"/>
  <c r="F27" i="68"/>
  <c r="C47" i="68" s="1"/>
  <c r="D45" i="68" s="1"/>
  <c r="F27" i="11"/>
  <c r="C47" i="11" s="1"/>
  <c r="D45" i="11" s="1"/>
  <c r="F28" i="12"/>
  <c r="C29" i="12" s="1"/>
  <c r="D28" i="12" s="1"/>
  <c r="C37" i="11"/>
  <c r="T7" i="1"/>
  <c r="K14" i="1"/>
  <c r="K16" i="1" s="1"/>
  <c r="E59" i="40"/>
  <c r="AR7" i="1"/>
  <c r="L19" i="6"/>
  <c r="L27" i="6" s="1"/>
  <c r="C36" i="11"/>
  <c r="E180" i="3"/>
  <c r="E221" i="3"/>
  <c r="E91" i="3"/>
  <c r="E254" i="3"/>
  <c r="E134" i="3"/>
  <c r="E130" i="3"/>
  <c r="E189"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E213" i="3"/>
  <c r="E361" i="3"/>
  <c r="E17" i="3"/>
  <c r="E503" i="3"/>
  <c r="E302" i="3"/>
  <c r="AY6"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F27" i="6"/>
  <c r="F31" i="6" s="1"/>
  <c r="E56" i="39"/>
  <c r="E51" i="40"/>
  <c r="E12" i="6"/>
  <c r="E16" i="6" s="1"/>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AA13" i="43" s="1"/>
  <c r="J22" i="43"/>
  <c r="D19" i="12"/>
  <c r="C19" i="12" s="1"/>
  <c r="E6" i="6"/>
  <c r="D9" i="69"/>
  <c r="C9" i="69" s="1"/>
  <c r="C20" i="11"/>
  <c r="C28" i="11" s="1"/>
  <c r="C27" i="11" s="1"/>
  <c r="O11" i="1"/>
  <c r="P11"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69" i="3"/>
  <c r="E237" i="3"/>
  <c r="E114" i="3"/>
  <c r="E261" i="3"/>
  <c r="E278" i="3"/>
  <c r="E304" i="3"/>
  <c r="E415" i="3"/>
  <c r="E528" i="3"/>
  <c r="E563" i="3"/>
  <c r="E565" i="3"/>
  <c r="E395" i="3"/>
  <c r="E183" i="3"/>
  <c r="E56" i="40"/>
  <c r="O9" i="1"/>
  <c r="P9" i="1" s="1"/>
  <c r="O8" i="1"/>
  <c r="P8" i="1"/>
  <c r="C29" i="11"/>
  <c r="D27" i="11" s="1"/>
  <c r="E22" i="43"/>
  <c r="N101" i="43"/>
  <c r="F101" i="43"/>
  <c r="K101" i="43"/>
  <c r="AC21" i="21"/>
  <c r="W44" i="21"/>
  <c r="F123" i="21"/>
  <c r="G123" i="21" s="1"/>
  <c r="H123" i="21" s="1"/>
  <c r="I123" i="21" s="1"/>
  <c r="J123" i="21" s="1"/>
  <c r="K123" i="21" s="1"/>
  <c r="L123" i="21" s="1"/>
  <c r="M123" i="21" s="1"/>
  <c r="H42" i="21"/>
  <c r="AB38" i="21"/>
  <c r="U32"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7" i="74"/>
  <c r="D8" i="74"/>
  <c r="C8" i="74"/>
  <c r="C7" i="74"/>
  <c r="S42" i="21"/>
  <c r="AA25" i="21"/>
  <c r="U26" i="21"/>
  <c r="AA23" i="21"/>
  <c r="W17" i="21"/>
  <c r="G16" i="1"/>
  <c r="F10" i="40" s="1"/>
  <c r="C34" i="43"/>
  <c r="T10" i="43"/>
  <c r="V10" i="43" s="1"/>
  <c r="C33" i="43"/>
  <c r="T16" i="43"/>
  <c r="V16" i="43" s="1"/>
  <c r="T13" i="43"/>
  <c r="V13" i="43" s="1"/>
  <c r="T8" i="43"/>
  <c r="V8" i="43" s="1"/>
  <c r="C39" i="43"/>
  <c r="T11" i="43"/>
  <c r="V11" i="43" s="1"/>
  <c r="T12" i="43"/>
  <c r="V12" i="43" s="1"/>
  <c r="T9" i="43"/>
  <c r="V9" i="43" s="1"/>
  <c r="T15" i="43"/>
  <c r="V15" i="43" s="1"/>
  <c r="C37" i="43"/>
  <c r="E37" i="43" s="1"/>
  <c r="C35" i="43"/>
  <c r="E35" i="43" s="1"/>
  <c r="C36" i="43"/>
  <c r="E36" i="43" s="1"/>
  <c r="C38" i="43"/>
  <c r="H7" i="40"/>
  <c r="J7" i="40"/>
  <c r="F7" i="40"/>
  <c r="J70" i="39"/>
  <c r="K68" i="39"/>
  <c r="H58" i="21"/>
  <c r="I58" i="21" s="1"/>
  <c r="J58" i="21" s="1"/>
  <c r="K58" i="21" s="1"/>
  <c r="L58" i="21" s="1"/>
  <c r="M58" i="21" s="1"/>
  <c r="N58" i="21" s="1"/>
  <c r="O58" i="21" s="1"/>
  <c r="H7" i="21"/>
  <c r="I52" i="33"/>
  <c r="J52" i="33" s="1"/>
  <c r="F59" i="34"/>
  <c r="S7" i="33"/>
  <c r="AA7" i="33"/>
  <c r="R48" i="33" s="1"/>
  <c r="C9" i="68"/>
  <c r="D46" i="36"/>
  <c r="F7" i="21"/>
  <c r="J7" i="21"/>
  <c r="AB7" i="33"/>
  <c r="T48" i="33" s="1"/>
  <c r="G48" i="33" s="1"/>
  <c r="U7" i="33"/>
  <c r="E48" i="35"/>
  <c r="D52" i="37"/>
  <c r="K1" i="73"/>
  <c r="C6" i="15"/>
  <c r="F69" i="67"/>
  <c r="E20" i="43"/>
  <c r="F66" i="67"/>
  <c r="B10" i="70"/>
  <c r="B11" i="70"/>
  <c r="N59" i="15"/>
  <c r="L59" i="15"/>
  <c r="L58" i="15"/>
  <c r="M59" i="15"/>
  <c r="B8" i="70"/>
  <c r="F66" i="15"/>
  <c r="Q71" i="67"/>
  <c r="Q71" i="15"/>
  <c r="F64" i="15"/>
  <c r="F70" i="67"/>
  <c r="C6" i="67"/>
  <c r="F63" i="15"/>
  <c r="C62" i="15" s="1"/>
  <c r="C34" i="15"/>
  <c r="B6" i="70"/>
  <c r="B20" i="31"/>
  <c r="C27" i="67"/>
  <c r="J57" i="15"/>
  <c r="J55" i="15" s="1"/>
  <c r="J58" i="15" s="1"/>
  <c r="Q50" i="15" s="1"/>
  <c r="I54" i="15"/>
  <c r="J53" i="15"/>
  <c r="F71" i="67"/>
  <c r="C27" i="15"/>
  <c r="I1" i="73"/>
  <c r="B39" i="1" s="1"/>
  <c r="F51" i="67"/>
  <c r="F69" i="15"/>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7" i="15"/>
  <c r="G1" i="73"/>
  <c r="C14" i="15"/>
  <c r="C14" i="67"/>
  <c r="C17" i="67"/>
  <c r="C16" i="67"/>
  <c r="C16" i="15"/>
  <c r="G35" i="43" l="1"/>
  <c r="I35" i="43" s="1"/>
  <c r="C29" i="68"/>
  <c r="D27" i="68" s="1"/>
  <c r="K4" i="4"/>
  <c r="B46" i="48" s="1"/>
  <c r="B4" i="72" s="1"/>
  <c r="C14" i="12"/>
  <c r="C29" i="69"/>
  <c r="D27" i="69" s="1"/>
  <c r="E27" i="6"/>
  <c r="M14" i="1"/>
  <c r="C34" i="69"/>
  <c r="H10"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10" i="39"/>
  <c r="E57" i="40"/>
  <c r="E62" i="39"/>
  <c r="E66" i="39" s="1"/>
  <c r="D12" i="6"/>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 i="11"/>
  <c r="C10" i="11" s="1"/>
  <c r="D20" i="12"/>
  <c r="C20" i="12" s="1"/>
  <c r="C18" i="12" s="1"/>
  <c r="D6" i="6"/>
  <c r="D10" i="69"/>
  <c r="D10" i="68"/>
  <c r="AC6" i="3"/>
  <c r="E6" i="3" s="1"/>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G37" i="43"/>
  <c r="I37" i="43" s="1"/>
  <c r="J10" i="39"/>
  <c r="J10" i="40"/>
  <c r="H10" i="39"/>
  <c r="G38" i="43"/>
  <c r="I38" i="43" s="1"/>
  <c r="E38" i="43"/>
  <c r="E39" i="43"/>
  <c r="G39" i="43"/>
  <c r="I39" i="43" s="1"/>
  <c r="E33" i="43"/>
  <c r="G33" i="43"/>
  <c r="I33" i="43" s="1"/>
  <c r="E34" i="43"/>
  <c r="G34" i="43"/>
  <c r="I34" i="43" s="1"/>
  <c r="E52" i="37"/>
  <c r="C49" i="15"/>
  <c r="AB10" i="40"/>
  <c r="U10" i="40"/>
  <c r="AA10" i="39"/>
  <c r="S10" i="39"/>
  <c r="F48" i="35"/>
  <c r="G52" i="33"/>
  <c r="H52" i="33" s="1"/>
  <c r="G53" i="33"/>
  <c r="H53" i="33" s="1"/>
  <c r="S7" i="21"/>
  <c r="AA7" i="21"/>
  <c r="R48" i="21" s="1"/>
  <c r="E46" i="36"/>
  <c r="AC7" i="40"/>
  <c r="V42" i="40" s="1"/>
  <c r="I42" i="40" s="1"/>
  <c r="W7" i="40"/>
  <c r="S10" i="40"/>
  <c r="AA10" i="40"/>
  <c r="W7" i="21"/>
  <c r="AC7" i="21"/>
  <c r="V48" i="21" s="1"/>
  <c r="I48" i="21" s="1"/>
  <c r="R49" i="33"/>
  <c r="E48" i="33"/>
  <c r="G59" i="34"/>
  <c r="H59" i="34" s="1"/>
  <c r="I59" i="34" s="1"/>
  <c r="J59" i="34" s="1"/>
  <c r="K59" i="34" s="1"/>
  <c r="L59" i="34" s="1"/>
  <c r="M59" i="34" s="1"/>
  <c r="N59" i="34" s="1"/>
  <c r="O59" i="34" s="1"/>
  <c r="H7" i="34"/>
  <c r="AB7" i="21"/>
  <c r="T48" i="21" s="1"/>
  <c r="G48" i="21" s="1"/>
  <c r="U7" i="21"/>
  <c r="K70" i="39"/>
  <c r="L68" i="39"/>
  <c r="AA7" i="40"/>
  <c r="R42" i="40" s="1"/>
  <c r="S7" i="40"/>
  <c r="U7" i="40"/>
  <c r="AB7" i="40"/>
  <c r="T42" i="40" s="1"/>
  <c r="G42" i="40" s="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C19" i="15" l="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D19" i="6"/>
  <c r="D15" i="6"/>
  <c r="D21" i="6"/>
  <c r="D20" i="6"/>
  <c r="D11" i="6"/>
  <c r="D29" i="6"/>
  <c r="D25" i="6"/>
  <c r="D22" i="6"/>
  <c r="D24" i="6"/>
  <c r="D28" i="6"/>
  <c r="D30" i="6" s="1"/>
  <c r="D9" i="6"/>
  <c r="D23" i="6"/>
  <c r="C18" i="4"/>
  <c r="D5" i="6"/>
  <c r="D10" i="6"/>
  <c r="H22" i="6"/>
  <c r="R22" i="6" s="1"/>
  <c r="E61" i="40"/>
  <c r="D13" i="6"/>
  <c r="D14" i="6"/>
  <c r="D8" i="6"/>
  <c r="D26" i="6"/>
  <c r="H23" i="6"/>
  <c r="R23" i="6" s="1"/>
  <c r="H25" i="6"/>
  <c r="R25" i="6" s="1"/>
  <c r="H26" i="6"/>
  <c r="H24" i="6"/>
  <c r="R24" i="6" s="1"/>
  <c r="H20" i="6"/>
  <c r="R20"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c r="C10" i="69"/>
  <c r="C8" i="69" s="1"/>
  <c r="C5" i="69" s="1"/>
  <c r="D19" i="69"/>
  <c r="C10" i="68"/>
  <c r="D19" i="68"/>
  <c r="AB10" i="39"/>
  <c r="U10" i="39"/>
  <c r="AC10" i="39"/>
  <c r="W10" i="39"/>
  <c r="AC10" i="40"/>
  <c r="W10" i="40"/>
  <c r="G47" i="40"/>
  <c r="H47" i="40" s="1"/>
  <c r="G46" i="40"/>
  <c r="H46" i="40" s="1"/>
  <c r="L70" i="39"/>
  <c r="M68" i="39"/>
  <c r="C19" i="67"/>
  <c r="C20" i="67" s="1"/>
  <c r="C26" i="67" s="1"/>
  <c r="E42" i="40"/>
  <c r="I47" i="40" s="1"/>
  <c r="J47" i="40" s="1"/>
  <c r="R43" i="40"/>
  <c r="G52" i="21"/>
  <c r="H52" i="21" s="1"/>
  <c r="G53" i="21"/>
  <c r="H53" i="21" s="1"/>
  <c r="F7" i="34"/>
  <c r="E53" i="33"/>
  <c r="F53" i="33" s="1"/>
  <c r="E52" i="33"/>
  <c r="F52" i="33" s="1"/>
  <c r="I53" i="33"/>
  <c r="J53" i="33" s="1"/>
  <c r="I52" i="21"/>
  <c r="J52" i="21" s="1"/>
  <c r="I46" i="40"/>
  <c r="J46" i="40" s="1"/>
  <c r="F46" i="36"/>
  <c r="G48" i="35"/>
  <c r="F52" i="37"/>
  <c r="AB7" i="34"/>
  <c r="T49" i="34" s="1"/>
  <c r="G49" i="34" s="1"/>
  <c r="U7" i="34"/>
  <c r="C49" i="33"/>
  <c r="B2" i="33" s="1"/>
  <c r="B3" i="33" s="1"/>
  <c r="C48" i="33"/>
  <c r="E48" i="21"/>
  <c r="R49" i="21"/>
  <c r="J7" i="34"/>
  <c r="C53" i="15"/>
  <c r="C48" i="15" s="1"/>
  <c r="C10" i="15"/>
  <c r="C5" i="15" s="1"/>
  <c r="J10" i="15"/>
  <c r="J5" i="15" s="1"/>
  <c r="J18" i="15"/>
  <c r="C20" i="15"/>
  <c r="C26" i="15" s="1"/>
  <c r="C10" i="67"/>
  <c r="C5" i="67" s="1"/>
  <c r="C53" i="67"/>
  <c r="C48" i="67" s="1"/>
  <c r="J5" i="67"/>
  <c r="J18" i="67"/>
  <c r="F24" i="67"/>
  <c r="C24" i="67" s="1"/>
  <c r="F25" i="12"/>
  <c r="F22" i="11"/>
  <c r="F24" i="15"/>
  <c r="C24" i="15" s="1"/>
  <c r="F22" i="68"/>
  <c r="F22" i="69"/>
  <c r="D27" i="6" l="1"/>
  <c r="C34" i="68"/>
  <c r="C34" i="11"/>
  <c r="L16" i="1"/>
  <c r="N16" i="1"/>
  <c r="D16" i="6"/>
  <c r="D31" i="6"/>
  <c r="I5" i="6" s="1"/>
  <c r="S21" i="6"/>
  <c r="H21" i="6"/>
  <c r="R21" i="6" s="1"/>
  <c r="S6" i="1"/>
  <c r="K27" i="6"/>
  <c r="M19" i="6"/>
  <c r="P14" i="1"/>
  <c r="P16" i="1" s="1"/>
  <c r="C11" i="12" s="1"/>
  <c r="O16" i="1"/>
  <c r="A7" i="51"/>
  <c r="B7" i="72" s="1"/>
  <c r="A10" i="51"/>
  <c r="B9" i="72" s="1"/>
  <c r="C4" i="52"/>
  <c r="B45" i="72" s="1"/>
  <c r="R26" i="6"/>
  <c r="I6" i="6"/>
  <c r="C30" i="43"/>
  <c r="E30" i="43" s="1"/>
  <c r="C27" i="43" s="1"/>
  <c r="E29" i="43"/>
  <c r="C26" i="43" s="1"/>
  <c r="C19" i="68"/>
  <c r="C20" i="68" s="1"/>
  <c r="C28" i="68" s="1"/>
  <c r="C27" i="68" s="1"/>
  <c r="D37" i="68"/>
  <c r="C37" i="68" s="1"/>
  <c r="D37" i="69"/>
  <c r="C37" i="69" s="1"/>
  <c r="C33" i="69" s="1"/>
  <c r="C42" i="69" s="1"/>
  <c r="C41" i="69" s="1"/>
  <c r="C19" i="69"/>
  <c r="C20" i="69" s="1"/>
  <c r="C49" i="21"/>
  <c r="C48" i="21"/>
  <c r="W7" i="34"/>
  <c r="AC7" i="34"/>
  <c r="V49" i="34" s="1"/>
  <c r="I49" i="34" s="1"/>
  <c r="E52" i="21"/>
  <c r="F52" i="21" s="1"/>
  <c r="E53" i="21"/>
  <c r="F53" i="21" s="1"/>
  <c r="H48" i="35"/>
  <c r="G46" i="36"/>
  <c r="E47" i="40"/>
  <c r="F47" i="40" s="1"/>
  <c r="E46" i="40"/>
  <c r="F46" i="40" s="1"/>
  <c r="M70" i="39"/>
  <c r="N68" i="39"/>
  <c r="G53" i="34"/>
  <c r="H53" i="34" s="1"/>
  <c r="G54" i="34"/>
  <c r="H54" i="34" s="1"/>
  <c r="G52" i="37"/>
  <c r="H52" i="37" s="1"/>
  <c r="I52" i="37" s="1"/>
  <c r="J52" i="37" s="1"/>
  <c r="K52" i="37" s="1"/>
  <c r="L52" i="37" s="1"/>
  <c r="M52" i="37" s="1"/>
  <c r="N52" i="37" s="1"/>
  <c r="O52" i="37" s="1"/>
  <c r="J7" i="37"/>
  <c r="F7" i="37"/>
  <c r="I53" i="21"/>
  <c r="J53" i="21" s="1"/>
  <c r="S7" i="34"/>
  <c r="AA7" i="34"/>
  <c r="R49" i="34" s="1"/>
  <c r="C42" i="40"/>
  <c r="C43" i="40"/>
  <c r="C60" i="67"/>
  <c r="C66" i="67"/>
  <c r="J26" i="15"/>
  <c r="J29" i="15" s="1"/>
  <c r="J24" i="15"/>
  <c r="C38" i="67"/>
  <c r="C23" i="15"/>
  <c r="C29" i="15" s="1"/>
  <c r="C38" i="15"/>
  <c r="C23" i="67"/>
  <c r="C29" i="67" s="1"/>
  <c r="C44" i="69"/>
  <c r="D41" i="69" s="1"/>
  <c r="C26" i="69"/>
  <c r="D22" i="69" s="1"/>
  <c r="C23" i="69"/>
  <c r="C26" i="12"/>
  <c r="D25" i="12" s="1"/>
  <c r="J24" i="67"/>
  <c r="J26" i="67"/>
  <c r="J29" i="67" s="1"/>
  <c r="C44" i="68"/>
  <c r="D41" i="68" s="1"/>
  <c r="C26" i="68"/>
  <c r="D22" i="68" s="1"/>
  <c r="C23" i="68"/>
  <c r="C25" i="68"/>
  <c r="C44" i="11"/>
  <c r="D41" i="11" s="1"/>
  <c r="C26" i="11"/>
  <c r="D22" i="11" s="1"/>
  <c r="C23" i="11"/>
  <c r="C24" i="11"/>
  <c r="C25" i="11"/>
  <c r="C60" i="15"/>
  <c r="C66" i="15"/>
  <c r="E6" i="76"/>
  <c r="B2" i="21" l="1"/>
  <c r="K25" i="9"/>
  <c r="K26" i="9" s="1"/>
  <c r="C24" i="68"/>
  <c r="C12" i="12"/>
  <c r="C15" i="12"/>
  <c r="F50" i="11"/>
  <c r="F50" i="69"/>
  <c r="F50" i="68"/>
  <c r="C38" i="11"/>
  <c r="C35" i="11"/>
  <c r="C33" i="11"/>
  <c r="M27" i="6"/>
  <c r="I19" i="6"/>
  <c r="S16" i="1"/>
  <c r="AQ6" i="1"/>
  <c r="AR6" i="1"/>
  <c r="T6" i="1"/>
  <c r="T16" i="1" s="1"/>
  <c r="C35" i="68"/>
  <c r="C38" i="68"/>
  <c r="C24" i="69"/>
  <c r="E2" i="76"/>
  <c r="B2" i="43"/>
  <c r="C28" i="69"/>
  <c r="C27" i="69" s="1"/>
  <c r="C25" i="69"/>
  <c r="C39" i="69"/>
  <c r="C43" i="69" s="1"/>
  <c r="B3" i="21"/>
  <c r="W7" i="37"/>
  <c r="AC7" i="37"/>
  <c r="V42" i="37" s="1"/>
  <c r="I42" i="37" s="1"/>
  <c r="O68" i="39"/>
  <c r="O70" i="39" s="1"/>
  <c r="N70" i="39"/>
  <c r="I53" i="34"/>
  <c r="J53" i="34" s="1"/>
  <c r="I54" i="34"/>
  <c r="J54" i="34" s="1"/>
  <c r="H7" i="37"/>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E49" i="34"/>
  <c r="R50" i="34"/>
  <c r="S7" i="37"/>
  <c r="AA7" i="37"/>
  <c r="R42" i="37" s="1"/>
  <c r="H7" i="39"/>
  <c r="F7" i="39"/>
  <c r="J7" i="39"/>
  <c r="H46" i="36"/>
  <c r="I48" i="35"/>
  <c r="C22" i="11"/>
  <c r="C31" i="11" s="1"/>
  <c r="C22" i="68"/>
  <c r="C31" i="68" s="1"/>
  <c r="C22" i="69"/>
  <c r="J14" i="15"/>
  <c r="C33" i="15"/>
  <c r="C31" i="15" s="1"/>
  <c r="C57" i="15"/>
  <c r="C36" i="15"/>
  <c r="J19" i="15"/>
  <c r="J17" i="15" s="1"/>
  <c r="Q49" i="15"/>
  <c r="C13" i="15"/>
  <c r="J59" i="15"/>
  <c r="J60" i="15" s="1"/>
  <c r="C57" i="67"/>
  <c r="C36" i="67"/>
  <c r="J19" i="67"/>
  <c r="J17" i="67" s="1"/>
  <c r="C13" i="67"/>
  <c r="J14" i="67"/>
  <c r="Q49" i="67"/>
  <c r="C33" i="67"/>
  <c r="C31" i="67" s="1"/>
  <c r="J59" i="67"/>
  <c r="J60" i="67" s="1"/>
  <c r="D20" i="9"/>
  <c r="C19" i="9"/>
  <c r="D19" i="9"/>
  <c r="C20" i="9"/>
  <c r="B6" i="76"/>
  <c r="D102" i="9" l="1"/>
  <c r="D21" i="9"/>
  <c r="D22" i="9"/>
  <c r="G19" i="9"/>
  <c r="G21" i="9" s="1"/>
  <c r="C102" i="9"/>
  <c r="C21" i="9"/>
  <c r="D103" i="9"/>
  <c r="C16" i="12"/>
  <c r="C21" i="12" s="1"/>
  <c r="C31" i="69"/>
  <c r="C33" i="68"/>
  <c r="C39" i="68" s="1"/>
  <c r="I27" i="6"/>
  <c r="H19" i="6"/>
  <c r="S19" i="6"/>
  <c r="S27" i="6" s="1"/>
  <c r="C39" i="11"/>
  <c r="C42" i="11"/>
  <c r="C41" i="11" s="1"/>
  <c r="C22" i="12"/>
  <c r="C27" i="12" s="1"/>
  <c r="C25" i="12" s="1"/>
  <c r="B2" i="76"/>
  <c r="B3" i="76" s="1"/>
  <c r="B3" i="43"/>
  <c r="C46" i="69"/>
  <c r="C45" i="69" s="1"/>
  <c r="C49" i="69" s="1"/>
  <c r="C51" i="69" s="1"/>
  <c r="C103" i="9"/>
  <c r="G20" i="9"/>
  <c r="AC7" i="39"/>
  <c r="V47" i="39" s="1"/>
  <c r="I47" i="39" s="1"/>
  <c r="W7" i="39"/>
  <c r="AB7" i="39"/>
  <c r="T47" i="39" s="1"/>
  <c r="G47" i="39" s="1"/>
  <c r="U7" i="39"/>
  <c r="C49" i="34"/>
  <c r="C50" i="34"/>
  <c r="B2" i="34" s="1"/>
  <c r="B3" i="34" s="1"/>
  <c r="I46" i="37"/>
  <c r="J46" i="37" s="1"/>
  <c r="J48" i="35"/>
  <c r="I46" i="36"/>
  <c r="S7" i="39"/>
  <c r="AA7" i="39"/>
  <c r="R47" i="39" s="1"/>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C32" i="9" l="1"/>
  <c r="H118" i="9" s="1"/>
  <c r="C52" i="69"/>
  <c r="C57" i="69" s="1"/>
  <c r="C56" i="69" s="1"/>
  <c r="C42" i="68"/>
  <c r="C41" i="68" s="1"/>
  <c r="C30" i="12"/>
  <c r="C28" i="12" s="1"/>
  <c r="C32" i="12" s="1"/>
  <c r="B2" i="12" s="1"/>
  <c r="B3" i="12" s="1"/>
  <c r="C46" i="11"/>
  <c r="C45" i="11" s="1"/>
  <c r="C49" i="11" s="1"/>
  <c r="C51" i="11" s="1"/>
  <c r="C43" i="11"/>
  <c r="R19" i="6"/>
  <c r="H27" i="6"/>
  <c r="C46" i="68"/>
  <c r="C45" i="68" s="1"/>
  <c r="C43" i="68"/>
  <c r="J16" i="15"/>
  <c r="J25" i="15" s="1"/>
  <c r="C58" i="15"/>
  <c r="C67" i="15" s="1"/>
  <c r="C68" i="15" s="1"/>
  <c r="C71" i="15" s="1"/>
  <c r="C43" i="37"/>
  <c r="B2" i="37" s="1"/>
  <c r="B3" i="37" s="1"/>
  <c r="C42" i="37"/>
  <c r="J16" i="67"/>
  <c r="J25" i="67" s="1"/>
  <c r="G46" i="37"/>
  <c r="H46" i="37" s="1"/>
  <c r="G47" i="37"/>
  <c r="H47" i="37" s="1"/>
  <c r="E47" i="37"/>
  <c r="F47" i="37" s="1"/>
  <c r="E46" i="37"/>
  <c r="F46" i="37" s="1"/>
  <c r="R48" i="39"/>
  <c r="E47" i="39"/>
  <c r="J46" i="36"/>
  <c r="K48" i="35"/>
  <c r="I47" i="37"/>
  <c r="J47" i="37" s="1"/>
  <c r="G51" i="39"/>
  <c r="H51" i="39" s="1"/>
  <c r="G52" i="39"/>
  <c r="H52" i="39" s="1"/>
  <c r="I52" i="39"/>
  <c r="J52" i="39" s="1"/>
  <c r="I51" i="39"/>
  <c r="J51" i="39" s="1"/>
  <c r="Q69" i="15"/>
  <c r="Q68" i="15" s="1"/>
  <c r="C40" i="15"/>
  <c r="C80" i="67"/>
  <c r="C79" i="67" s="1"/>
  <c r="C80" i="15"/>
  <c r="C79" i="15" s="1"/>
  <c r="C58" i="67"/>
  <c r="C67" i="67" s="1"/>
  <c r="C68" i="67" s="1"/>
  <c r="Q69" i="67"/>
  <c r="Q68" i="67" s="1"/>
  <c r="C40" i="67"/>
  <c r="L51" i="67"/>
  <c r="L51" i="15"/>
  <c r="B2" i="69" l="1"/>
  <c r="B3" i="69" s="1"/>
  <c r="C35" i="9"/>
  <c r="F118" i="9" s="1"/>
  <c r="F4" i="52" s="1"/>
  <c r="B51" i="72" s="1"/>
  <c r="C46" i="15"/>
  <c r="C49" i="68"/>
  <c r="C51" i="68" s="1"/>
  <c r="C52" i="68" s="1"/>
  <c r="B2" i="68" s="1"/>
  <c r="B3" i="68" s="1"/>
  <c r="C52" i="11"/>
  <c r="B2" i="11" s="1"/>
  <c r="B3" i="11" s="1"/>
  <c r="R6" i="1"/>
  <c r="R16" i="1" s="1"/>
  <c r="R27" i="6"/>
  <c r="C104" i="9"/>
  <c r="H119" i="9"/>
  <c r="H5" i="52" s="1"/>
  <c r="H101" i="9"/>
  <c r="I118" i="9"/>
  <c r="H4" i="52"/>
  <c r="D14" i="74"/>
  <c r="E52" i="39"/>
  <c r="F52" i="39" s="1"/>
  <c r="E51" i="39"/>
  <c r="F51" i="39" s="1"/>
  <c r="L48" i="35"/>
  <c r="K46" i="36"/>
  <c r="C48" i="39"/>
  <c r="C47" i="39"/>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F119" i="9" l="1"/>
  <c r="F5" i="52" s="1"/>
  <c r="B53" i="72" s="1"/>
  <c r="G118" i="9"/>
  <c r="G4" i="52" s="1"/>
  <c r="B52" i="72" s="1"/>
  <c r="C34" i="9"/>
  <c r="D118" i="9" s="1"/>
  <c r="C56" i="11"/>
  <c r="C57" i="11" s="1"/>
  <c r="C57" i="68"/>
  <c r="C56" i="68" s="1"/>
  <c r="D45" i="9"/>
  <c r="M48" i="9"/>
  <c r="D5" i="53"/>
  <c r="H107" i="9"/>
  <c r="E14" i="74"/>
  <c r="F14" i="74"/>
  <c r="B5" i="74"/>
  <c r="H102" i="9"/>
  <c r="D7" i="53" s="1"/>
  <c r="B21" i="72" s="1"/>
  <c r="C105" i="9"/>
  <c r="I4" i="5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L46" i="36"/>
  <c r="M48" i="35"/>
  <c r="B2" i="67"/>
  <c r="B3" i="67"/>
  <c r="Q66" i="15"/>
  <c r="Q57" i="15"/>
  <c r="Q66" i="67"/>
  <c r="Q75" i="67" s="1"/>
  <c r="Q57" i="67"/>
  <c r="Q62" i="67" s="1"/>
  <c r="Q75" i="15"/>
  <c r="Q62" i="15"/>
  <c r="E118" i="9" l="1"/>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C95" i="9" l="1"/>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C80" i="9" l="1"/>
  <c r="E80" i="9" s="1"/>
  <c r="E81" i="9" s="1"/>
  <c r="C6" i="74"/>
  <c r="D6" i="74"/>
  <c r="C96" i="9"/>
  <c r="E96" i="9" s="1"/>
  <c r="E97" i="9" s="1"/>
  <c r="AC7" i="35"/>
  <c r="V38" i="35" s="1"/>
  <c r="I38" i="35" s="1"/>
  <c r="W7" i="35"/>
  <c r="G41" i="36"/>
  <c r="H41" i="36" s="1"/>
  <c r="G40" i="36"/>
  <c r="H40" i="36" s="1"/>
  <c r="I40" i="36"/>
  <c r="J40" i="36" s="1"/>
  <c r="AA7" i="35"/>
  <c r="R38" i="35" s="1"/>
  <c r="S7" i="35"/>
  <c r="G43" i="35"/>
  <c r="H43" i="35" s="1"/>
  <c r="G42" i="35"/>
  <c r="H42" i="35" s="1"/>
  <c r="R37" i="36"/>
  <c r="E36" i="36"/>
  <c r="C97" i="9" l="1"/>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<sst xmlns="http://schemas.openxmlformats.org/spreadsheetml/2006/main" count="7368" uniqueCount="3129">
  <si>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</si>
  <si>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</si>
  <si>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</si>
  <si>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</si>
  <si>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</si>
  <si>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</si>
  <si>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</si>
  <si>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</si>
  <si>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</si>
  <si>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</si>
  <si>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</si>
  <si>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</si>
  <si>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</si>
  <si>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</si>
  <si>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</si>
  <si>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</si>
  <si>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</si>
  <si>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</si>
  <si>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</si>
  <si>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</si>
  <si>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</si>
  <si>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</si>
  <si>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</si>
  <si>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</si>
  <si>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</si>
  <si>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</si>
  <si>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</si>
  <si>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</si>
  <si>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</si>
  <si>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</si>
  <si>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</si>
  <si>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</si>
  <si>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</si>
  <si>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</si>
  <si>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</si>
  <si>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</si>
  <si>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</si>
  <si>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</si>
  <si>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</si>
  <si>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</si>
  <si>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</si>
  <si>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</si>
  <si>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</si>
  <si>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</si>
  <si>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</si>
  <si>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</si>
  <si>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</si>
  <si>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</si>
  <si>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</si>
  <si>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</si>
  <si>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</si>
  <si>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</si>
  <si>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</si>
  <si>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</si>
  <si>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</si>
  <si>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</si>
  <si>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</si>
  <si>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</si>
  <si>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</si>
  <si>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</si>
  <si>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</si>
  <si>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</si>
  <si>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</si>
  <si>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</si>
  <si>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</si>
  <si>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</si>
  <si>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</si>
  <si>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</si>
  <si>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</si>
  <si>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</si>
  <si>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</si>
  <si>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</si>
  <si>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</si>
  <si>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</si>
  <si>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</si>
  <si>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</si>
  <si>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</si>
  <si>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</si>
  <si>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</si>
  <si>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</si>
  <si>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</si>
  <si>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</si>
  <si>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</si>
  <si>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</si>
  <si>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</si>
  <si>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</si>
  <si>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</si>
  <si>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</si>
  <si>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</si>
  <si>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</si>
  <si>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</si>
  <si>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</si>
  <si>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</si>
  <si>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</si>
  <si>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</si>
  <si>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</si>
  <si>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</si>
  <si>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</si>
  <si>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</si>
  <si>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</si>
  <si>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</si>
  <si>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</si>
  <si>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</si>
  <si>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</si>
  <si>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</si>
  <si>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</si>
  <si>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</si>
  <si>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</si>
  <si>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</si>
  <si>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</si>
  <si>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</si>
  <si>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</si>
  <si>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</si>
  <si>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</si>
  <si>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</si>
  <si>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</si>
  <si>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</si>
  <si>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</si>
  <si>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</si>
  <si>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</si>
  <si>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</si>
  <si>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</si>
  <si>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</si>
  <si>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</si>
  <si>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</si>
  <si>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</si>
  <si>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</si>
  <si>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</si>
  <si>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</si>
  <si>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</si>
  <si>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</si>
  <si>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</si>
  <si>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</si>
  <si>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</si>
  <si>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</si>
  <si>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</si>
  <si>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</si>
  <si>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</si>
  <si>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</si>
  <si>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</si>
  <si>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</si>
  <si>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</si>
  <si>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</si>
  <si>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</si>
  <si>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</si>
  <si>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</si>
  <si>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</si>
  <si>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</si>
  <si>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</si>
  <si>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</si>
  <si>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</si>
  <si>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</si>
  <si>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</si>
  <si>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</si>
  <si>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</si>
  <si>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</si>
  <si>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</si>
  <si>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</si>
  <si>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</si>
  <si>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</si>
  <si>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</si>
  <si>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</si>
  <si>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</si>
  <si>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</si>
  <si>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</si>
  <si>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</si>
  <si>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</si>
  <si>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</si>
  <si>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</si>
  <si>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</si>
  <si>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</si>
  <si>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</si>
  <si>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</si>
  <si>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</si>
  <si>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</si>
  <si>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</si>
  <si>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</si>
  <si>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</si>
  <si>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</si>
  <si>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</si>
  <si>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</si>
  <si>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</si>
  <si>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</si>
  <si>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</si>
  <si>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</si>
  <si>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</si>
  <si>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</si>
  <si>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</si>
  <si>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</si>
  <si>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</si>
  <si>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</si>
  <si>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</si>
  <si>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</si>
  <si>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</si>
  <si>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</si>
  <si>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</si>
  <si>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</si>
  <si>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</si>
  <si>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</si>
  <si>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</si>
  <si>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</si>
  <si>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</si>
  <si>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</si>
  <si>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</si>
  <si>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</si>
  <si>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</si>
  <si>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</si>
  <si>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</si>
  <si>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</si>
  <si>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</si>
  <si>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</si>
  <si>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</si>
  <si>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</si>
  <si>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</si>
  <si>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</si>
  <si>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</si>
  <si>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</si>
  <si>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</si>
  <si>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</si>
  <si>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</si>
  <si>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</si>
  <si>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</si>
  <si>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</si>
  <si>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</si>
  <si>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</si>
  <si>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</si>
  <si>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</si>
  <si>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</si>
  <si>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</si>
  <si>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</si>
  <si>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</si>
  <si>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</si>
  <si>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</si>
  <si>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</si>
  <si>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</si>
  <si>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</si>
  <si>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</si>
  <si>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</si>
  <si>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</si>
  <si>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</si>
  <si>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</si>
  <si>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</si>
  <si>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</si>
  <si>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</si>
  <si>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</si>
  <si>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</si>
  <si>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</si>
  <si>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</si>
  <si>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</si>
  <si>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</si>
  <si>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</si>
  <si>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</si>
  <si>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</si>
  <si>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</si>
  <si>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</si>
  <si>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</si>
  <si>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</si>
  <si>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</si>
  <si>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</si>
  <si>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</si>
  <si>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</si>
  <si>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</si>
  <si>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</si>
  <si>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</si>
  <si>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</si>
  <si>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</si>
  <si>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</si>
  <si>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</si>
  <si>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</si>
  <si>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</si>
  <si>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</si>
  <si>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</si>
  <si>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</si>
  <si>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</si>
  <si>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</si>
  <si>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</si>
  <si>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</si>
  <si>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</si>
  <si>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</si>
  <si>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</si>
  <si>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</si>
  <si>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</si>
  <si>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</si>
  <si>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</si>
  <si>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</si>
  <si>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</si>
  <si>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</si>
  <si>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</si>
  <si>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</si>
  <si>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</si>
  <si>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</si>
  <si>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</si>
  <si>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</si>
  <si>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</si>
  <si>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</si>
  <si>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</si>
  <si>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</si>
  <si>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</si>
  <si>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</si>
  <si>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</si>
  <si>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</si>
  <si>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</si>
  <si>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</si>
  <si>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</si>
  <si>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</si>
  <si>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</si>
  <si>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</si>
  <si>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</si>
  <si>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</si>
  <si>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</si>
  <si>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</si>
  <si>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</si>
  <si>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</si>
  <si>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</si>
  <si>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</si>
  <si>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</si>
  <si>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</si>
  <si>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</si>
  <si>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</si>
  <si>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</si>
  <si>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</si>
  <si>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</si>
  <si>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</si>
  <si>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</si>
  <si>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</si>
  <si>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</si>
  <si>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</si>
  <si>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</si>
  <si>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</si>
  <si>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</si>
  <si>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</si>
  <si>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</si>
  <si>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</si>
  <si>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</si>
  <si>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</si>
  <si>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</si>
  <si>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</si>
  <si>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</si>
  <si>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</si>
  <si>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</si>
  <si>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</si>
  <si>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</si>
  <si>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</si>
  <si>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</si>
  <si>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</si>
  <si>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</si>
  <si>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</si>
  <si>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</si>
  <si>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</si>
  <si>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</si>
  <si>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</si>
  <si>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</si>
  <si>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</si>
  <si>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</si>
  <si>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</si>
  <si>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</si>
  <si>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</si>
  <si>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</si>
  <si>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</si>
  <si>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</si>
  <si>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</si>
  <si>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</si>
  <si>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</si>
  <si>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</si>
  <si>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</si>
  <si>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</si>
  <si>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</si>
  <si>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</si>
  <si>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</si>
  <si>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</si>
  <si>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</si>
  <si>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</si>
  <si>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</si>
  <si>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</si>
  <si>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</si>
  <si>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</si>
  <si>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</si>
  <si>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</si>
  <si>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</si>
  <si>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</si>
  <si>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</si>
  <si>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</si>
  <si>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</si>
  <si>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</si>
  <si>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</si>
  <si>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</si>
  <si>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</si>
  <si>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</si>
  <si>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</si>
  <si>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</si>
  <si>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</si>
  <si>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</si>
  <si>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</si>
  <si>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</si>
  <si>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</si>
  <si>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</si>
  <si>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</si>
  <si>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</si>
  <si>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</si>
  <si>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</si>
  <si>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</si>
  <si>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</si>
  <si>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</si>
  <si>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</si>
  <si>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</si>
  <si>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</si>
  <si>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</si>
  <si>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</si>
  <si>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</si>
  <si>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</si>
  <si>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</si>
  <si>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</si>
  <si>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</si>
  <si>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</si>
  <si>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</si>
  <si>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</si>
  <si>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</si>
  <si>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</si>
  <si>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</si>
  <si>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</si>
  <si>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</si>
  <si>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</si>
  <si>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</si>
  <si>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</si>
  <si>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</si>
  <si>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</si>
  <si>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</si>
  <si>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</si>
  <si>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</si>
  <si>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</si>
  <si>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</si>
  <si>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</si>
  <si>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</si>
  <si>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</si>
  <si>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</si>
  <si>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</si>
  <si>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</si>
  <si>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</si>
  <si>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</si>
  <si>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</si>
  <si>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</si>
  <si>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</si>
  <si>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</si>
  <si>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</si>
  <si>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</si>
  <si>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</si>
  <si>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</si>
  <si>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</si>
  <si>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</si>
  <si>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</si>
  <si>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</si>
  <si>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</si>
  <si>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</si>
  <si>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</si>
  <si>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</si>
  <si>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</si>
  <si>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</si>
  <si>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</si>
  <si>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</si>
  <si>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</si>
  <si>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</si>
  <si>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</si>
  <si>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</si>
  <si>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</si>
  <si>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</si>
  <si>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</si>
  <si>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</si>
  <si>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</si>
  <si>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</si>
  <si>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</si>
  <si>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</si>
  <si>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</si>
  <si>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</si>
  <si>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</si>
  <si>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</si>
  <si>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</si>
  <si>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</si>
  <si>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</si>
  <si>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</si>
  <si>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</si>
  <si>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</si>
  <si>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</si>
  <si>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</si>
  <si>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</si>
  <si>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</si>
  <si>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</si>
  <si>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</si>
  <si>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</si>
  <si>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</si>
  <si>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</si>
  <si>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</si>
  <si>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</si>
  <si>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</si>
  <si>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</si>
  <si>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</si>
  <si>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</si>
  <si>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</si>
  <si>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</si>
  <si>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</si>
  <si>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</si>
  <si>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</si>
  <si>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</si>
  <si>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</si>
  <si>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</si>
  <si>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</si>
  <si>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</si>
  <si>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</si>
  <si>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</si>
  <si>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</si>
  <si>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</si>
  <si>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</si>
  <si>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</si>
  <si>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</si>
  <si>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</si>
  <si>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</si>
  <si>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</si>
  <si>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</si>
  <si>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</si>
  <si>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</si>
  <si>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</si>
  <si>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</si>
  <si>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</si>
  <si>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</si>
  <si>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</si>
  <si>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</si>
  <si>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</si>
  <si>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</si>
  <si>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</si>
  <si>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</si>
  <si>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</si>
  <si>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</si>
  <si>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</si>
  <si>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</si>
  <si>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</si>
  <si>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</si>
  <si>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</si>
  <si>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</si>
  <si>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</si>
  <si>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</si>
  <si>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</si>
  <si>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</si>
  <si>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</si>
  <si>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</si>
  <si>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</si>
  <si>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</si>
  <si>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</si>
  <si>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</si>
  <si>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</si>
  <si>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</si>
  <si>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</si>
  <si>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</si>
  <si>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</si>
  <si>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</si>
  <si>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</si>
  <si>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</si>
  <si>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</si>
  <si>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</si>
  <si>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</si>
  <si>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</si>
  <si>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</si>
  <si>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</si>
  <si>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</si>
  <si>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</si>
  <si>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</si>
  <si>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</si>
  <si>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</si>
  <si>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</si>
  <si>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</si>
  <si>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</si>
  <si>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</si>
  <si>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</si>
  <si>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</si>
  <si>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</si>
  <si>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</si>
  <si>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</si>
  <si>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</si>
  <si>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</si>
  <si>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</si>
  <si>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</si>
  <si>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</si>
  <si>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</si>
  <si>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</si>
  <si>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</si>
  <si>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</si>
  <si>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</si>
  <si>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</si>
  <si>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</si>
  <si>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</si>
  <si>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</si>
  <si>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</si>
  <si>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</si>
  <si>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</si>
  <si>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</si>
  <si>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</si>
  <si>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</si>
  <si>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</si>
  <si>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</si>
  <si>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</si>
  <si>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</si>
  <si>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</si>
  <si>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</si>
  <si>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</si>
  <si>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</si>
  <si>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</si>
  <si>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</si>
  <si>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</si>
  <si>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</si>
  <si>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</si>
  <si>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</si>
  <si>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</si>
  <si>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</si>
  <si>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</si>
  <si>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</si>
  <si>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</si>
  <si>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</si>
  <si>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</si>
  <si>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</si>
  <si>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</si>
  <si>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</si>
  <si>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</si>
  <si>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</si>
  <si>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</si>
  <si>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</si>
  <si>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</si>
  <si>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</si>
  <si>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</si>
  <si>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</si>
  <si>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</si>
  <si>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</si>
  <si>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</si>
  <si>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</si>
  <si>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</si>
  <si>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</si>
  <si>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</si>
  <si>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</si>
  <si>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</si>
  <si>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</si>
  <si>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</si>
  <si>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</si>
  <si>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</si>
  <si>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</si>
  <si>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</si>
  <si>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</si>
  <si>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</si>
  <si>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</si>
  <si>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</si>
  <si>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</si>
  <si>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</si>
  <si>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</si>
  <si>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</si>
  <si>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</si>
  <si>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</si>
  <si>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</si>
  <si>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</si>
  <si>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</si>
  <si>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</si>
  <si>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</si>
  <si>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</si>
  <si>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</si>
  <si>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</si>
  <si>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</si>
  <si>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</si>
  <si>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</si>
  <si>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</si>
  <si>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</si>
  <si>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</si>
  <si>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</si>
  <si>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</si>
  <si>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</si>
  <si>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</si>
  <si>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</si>
  <si>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</si>
  <si>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</si>
  <si>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</si>
  <si>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</si>
  <si>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</si>
  <si>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</si>
  <si>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</si>
  <si>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</si>
  <si>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</si>
  <si>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</si>
  <si>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</si>
  <si>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</si>
  <si>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</si>
  <si>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</si>
  <si>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</si>
  <si>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</si>
  <si>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</si>
  <si>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</si>
  <si>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</si>
  <si>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</si>
  <si>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</si>
  <si>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</si>
  <si>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</si>
  <si>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</si>
  <si>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</si>
  <si>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</si>
  <si>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</si>
  <si>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</si>
  <si>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</si>
  <si>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</si>
  <si>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</si>
  <si>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</si>
  <si>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</si>
  <si>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</si>
  <si>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</si>
  <si>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</si>
  <si>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</si>
  <si>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</si>
  <si>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</si>
  <si>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</si>
  <si>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</si>
  <si>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</si>
  <si>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</si>
  <si>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</si>
  <si>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</si>
  <si>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</si>
  <si>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</si>
  <si>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</si>
  <si>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</si>
  <si>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</si>
  <si>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</si>
  <si>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</si>
  <si>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</si>
  <si>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</si>
  <si>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</si>
  <si>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</si>
  <si>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</si>
  <si>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</si>
  <si>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</si>
  <si>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</si>
  <si>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</si>
  <si>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</si>
  <si>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</si>
  <si>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</si>
  <si>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</si>
  <si>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</si>
  <si>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</si>
  <si>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</si>
  <si>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</si>
  <si>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</si>
  <si>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</si>
  <si>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</si>
  <si>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</si>
  <si>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</si>
  <si>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</si>
  <si>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</si>
  <si>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</si>
  <si>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</si>
  <si>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</si>
  <si>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</si>
  <si>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</si>
  <si>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</si>
  <si>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</si>
  <si>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</si>
  <si>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</si>
  <si>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</si>
  <si>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</si>
  <si>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</si>
  <si>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</si>
  <si>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</si>
  <si>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</si>
  <si>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</si>
  <si>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</si>
  <si>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</si>
  <si>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</si>
  <si>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</si>
  <si>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</si>
  <si>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</si>
  <si>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</si>
  <si>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</si>
  <si>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</si>
  <si>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</si>
  <si>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</si>
  <si>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</si>
  <si>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</si>
  <si>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</si>
  <si>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</si>
  <si>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</si>
  <si>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</si>
  <si>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</si>
  <si>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</si>
  <si>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</si>
  <si>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</si>
  <si>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</si>
  <si>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</si>
  <si>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</si>
  <si>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</si>
  <si>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</si>
  <si>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</si>
  <si>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</si>
  <si>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</si>
  <si>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</si>
  <si>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</si>
  <si>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</si>
  <si>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</si>
  <si>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</si>
  <si>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</si>
  <si>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</si>
  <si>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</si>
  <si>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</si>
  <si>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</si>
  <si>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</si>
  <si>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</si>
  <si>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</si>
  <si>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</si>
  <si>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</si>
  <si>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</si>
  <si>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</si>
  <si>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</si>
  <si>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</si>
  <si>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</si>
  <si>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</si>
  <si>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</si>
  <si>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</si>
  <si>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</si>
  <si>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</si>
  <si>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</si>
  <si>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</si>
  <si>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</si>
  <si>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</si>
  <si>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</si>
  <si>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</si>
  <si>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</si>
  <si>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</si>
  <si>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</si>
  <si>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</si>
  <si>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</si>
  <si>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</si>
  <si>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</si>
  <si>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</si>
  <si>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</si>
  <si>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</si>
  <si>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</si>
  <si>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</si>
  <si>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</si>
  <si>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</si>
  <si>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</si>
  <si>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</si>
  <si>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</si>
  <si>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</si>
  <si>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</si>
  <si>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</si>
  <si>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</si>
  <si>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</si>
  <si>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</si>
  <si>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</si>
  <si>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</si>
  <si>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</si>
  <si>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</si>
  <si>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</si>
  <si>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</si>
  <si>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</si>
  <si>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</si>
  <si>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</si>
  <si>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</si>
  <si>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</si>
  <si>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</si>
  <si>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</si>
  <si>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</si>
  <si>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</si>
  <si>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</si>
  <si>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</si>
  <si>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</si>
  <si>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</si>
  <si>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</si>
  <si>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</si>
  <si>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</si>
  <si>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</si>
  <si>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</si>
  <si>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</si>
  <si>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</si>
  <si>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</si>
  <si>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</si>
  <si>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</si>
  <si>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</si>
  <si>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</si>
  <si>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</si>
  <si>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</si>
  <si>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</si>
  <si>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</si>
  <si>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</si>
  <si>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</si>
  <si>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</si>
  <si>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</si>
  <si>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</si>
  <si>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</si>
  <si>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</si>
  <si>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</si>
  <si>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</si>
  <si>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</si>
  <si>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</si>
  <si>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</si>
  <si>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</si>
  <si>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</si>
  <si>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</si>
  <si>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</si>
  <si>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</si>
  <si>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</si>
  <si>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</si>
  <si>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</si>
  <si>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</si>
  <si>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</si>
  <si>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</si>
  <si>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</si>
  <si>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</si>
  <si>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</si>
  <si>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</si>
  <si>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</si>
  <si>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</si>
  <si>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</si>
  <si>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</si>
  <si>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</si>
  <si>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</si>
  <si>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</si>
  <si>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</si>
  <si>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</si>
  <si>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</si>
  <si>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</si>
  <si>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</si>
  <si>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</si>
  <si>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</si>
  <si>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</si>
  <si>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</si>
  <si>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</si>
  <si>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</si>
  <si>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</si>
  <si>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</si>
  <si>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</si>
  <si>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</si>
  <si>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</si>
  <si>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</si>
  <si>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</si>
  <si>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</si>
  <si>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</si>
  <si>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</si>
  <si>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</si>
  <si>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</si>
  <si>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</si>
  <si>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</si>
  <si>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</si>
  <si>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</si>
  <si>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</si>
  <si>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</si>
  <si>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</si>
  <si>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</si>
  <si>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</si>
  <si>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</si>
  <si>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</si>
  <si>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</si>
  <si>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</si>
  <si>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</si>
  <si>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</si>
  <si>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</si>
  <si>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</si>
  <si>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</si>
  <si>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</si>
  <si>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</si>
  <si>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</si>
  <si>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</si>
  <si>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</si>
  <si>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</si>
  <si>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</si>
  <si>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</si>
  <si>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</si>
  <si>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</si>
  <si>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</si>
  <si>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</si>
  <si>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</si>
  <si>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</si>
  <si>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</si>
  <si>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</si>
  <si>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</si>
  <si>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</si>
  <si>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</si>
  <si>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</si>
  <si>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</si>
  <si>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</si>
  <si>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</si>
  <si>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</si>
  <si>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</si>
  <si>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</si>
  <si>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</si>
  <si>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</si>
  <si>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</si>
  <si>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</si>
  <si>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</si>
  <si>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</si>
  <si>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</si>
  <si>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</si>
  <si>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</si>
  <si>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</si>
  <si>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</si>
  <si>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</si>
  <si>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</si>
  <si>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</si>
  <si>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</si>
  <si>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</si>
  <si>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</si>
  <si>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</si>
  <si>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</si>
  <si>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</si>
  <si>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</si>
  <si>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</si>
  <si>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</si>
  <si>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</si>
  <si>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</si>
  <si>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</si>
  <si>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</si>
  <si>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</si>
  <si>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</si>
  <si>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</si>
  <si>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</si>
  <si>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</si>
  <si>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</si>
  <si>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</si>
  <si>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</si>
  <si>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</si>
  <si>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</si>
  <si>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</si>
  <si>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</si>
  <si>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</si>
  <si>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</si>
  <si>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</si>
  <si>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</si>
  <si>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</si>
  <si>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</si>
  <si>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</si>
  <si>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</si>
  <si>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</si>
  <si>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</si>
  <si>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</si>
  <si>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</si>
  <si>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</si>
  <si>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</si>
  <si>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</si>
  <si>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</si>
  <si>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</si>
  <si>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</si>
  <si>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</si>
  <si>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</si>
  <si>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</si>
  <si>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</si>
  <si>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</si>
  <si>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</si>
  <si>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</si>
  <si>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</si>
  <si>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</si>
  <si>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</si>
  <si>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</si>
  <si>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</si>
  <si>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</si>
  <si>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</si>
  <si>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</si>
  <si>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</si>
  <si>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</si>
  <si>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</si>
  <si>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</si>
  <si>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</si>
  <si>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</si>
  <si>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</si>
  <si>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</si>
  <si>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</si>
  <si>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</si>
  <si>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</si>
  <si>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</si>
  <si>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</si>
  <si>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</si>
  <si>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</si>
  <si>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</si>
  <si>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</si>
  <si>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</si>
  <si>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</si>
  <si>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</si>
  <si>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</si>
  <si>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</si>
  <si>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</si>
  <si>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</si>
  <si>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</si>
  <si>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</si>
  <si>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</si>
  <si>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</si>
  <si>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</si>
  <si>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</si>
  <si>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</si>
  <si>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</si>
  <si>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</si>
  <si>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</si>
  <si>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</si>
  <si>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</si>
  <si>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</si>
  <si>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</si>
  <si>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</si>
  <si>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</si>
  <si>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</si>
  <si>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</si>
  <si>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</si>
  <si>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</si>
  <si>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</si>
  <si>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</si>
  <si>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</si>
  <si>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</si>
  <si>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</si>
  <si>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</si>
  <si>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</si>
  <si>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</si>
  <si>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</si>
  <si>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</si>
  <si>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</si>
  <si>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</si>
  <si>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</si>
  <si>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</si>
  <si>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</si>
  <si>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</si>
  <si>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</si>
  <si>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</si>
  <si>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</si>
  <si>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</si>
  <si>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</si>
  <si>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</si>
  <si>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</si>
  <si>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</si>
  <si>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</si>
  <si>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</si>
  <si>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</si>
  <si>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</si>
  <si>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</si>
  <si>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</si>
  <si>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</si>
  <si>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</si>
  <si>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</si>
  <si>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</si>
  <si>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</si>
  <si>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</si>
  <si>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</si>
  <si>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</si>
  <si>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</si>
  <si>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</si>
  <si>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</si>
  <si>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</si>
  <si>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</si>
  <si>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</si>
  <si>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</si>
  <si>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</si>
  <si>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</si>
  <si>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</si>
  <si>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</si>
  <si>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</si>
  <si>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</si>
  <si>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</si>
  <si>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</si>
  <si>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</si>
  <si>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</si>
  <si>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</si>
  <si>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</si>
  <si>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</si>
  <si>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</si>
  <si>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</si>
  <si>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</si>
  <si>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</si>
  <si>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</si>
  <si>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</si>
  <si>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</si>
  <si>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</si>
  <si>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</si>
  <si>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</si>
  <si>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</si>
  <si>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</si>
  <si>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</si>
  <si>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</si>
  <si>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</si>
  <si>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</si>
  <si>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</si>
  <si>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</si>
  <si>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</si>
  <si>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</si>
  <si>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</si>
  <si>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</si>
  <si>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</si>
  <si>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</si>
  <si>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</si>
  <si>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</si>
  <si>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</si>
  <si>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</si>
  <si>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</si>
  <si>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</si>
  <si>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</si>
  <si>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</si>
  <si>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</si>
  <si>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</si>
  <si>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</si>
  <si>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</si>
  <si>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</si>
  <si>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</si>
  <si>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</si>
  <si>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</si>
  <si>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</si>
  <si>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</si>
  <si>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</si>
  <si>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</si>
  <si>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</si>
  <si>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</si>
  <si>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</si>
  <si>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</si>
  <si>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</si>
  <si>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</si>
  <si>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</si>
  <si>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</si>
  <si>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</si>
  <si>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</si>
  <si>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</si>
  <si>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</si>
  <si>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</si>
  <si>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</si>
  <si>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</si>
  <si>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</si>
  <si>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</si>
  <si>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</si>
  <si>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</si>
  <si>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</si>
  <si>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</si>
  <si>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</si>
  <si>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</si>
  <si>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</si>
  <si>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</si>
  <si>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</si>
  <si>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</si>
  <si>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</si>
  <si>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</si>
  <si>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</si>
  <si>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</si>
  <si>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</si>
  <si>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</si>
  <si>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</si>
  <si>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</si>
  <si>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</si>
  <si>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</si>
  <si>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</si>
  <si>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</si>
  <si>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</si>
  <si>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</si>
  <si>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</si>
  <si>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</si>
  <si>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</si>
  <si>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</si>
  <si>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</si>
  <si>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</si>
  <si>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</si>
  <si>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</si>
  <si>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</si>
  <si>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</si>
  <si>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</si>
  <si>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</si>
  <si>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</si>
  <si>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</si>
  <si>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</si>
  <si>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</si>
  <si>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</si>
  <si>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</si>
  <si>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</si>
  <si>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</si>
  <si>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</si>
  <si>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</si>
  <si>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</si>
  <si>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</si>
  <si>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</si>
  <si>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</si>
  <si>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</si>
  <si>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</si>
  <si>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</si>
  <si>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</si>
  <si>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</si>
  <si>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</si>
  <si>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</si>
  <si>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</si>
  <si>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</si>
  <si>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</si>
  <si>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</si>
  <si>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</si>
  <si>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</si>
  <si>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</si>
  <si>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</si>
  <si>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</si>
  <si>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</si>
  <si>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</si>
  <si>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</si>
  <si>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</si>
  <si>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</si>
  <si>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</si>
  <si>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</si>
  <si>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</si>
  <si>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</si>
  <si>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</si>
  <si>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</si>
  <si>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</si>
  <si>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</si>
  <si>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</si>
  <si>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</si>
  <si>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</si>
  <si>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</si>
  <si>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</si>
  <si>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</si>
  <si>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</si>
  <si>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</si>
  <si>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</si>
  <si>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</si>
  <si>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</si>
  <si>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</si>
  <si>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</si>
  <si>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</si>
  <si>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</si>
  <si>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</si>
  <si>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</si>
  <si>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</si>
  <si>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</si>
  <si>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</si>
  <si>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</si>
  <si>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</si>
  <si>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</si>
  <si>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</si>
  <si>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</si>
  <si>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</si>
  <si>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</si>
  <si>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</si>
  <si>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</si>
  <si>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</si>
  <si>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</si>
  <si>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</si>
  <si>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</si>
  <si>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</si>
  <si>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</si>
  <si>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</si>
  <si>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</si>
  <si>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</si>
  <si>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</si>
  <si>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</si>
  <si>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</si>
  <si>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</si>
  <si>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</si>
  <si>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</si>
  <si>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</si>
  <si>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</si>
  <si>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</si>
  <si>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</si>
  <si>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</si>
  <si>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</si>
  <si>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</si>
  <si>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</si>
  <si>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</si>
  <si>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</si>
  <si>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</si>
  <si>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</si>
  <si>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</si>
  <si>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</si>
  <si>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</si>
  <si>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</si>
  <si>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</si>
  <si>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</si>
  <si>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</si>
  <si>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</si>
  <si>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</si>
  <si>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</si>
  <si>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</si>
  <si>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</si>
  <si>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</si>
  <si>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</si>
  <si>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</si>
  <si>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</si>
  <si>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</si>
  <si>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</si>
  <si>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</si>
  <si>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</si>
  <si>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</si>
  <si>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</si>
  <si>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</si>
  <si>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</si>
  <si>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</si>
  <si>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</si>
  <si>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</si>
  <si>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</si>
  <si>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</si>
  <si>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</si>
  <si>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</si>
  <si>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</si>
  <si>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</si>
  <si>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</si>
  <si>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</si>
  <si>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</si>
  <si>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</si>
  <si>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</si>
  <si>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</si>
  <si>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</si>
  <si>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</si>
  <si>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</si>
  <si>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</si>
  <si>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</si>
  <si>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</si>
  <si>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</si>
  <si>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</si>
  <si>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</si>
  <si>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</si>
  <si>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</si>
  <si>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</si>
  <si>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</si>
  <si>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</si>
  <si>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</si>
  <si>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</si>
  <si>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</si>
  <si>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</si>
  <si>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</si>
  <si>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</si>
  <si>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</si>
  <si>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</si>
  <si>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</si>
  <si>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</si>
  <si>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</si>
  <si>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</si>
  <si>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</si>
  <si>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</si>
  <si>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</si>
  <si>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</si>
  <si>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</si>
  <si>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</si>
  <si>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</si>
  <si>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</si>
  <si>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</si>
  <si>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</si>
  <si>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</si>
  <si>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</si>
  <si>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</si>
  <si>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</si>
  <si>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</si>
  <si>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</si>
  <si>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</si>
  <si>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</si>
  <si>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</si>
  <si>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</si>
  <si>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</si>
  <si>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</si>
  <si>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</si>
  <si>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</si>
  <si>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</si>
  <si>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</si>
  <si>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</si>
  <si>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</si>
  <si>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</si>
  <si>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</si>
  <si>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</si>
  <si>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</si>
  <si>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</si>
  <si>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</si>
  <si>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</si>
  <si>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</si>
  <si>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</si>
  <si>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</si>
  <si>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</si>
  <si>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</si>
  <si>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</si>
  <si>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</si>
  <si>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</si>
  <si>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</si>
  <si>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</si>
  <si>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</si>
  <si>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</si>
  <si>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</si>
  <si>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</si>
  <si>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</si>
  <si>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</si>
  <si>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</si>
  <si>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</si>
  <si>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</si>
  <si>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</si>
  <si>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</si>
  <si>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</si>
  <si>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</si>
  <si>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</si>
  <si>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</si>
  <si>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</si>
  <si>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</si>
  <si>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</si>
  <si>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</si>
  <si>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</si>
  <si>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</si>
  <si>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</si>
  <si>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</si>
  <si>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</si>
  <si>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</si>
  <si>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</si>
  <si>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</si>
  <si>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</si>
  <si>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</si>
  <si>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</si>
  <si>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</si>
  <si>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</si>
  <si>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</si>
  <si>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</si>
  <si>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</si>
  <si>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</si>
  <si>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</si>
  <si>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</si>
  <si>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</si>
  <si>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</si>
  <si>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</si>
  <si>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</si>
  <si>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</si>
  <si>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</si>
  <si>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</si>
  <si>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</si>
  <si>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</si>
  <si>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</si>
  <si>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</si>
  <si>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</si>
  <si>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</si>
  <si>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</si>
  <si>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</si>
  <si>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</si>
  <si>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</si>
  <si>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</si>
  <si>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</si>
  <si>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</si>
  <si>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</si>
  <si>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</si>
  <si>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</si>
  <si>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</si>
  <si>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</si>
  <si>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</si>
  <si>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</si>
  <si>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</si>
  <si>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</si>
  <si>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</si>
  <si>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</si>
  <si>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</si>
  <si>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</si>
  <si>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</si>
  <si>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</si>
  <si>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</si>
  <si>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</si>
  <si>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</si>
  <si>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</si>
  <si>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</si>
  <si>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</si>
  <si>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</si>
  <si>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</si>
  <si>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</si>
  <si>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</si>
  <si>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</si>
  <si>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</si>
  <si>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</si>
  <si>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</si>
  <si>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</si>
  <si>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</si>
  <si>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</si>
  <si>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</si>
  <si>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</si>
  <si>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</si>
  <si>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</si>
  <si>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</si>
  <si>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</si>
  <si>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</si>
  <si>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</si>
  <si>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</si>
  <si>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</si>
  <si>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</si>
  <si>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</si>
  <si>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</si>
  <si>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</si>
  <si>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</si>
  <si>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</si>
  <si>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</si>
  <si>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</si>
  <si>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</si>
  <si>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</si>
  <si>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</si>
  <si>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</si>
  <si>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</si>
  <si>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</si>
  <si>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</si>
  <si>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</si>
  <si>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</si>
  <si>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</si>
  <si>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</si>
  <si>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</si>
  <si>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</si>
  <si>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</si>
  <si>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</si>
  <si>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</si>
  <si>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</si>
  <si>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</si>
  <si>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</si>
  <si>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</si>
  <si>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</si>
  <si>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</si>
  <si>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</si>
  <si>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</si>
  <si>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</si>
  <si>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</si>
  <si>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</si>
  <si>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</si>
  <si>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</si>
  <si>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</si>
  <si>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</si>
  <si>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</si>
  <si>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</si>
  <si>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</si>
  <si>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</si>
  <si>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</si>
  <si>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</si>
  <si>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</si>
  <si>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</si>
  <si>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</si>
  <si>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</si>
  <si>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</si>
  <si>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</si>
  <si>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</si>
  <si>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</si>
  <si>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</si>
  <si>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</si>
  <si>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</si>
  <si>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</si>
  <si>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</si>
  <si>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</si>
  <si>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</si>
  <si>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</si>
  <si>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</si>
  <si>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</si>
  <si>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</si>
  <si>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</si>
  <si>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</si>
  <si>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</si>
  <si>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</si>
  <si>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</si>
  <si>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</si>
  <si>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</si>
  <si>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</si>
  <si>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</si>
  <si>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</si>
  <si>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</si>
  <si>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</si>
  <si>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</si>
  <si>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</si>
  <si>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</si>
  <si>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</si>
  <si>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</si>
  <si>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</si>
  <si>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</si>
  <si>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</si>
  <si>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</si>
  <si>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</si>
  <si>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</si>
  <si>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</si>
  <si>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</si>
  <si>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</si>
  <si>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</si>
  <si>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</si>
  <si>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</si>
  <si>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</si>
  <si>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</si>
  <si>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</si>
  <si>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</si>
  <si>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</si>
  <si>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</si>
  <si>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</si>
  <si>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</si>
  <si>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</si>
  <si>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</si>
  <si>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</si>
  <si>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</si>
  <si>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</si>
  <si>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</si>
  <si>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</si>
  <si>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</si>
  <si>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</si>
  <si>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</si>
  <si>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</si>
  <si>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</si>
  <si>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</si>
  <si>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</si>
  <si>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</si>
  <si>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</si>
  <si>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</si>
  <si>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</si>
  <si>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</si>
  <si>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</si>
  <si>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</si>
  <si>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</si>
  <si>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</si>
  <si>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</si>
  <si>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</si>
  <si>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</si>
  <si>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</si>
  <si>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</si>
  <si>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</si>
  <si>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</si>
  <si>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</si>
  <si>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</si>
  <si>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</si>
  <si>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</si>
  <si>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</si>
  <si>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</si>
  <si>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</si>
  <si>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</si>
  <si>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</si>
  <si>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</si>
  <si>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</si>
  <si>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</si>
  <si>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</si>
  <si>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</si>
  <si>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</si>
  <si>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</si>
  <si>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</si>
  <si>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</si>
  <si>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</si>
  <si>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</si>
  <si>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</si>
  <si>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</si>
  <si>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</si>
  <si>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</si>
  <si>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</si>
  <si>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</si>
  <si>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</si>
  <si>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</si>
  <si>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</si>
  <si>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</si>
  <si>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</si>
  <si>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</si>
  <si>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</si>
  <si>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</si>
  <si>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</si>
  <si>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</si>
  <si>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</si>
  <si>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</si>
  <si>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</si>
  <si>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</si>
  <si>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</si>
  <si>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</si>
  <si>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</si>
  <si>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</si>
  <si>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</si>
  <si>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</si>
  <si>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</si>
  <si>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</si>
  <si>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</si>
  <si>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</si>
  <si>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</si>
  <si>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</si>
  <si>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</si>
  <si>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</si>
  <si>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</si>
  <si>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</si>
  <si>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</si>
  <si>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</si>
  <si>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</si>
  <si>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</si>
  <si>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</si>
  <si>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</si>
  <si>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</si>
  <si>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</si>
  <si>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</si>
  <si>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</si>
  <si>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</si>
  <si>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</si>
  <si>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</si>
  <si>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</si>
  <si>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</si>
  <si>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</si>
  <si>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</si>
  <si>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</si>
  <si>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</si>
  <si>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</si>
  <si>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</si>
  <si>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</si>
  <si>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</si>
  <si>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</si>
  <si>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</si>
  <si>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</si>
  <si>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</si>
  <si>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</si>
  <si>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</si>
  <si>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</si>
  <si>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</si>
  <si>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</si>
  <si>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</si>
  <si>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</si>
  <si>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</si>
  <si>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</si>
  <si>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</si>
  <si>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</si>
  <si>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</si>
  <si>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</si>
  <si>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</si>
  <si>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</si>
  <si>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</si>
  <si>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</si>
  <si>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</si>
  <si>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</si>
  <si>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</si>
  <si>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</si>
  <si>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</si>
  <si>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</si>
  <si>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</si>
  <si>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</si>
  <si>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</si>
  <si>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</si>
  <si>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</si>
  <si>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</si>
  <si>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</si>
  <si>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</si>
  <si>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</si>
  <si>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</si>
  <si>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</si>
  <si>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</si>
  <si>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</si>
  <si>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</si>
  <si>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</si>
  <si>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</si>
  <si>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</si>
  <si>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</si>
  <si>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</si>
  <si>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</si>
  <si>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</si>
  <si>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</si>
  <si>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</si>
  <si>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</si>
  <si>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</si>
  <si>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</si>
  <si>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</si>
  <si>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</si>
  <si>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</si>
  <si>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</si>
  <si>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</si>
  <si>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</si>
  <si>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</si>
  <si>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</si>
  <si>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</si>
  <si>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</si>
  <si>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</si>
  <si>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</si>
  <si>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</si>
  <si>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</si>
  <si>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</si>
  <si>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</si>
  <si>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</si>
  <si>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</si>
  <si>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</si>
  <si>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</si>
  <si>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</si>
  <si>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</si>
  <si>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</si>
  <si>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</si>
  <si>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</si>
  <si>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</si>
  <si>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</si>
  <si>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</si>
  <si>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</si>
  <si>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</si>
  <si>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</si>
  <si>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</si>
  <si>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</si>
  <si>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</si>
  <si>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</si>
  <si>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</si>
  <si>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</si>
  <si>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</si>
  <si>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</si>
  <si>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</si>
  <si>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</si>
  <si>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</si>
  <si>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</si>
  <si>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</si>
  <si>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</si>
  <si>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</si>
  <si>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</si>
  <si>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</si>
  <si>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</si>
  <si>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</si>
  <si>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</si>
  <si>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</si>
  <si>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</si>
  <si>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</si>
  <si>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</si>
  <si>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</si>
  <si>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</si>
  <si>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</si>
  <si>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</si>
  <si>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</si>
  <si>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</si>
  <si>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</si>
  <si>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</si>
  <si>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</si>
  <si>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</si>
  <si>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</si>
  <si>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</si>
  <si>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</si>
  <si>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</si>
  <si>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</si>
  <si>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</si>
  <si>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</si>
  <si>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</si>
  <si>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</si>
  <si>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</si>
  <si>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</si>
  <si>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</si>
  <si>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</si>
  <si>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</si>
  <si>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</si>
  <si>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</si>
  <si>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</si>
  <si>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</si>
  <si>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</si>
  <si>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</si>
  <si>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</si>
  <si>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</si>
  <si>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</si>
  <si>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</si>
  <si>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</si>
  <si>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</si>
  <si>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</si>
  <si>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</si>
  <si>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</si>
  <si>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</si>
  <si>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</si>
  <si>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</si>
  <si>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</si>
  <si>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</si>
  <si>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</si>
  <si>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</si>
  <si>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</si>
  <si>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</si>
  <si>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</si>
  <si>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</si>
  <si>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</si>
  <si>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</si>
  <si>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</si>
  <si>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</si>
  <si>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</si>
  <si>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</si>
  <si>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</si>
  <si>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</si>
  <si>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</si>
  <si>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</si>
  <si>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</si>
  <si>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</si>
  <si>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</si>
  <si>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</si>
  <si>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</si>
  <si>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</si>
  <si>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</si>
  <si>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</si>
  <si>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</si>
  <si>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</si>
  <si>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</si>
  <si>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</si>
  <si>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</si>
  <si>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</si>
  <si>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</si>
  <si>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</si>
  <si>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</si>
  <si>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</si>
  <si>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</si>
  <si>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</si>
  <si>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</si>
  <si>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</si>
  <si>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</si>
  <si>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</si>
  <si>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</si>
  <si>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</si>
  <si>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</si>
  <si>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</si>
  <si>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</si>
  <si>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</si>
  <si>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</si>
  <si>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</si>
  <si>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</si>
  <si>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</si>
  <si>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</si>
  <si>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</si>
  <si>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</si>
  <si>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</si>
  <si>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</si>
  <si>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</si>
  <si>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</si>
  <si>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</si>
  <si>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</si>
  <si>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</si>
  <si>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</si>
  <si>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</si>
  <si>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</si>
  <si>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</si>
  <si>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</si>
  <si>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</si>
  <si>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</si>
  <si>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</si>
  <si>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</si>
  <si>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</si>
  <si>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</si>
  <si>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</si>
  <si>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</si>
  <si>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</si>
  <si>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</si>
  <si>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</si>
  <si>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</si>
  <si>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</si>
  <si>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</si>
  <si>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</si>
  <si>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</si>
  <si>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</si>
  <si>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</si>
  <si>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</si>
  <si>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</si>
  <si>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</si>
  <si>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</si>
  <si>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</si>
  <si>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</si>
  <si>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</si>
  <si>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</si>
  <si>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</si>
  <si>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</si>
  <si>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</si>
  <si>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</si>
  <si>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</si>
  <si>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</si>
  <si>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</si>
  <si>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</si>
  <si>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</si>
  <si>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</si>
  <si>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</si>
  <si>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</si>
  <si>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</si>
  <si>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</si>
  <si>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</si>
  <si>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</si>
  <si>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</si>
  <si>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</si>
  <si>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</si>
  <si>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</si>
  <si>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</si>
  <si>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</si>
  <si>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</si>
  <si>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</si>
  <si>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</si>
  <si>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</si>
  <si>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</si>
  <si>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</si>
  <si>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</si>
  <si>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</si>
  <si>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</si>
  <si>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</si>
  <si>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</si>
  <si>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</si>
  <si>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</si>
  <si>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</si>
  <si>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</si>
  <si>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</si>
  <si>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</si>
  <si>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</si>
  <si>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</si>
  <si>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</si>
  <si>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</si>
  <si>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</si>
  <si>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</si>
  <si>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</si>
  <si>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</si>
  <si>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</si>
  <si>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</si>
  <si>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</si>
  <si>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</si>
  <si>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</si>
  <si>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</si>
  <si>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</si>
  <si>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</si>
  <si>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</si>
  <si>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</si>
  <si>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</si>
  <si>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</si>
  <si>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</si>
  <si>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</si>
  <si>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</si>
  <si>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</si>
  <si>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</si>
  <si>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</si>
  <si>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</si>
  <si>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</si>
  <si>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</si>
  <si>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</si>
  <si>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</si>
  <si>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</si>
  <si>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</si>
  <si>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</si>
  <si>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</si>
  <si>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</si>
  <si>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</si>
  <si>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</si>
  <si>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</si>
  <si>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</si>
  <si>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</si>
  <si>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</si>
  <si>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</si>
  <si>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</si>
  <si>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</si>
  <si>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</si>
  <si>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</si>
  <si>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</si>
  <si>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</si>
  <si>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</si>
  <si>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</si>
  <si>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</si>
  <si>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</si>
  <si>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</si>
  <si>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</si>
  <si>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</si>
  <si>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</si>
  <si>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</si>
  <si>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</si>
  <si>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</si>
  <si>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</si>
  <si>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</si>
  <si>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</si>
  <si>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</si>
  <si>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</si>
  <si>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</si>
  <si>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</si>
  <si>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</si>
  <si>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</si>
  <si>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</si>
  <si>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</si>
  <si>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</si>
  <si>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</si>
  <si>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</si>
  <si>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</si>
  <si>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</si>
  <si>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</si>
  <si>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</si>
  <si>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</si>
  <si>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</si>
  <si>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</si>
  <si>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</si>
  <si>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</si>
  <si>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</si>
  <si>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</si>
  <si>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</si>
  <si>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</si>
  <si>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</si>
  <si>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</si>
  <si>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</si>
  <si>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</si>
  <si>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</si>
  <si>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</si>
  <si>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</si>
  <si>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</si>
  <si>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</si>
  <si>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</si>
  <si>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</si>
  <si>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</si>
  <si>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</si>
  <si>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</si>
  <si>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</si>
  <si>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</si>
  <si>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</si>
  <si>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</si>
  <si>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</si>
  <si>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</si>
  <si>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</si>
  <si>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</si>
  <si>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</si>
  <si>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</si>
  <si>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</si>
  <si>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</si>
  <si>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</si>
  <si>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</si>
  <si>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</si>
  <si>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</si>
  <si>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</si>
  <si>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</si>
  <si>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</si>
  <si>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</si>
  <si>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</si>
  <si>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</si>
  <si>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</si>
  <si>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</si>
  <si>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</si>
  <si>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</si>
  <si>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</si>
  <si>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</si>
  <si>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</si>
  <si>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</si>
  <si>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</si>
  <si>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</si>
  <si>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</si>
  <si>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</si>
  <si>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</si>
  <si>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</si>
  <si>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</si>
  <si>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</si>
  <si>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</si>
  <si>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</si>
  <si>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</si>
  <si>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</si>
  <si>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</si>
  <si>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</si>
  <si>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</si>
  <si>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</si>
  <si>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</si>
  <si>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</si>
  <si>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</si>
  <si>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</si>
  <si>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</si>
  <si>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</si>
  <si>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</si>
  <si>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</si>
  <si>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</si>
  <si>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</si>
  <si>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</si>
  <si>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</si>
  <si>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</si>
  <si>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</si>
  <si>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</si>
  <si>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</si>
  <si>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</si>
  <si>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</si>
  <si>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</si>
  <si>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</si>
  <si>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</si>
  <si>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</si>
  <si>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</si>
  <si>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</si>
  <si>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</si>
  <si>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</si>
  <si>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</si>
  <si>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</si>
  <si>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</si>
  <si>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</si>
  <si>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</si>
  <si>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</si>
  <si>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</si>
  <si>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</si>
  <si>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</si>
  <si>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</si>
  <si>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</si>
  <si>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</si>
  <si>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</si>
  <si>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</si>
  <si>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</si>
  <si>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</si>
  <si>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</si>
  <si>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</si>
  <si>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</si>
  <si>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</si>
  <si>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</si>
  <si>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</si>
  <si>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</si>
  <si>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</si>
  <si>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</si>
  <si>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</si>
  <si>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</si>
  <si>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</si>
  <si>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</si>
  <si>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</si>
  <si>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</si>
  <si>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</si>
  <si>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</si>
  <si>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</si>
  <si>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</si>
  <si>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</si>
  <si>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</si>
  <si>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</si>
  <si>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</si>
  <si>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</si>
  <si>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</si>
  <si>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</si>
  <si>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</si>
  <si>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</si>
  <si>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</si>
  <si>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</si>
  <si>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</si>
  <si>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</si>
  <si>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</si>
  <si>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</si>
  <si>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</si>
  <si>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</si>
  <si>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</si>
  <si>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</si>
  <si>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</si>
  <si>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</si>
  <si>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</si>
  <si>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</si>
  <si>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</si>
  <si>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</si>
  <si>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</si>
  <si>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</si>
  <si>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</si>
  <si>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</si>
  <si>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</si>
  <si>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</si>
  <si>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</si>
  <si>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</si>
  <si>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</si>
  <si>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</si>
  <si>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</si>
  <si>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</si>
  <si>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</si>
  <si>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</si>
  <si>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</si>
  <si>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</si>
  <si>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</si>
  <si>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</si>
  <si>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</si>
  <si>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</si>
  <si>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</si>
  <si>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</si>
  <si>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</si>
  <si>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</si>
  <si>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</si>
  <si>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</si>
  <si>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</si>
  <si>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</si>
  <si>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</si>
  <si>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</si>
  <si>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</si>
  <si>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</si>
  <si>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</si>
  <si>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</si>
  <si>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</si>
  <si>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</si>
  <si>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</si>
  <si>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</si>
  <si>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</si>
  <si>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</si>
  <si>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</si>
  <si>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</si>
  <si>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</si>
  <si>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</si>
  <si>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</si>
  <si>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</si>
  <si>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</si>
  <si>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</si>
  <si>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</si>
  <si>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</si>
  <si>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</si>
  <si>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</si>
  <si>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</si>
  <si>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</si>
  <si>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</si>
  <si>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</si>
  <si>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</si>
  <si>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</si>
  <si>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</si>
  <si>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</si>
  <si>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</si>
  <si>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</si>
  <si>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</si>
  <si>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</si>
  <si>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</si>
  <si>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</si>
  <si>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</si>
  <si>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</si>
  <si>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</si>
  <si>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</si>
  <si>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</si>
  <si>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</si>
  <si>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</si>
  <si>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</si>
  <si>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</si>
  <si>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</si>
  <si>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</si>
  <si>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</si>
  <si>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</si>
  <si>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</si>
  <si>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</si>
  <si>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</si>
  <si>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</si>
  <si>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</si>
  <si>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</si>
  <si>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</si>
  <si>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</si>
  <si>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</si>
  <si>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</si>
  <si>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</si>
  <si>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</si>
  <si>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</si>
  <si>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</si>
  <si>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</si>
  <si>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</si>
  <si>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</si>
  <si>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</si>
  <si>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</si>
  <si>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</si>
  <si>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</si>
  <si>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</si>
  <si>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</si>
  <si>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</si>
  <si>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</si>
  <si>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</si>
  <si>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</si>
  <si>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</si>
  <si>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</si>
  <si>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</si>
  <si>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</si>
  <si>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</si>
  <si>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</si>
  <si>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</si>
  <si>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</si>
  <si>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</si>
  <si>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</si>
  <si>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</si>
  <si>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</si>
  <si>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</si>
  <si>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</si>
  <si>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</si>
  <si>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</si>
  <si>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</si>
  <si>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</si>
  <si>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</si>
  <si>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</si>
  <si>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</si>
  <si>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</si>
  <si>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</si>
  <si>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</si>
  <si>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</si>
  <si>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</si>
  <si>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</si>
  <si>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</si>
  <si>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</si>
  <si>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</si>
  <si>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</si>
  <si>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</si>
  <si>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</si>
  <si>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</si>
  <si>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</si>
  <si>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</si>
  <si>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</si>
  <si>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</si>
  <si>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</si>
  <si>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</si>
  <si>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</si>
  <si>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</si>
  <si>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</si>
  <si>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</si>
  <si>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</si>
  <si>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</si>
  <si>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</si>
  <si>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</si>
  <si>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</si>
  <si>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</si>
  <si>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</si>
  <si>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</si>
  <si>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</si>
  <si>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</si>
  <si>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</si>
  <si>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</si>
  <si>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</si>
  <si>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</si>
  <si>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</si>
  <si>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</si>
  <si>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</si>
  <si>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</si>
  <si>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</si>
  <si>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</si>
  <si>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</si>
  <si>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</si>
  <si>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</si>
  <si>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</si>
  <si>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</si>
  <si>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</si>
  <si>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</si>
  <si>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</si>
  <si>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</si>
  <si>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</si>
  <si>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</si>
  <si>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</si>
  <si>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</si>
  <si>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</si>
  <si>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</si>
  <si>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</si>
  <si>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</si>
  <si>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</si>
  <si>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</si>
  <si>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</si>
  <si>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</si>
  <si>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</si>
  <si>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</si>
  <si>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</si>
  <si>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</si>
  <si>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</si>
  <si>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</si>
  <si>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</si>
  <si>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</si>
  <si>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</si>
  <si>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</si>
  <si>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</si>
  <si>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</si>
  <si>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</si>
  <si>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</si>
  <si>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</si>
  <si>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</si>
  <si>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</si>
  <si>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</si>
  <si>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</si>
  <si>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</si>
  <si>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</si>
  <si>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</si>
  <si>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</si>
  <si>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</si>
  <si>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</si>
  <si>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</si>
  <si>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</si>
  <si>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</si>
  <si>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</si>
  <si>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</si>
  <si>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</si>
  <si>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</si>
  <si>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</si>
  <si>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</si>
  <si>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</si>
  <si>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</si>
  <si>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</si>
  <si>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</si>
  <si>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</si>
  <si>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</si>
  <si>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</si>
  <si>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</si>
  <si>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</si>
  <si>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</si>
  <si>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</si>
  <si>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</si>
  <si>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</si>
  <si>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</si>
  <si>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</si>
  <si>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</si>
  <si>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</si>
  <si>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</si>
  <si>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</si>
  <si>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</si>
  <si>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</si>
  <si>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</si>
  <si>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</si>
  <si>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</si>
  <si>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</si>
  <si>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</si>
  <si>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</si>
  <si>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</si>
  <si>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</si>
  <si>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</si>
  <si>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</si>
  <si>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</si>
  <si>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</si>
  <si>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</si>
  <si>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</si>
  <si>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</si>
  <si>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</si>
  <si>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</si>
  <si>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</si>
  <si>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</si>
  <si>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</si>
  <si>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</si>
  <si>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</si>
  <si>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</si>
  <si>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</si>
  <si>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</si>
  <si>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</si>
  <si>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</si>
  <si>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</si>
  <si>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</si>
  <si>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</si>
  <si>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</si>
  <si>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</si>
  <si>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</si>
  <si>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</si>
  <si>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</si>
  <si>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</si>
  <si>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</si>
  <si>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</si>
  <si>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</si>
  <si>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</si>
  <si>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</si>
  <si>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</si>
  <si>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</si>
  <si>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</si>
  <si>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</si>
  <si>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</si>
  <si>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</si>
  <si>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</si>
  <si>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</si>
  <si>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</si>
  <si>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</si>
  <si>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</si>
  <si>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</si>
  <si>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</si>
  <si>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</si>
  <si>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</si>
  <si>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</si>
  <si>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</si>
  <si>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</si>
  <si>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</si>
  <si>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</si>
  <si>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</si>
  <si>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</si>
  <si>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</si>
  <si>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</si>
  <si>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</si>
  <si>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</si>
  <si>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</si>
  <si>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</si>
  <si>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</si>
  <si>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</si>
  <si>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</si>
  <si>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</si>
  <si>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</si>
  <si>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</si>
  <si>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</si>
  <si>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</si>
  <si>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</si>
  <si>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</si>
  <si>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</si>
  <si>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</si>
  <si>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</si>
  <si>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</si>
  <si>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</si>
  <si>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</si>
  <si>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</si>
  <si>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</si>
  <si>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</si>
  <si>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</si>
  <si>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</si>
  <si>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</si>
  <si>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</si>
  <si>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</si>
  <si>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</si>
  <si>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</si>
  <si>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</si>
  <si>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</si>
  <si>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</si>
  <si>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</si>
  <si>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</si>
  <si>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</si>
  <si>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</si>
  <si>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</si>
  <si>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</si>
  <si>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</si>
  <si>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</si>
  <si>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</si>
  <si>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</si>
  <si>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</si>
  <si>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</si>
  <si>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</si>
  <si>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</si>
  <si>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</si>
  <si>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</si>
  <si>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</si>
  <si>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</si>
  <si>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</si>
  <si>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</si>
  <si>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</si>
  <si>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</si>
  <si>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</si>
  <si>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</si>
  <si>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</si>
  <si>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</si>
  <si>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</si>
  <si>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</si>
  <si>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</si>
  <si>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</si>
  <si>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</si>
  <si>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</si>
  <si>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</si>
  <si>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</si>
  <si>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</si>
  <si>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</si>
  <si>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</si>
  <si>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</si>
  <si>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</si>
  <si>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</si>
  <si>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</si>
  <si>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</si>
  <si>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</si>
  <si>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</si>
  <si>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</si>
  <si>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</si>
  <si>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</si>
  <si>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</si>
  <si>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</si>
  <si>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</si>
  <si>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</si>
  <si>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</si>
  <si>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</si>
  <si>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</si>
  <si>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</si>
  <si>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</si>
  <si>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</si>
  <si>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</si>
  <si>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</si>
  <si>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</si>
  <si>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</si>
  <si>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</si>
  <si>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</si>
  <si>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</si>
  <si>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</si>
  <si>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</si>
  <si>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</si>
  <si>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</si>
  <si>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</si>
  <si>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</si>
  <si>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</si>
  <si>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</si>
  <si>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</si>
  <si>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</si>
  <si>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</si>
  <si>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</si>
  <si>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</si>
  <si>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</si>
  <si>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</si>
  <si>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</si>
  <si>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</si>
  <si>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</si>
  <si>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</si>
  <si>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</si>
  <si>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</si>
  <si>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</si>
  <si>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</si>
  <si>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</si>
  <si>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</si>
  <si>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</si>
  <si>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</si>
  <si>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</si>
  <si>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</si>
  <si>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</si>
  <si>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</si>
  <si>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</si>
  <si>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</si>
  <si>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</si>
  <si>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</si>
  <si>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</si>
  <si>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</si>
  <si>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</si>
  <si>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</si>
  <si>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</si>
  <si>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</si>
  <si>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</si>
  <si>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</si>
  <si>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</si>
  <si>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</si>
  <si>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</si>
  <si>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</si>
  <si>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</si>
  <si>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</si>
  <si>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</si>
  <si>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</si>
  <si>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</si>
  <si>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</si>
  <si>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</si>
  <si>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</si>
  <si>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</si>
  <si>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</si>
  <si>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</si>
  <si>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</si>
  <si>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</si>
  <si>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</si>
  <si>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</si>
  <si>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</si>
  <si>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</si>
  <si>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</si>
  <si>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</si>
  <si>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</si>
  <si>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</si>
  <si>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</si>
  <si>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</si>
  <si>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</si>
  <si>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</si>
  <si>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</si>
  <si>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</si>
  <si>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</si>
  <si>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</si>
  <si>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</si>
  <si>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</si>
  <si>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</si>
  <si>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</si>
  <si>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</si>
  <si>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</si>
  <si>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</si>
  <si>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</si>
  <si>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</si>
  <si>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</si>
  <si>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</si>
  <si>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</si>
  <si>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</si>
  <si>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</si>
  <si>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</si>
  <si>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</si>
  <si>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</si>
  <si>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</si>
  <si>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</si>
  <si>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</si>
  <si>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</si>
  <si>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</si>
  <si>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</si>
  <si>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</si>
  <si>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</si>
  <si>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</si>
  <si>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</si>
  <si>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</si>
  <si>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</si>
  <si>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</si>
  <si>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</si>
  <si>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</si>
  <si>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</si>
  <si>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</si>
  <si>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</si>
  <si>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</si>
  <si>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</si>
  <si>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</si>
  <si>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</si>
  <si>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</si>
  <si>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</si>
  <si>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</si>
  <si>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</si>
  <si>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</si>
  <si>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</si>
  <si>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</si>
  <si>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</si>
  <si>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</si>
  <si>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</si>
  <si>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</si>
  <si>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</si>
  <si>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</si>
  <si>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</si>
  <si>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</si>
  <si>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</si>
  <si>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</si>
  <si>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</si>
  <si>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</si>
  <si>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</si>
  <si>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</si>
  <si>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</si>
  <si>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</si>
  <si>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</si>
  <si>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</si>
  <si>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</si>
  <si>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</si>
  <si>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</si>
  <si>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</si>
  <si>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</si>
  <si>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</si>
  <si>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</si>
  <si>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</si>
  <si>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</si>
  <si>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</si>
  <si>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</si>
  <si>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</si>
  <si>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</si>
  <si>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</si>
  <si>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</si>
  <si>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</si>
  <si>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</si>
  <si>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</si>
  <si>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</si>
  <si>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</si>
  <si>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</si>
  <si>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</si>
  <si>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</si>
  <si>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</si>
  <si>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</si>
  <si>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</si>
  <si>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</si>
  <si>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</si>
  <si>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</si>
  <si>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</si>
  <si>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</si>
  <si>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</si>
  <si>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</si>
  <si>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</si>
  <si>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</si>
  <si>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</si>
  <si>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</si>
  <si>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</si>
  <si>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</si>
  <si>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</si>
  <si>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</si>
  <si>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</si>
  <si>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</si>
  <si>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</si>
  <si>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</si>
  <si>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</si>
  <si>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</si>
  <si>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</si>
  <si>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</si>
  <si>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</si>
  <si>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</si>
  <si>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</si>
  <si>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</si>
  <si>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</si>
  <si>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</si>
  <si>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</si>
  <si>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</si>
  <si>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</si>
  <si>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</si>
  <si>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</si>
  <si>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</si>
  <si>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</si>
  <si>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</si>
  <si>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</si>
  <si>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</si>
  <si>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</si>
  <si>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</si>
  <si>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</si>
  <si>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</si>
  <si>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</si>
  <si>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</si>
  <si>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</si>
  <si>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</si>
  <si>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</si>
  <si>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</si>
  <si>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</si>
  <si>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</si>
  <si>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</si>
  <si>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</si>
  <si>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</si>
  <si>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</si>
  <si>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</si>
  <si>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</si>
  <si>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</si>
  <si>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</si>
  <si>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</si>
  <si>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</si>
  <si>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</si>
  <si>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</si>
  <si>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</si>
  <si>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</si>
  <si>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</si>
  <si>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</si>
  <si>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</si>
  <si>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</si>
  <si>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</si>
  <si>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</si>
  <si>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</si>
  <si>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</si>
  <si>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</si>
  <si>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</si>
  <si>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</si>
  <si>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</si>
  <si>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</si>
  <si>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</si>
  <si>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</si>
  <si>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</si>
  <si>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</si>
  <si>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</si>
  <si>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</si>
  <si>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</si>
  <si>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</si>
  <si>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</si>
  <si>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</si>
  <si>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</si>
  <si>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</si>
  <si>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</si>
  <si>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</si>
  <si>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</si>
  <si>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</si>
  <si>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</si>
  <si>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</si>
  <si>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</si>
  <si>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</si>
  <si>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</si>
  <si>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</si>
  <si>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</si>
  <si>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</si>
  <si>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</si>
  <si>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</si>
  <si>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</si>
  <si>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</si>
  <si>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</si>
  <si>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</si>
  <si>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</si>
  <si>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</si>
  <si>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</si>
  <si>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</si>
  <si>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</si>
  <si>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</si>
  <si>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</si>
  <si>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</si>
  <si>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</si>
  <si>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</si>
  <si>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</si>
  <si>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</si>
  <si>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</si>
  <si>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</si>
  <si>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</si>
  <si>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</si>
  <si>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</si>
  <si>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</si>
  <si>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</si>
  <si>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</si>
  <si>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</si>
  <si>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</si>
  <si>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</si>
  <si>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</si>
  <si>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</si>
  <si>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</si>
  <si>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</si>
  <si>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</si>
  <si>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</si>
  <si>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</si>
  <si>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</si>
  <si>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</si>
  <si>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</si>
  <si>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</si>
  <si>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</si>
  <si>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</si>
  <si>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</si>
  <si>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</si>
  <si>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</si>
  <si>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</si>
  <si>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</si>
  <si>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</si>
  <si>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</si>
  <si>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</si>
  <si>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</si>
  <si>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</si>
  <si>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</si>
  <si>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</si>
  <si>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</si>
  <si>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</si>
  <si>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</si>
  <si>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</si>
  <si>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</si>
  <si>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</si>
  <si>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</si>
  <si>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</si>
  <si>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</si>
  <si>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</si>
  <si>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</si>
  <si>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</si>
  <si>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</si>
  <si>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</si>
  <si>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</si>
  <si>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</si>
  <si>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</si>
  <si>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</si>
  <si>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</si>
  <si>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</si>
  <si>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</si>
  <si>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</si>
  <si>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</si>
  <si>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</si>
  <si>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</si>
  <si>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</si>
  <si>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</si>
  <si>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</si>
  <si>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</si>
  <si>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</si>
  <si>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</si>
  <si>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</si>
  <si>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</si>
  <si>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</si>
  <si>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</si>
  <si>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</si>
  <si>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</si>
  <si>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</si>
  <si>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</si>
  <si>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</si>
  <si>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</si>
  <si>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</si>
  <si>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</si>
  <si>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</si>
  <si>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</si>
  <si>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</si>
  <si>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</si>
  <si>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</si>
  <si>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</si>
  <si>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</si>
  <si>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</si>
  <si>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较好</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</si>
  <si>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</si>
  <si>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</si>
  <si>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</si>
  <si>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</si>
  <si>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</si>
  <si>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</si>
  <si>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</si>
  <si>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</si>
  <si>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</si>
  <si>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</si>
  <si>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</si>
  <si>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</si>
  <si>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</si>
  <si>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</si>
  <si>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</si>
  <si>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估价对象所在区域公共配套设施齐备情况一般</t>
    <phoneticPr fontId="41" type="noConversion"/>
  </si>
  <si>
    <t>七通</t>
    <phoneticPr fontId="25"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</si>
  <si>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</si>
  <si>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</si>
  <si>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</si>
  <si>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</si>
  <si>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</si>
  <si>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</si>
  <si>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</si>
  <si>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</si>
  <si>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</si>
  <si>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</si>
  <si>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</si>
  <si>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</si>
  <si>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</si>
  <si>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</si>
  <si>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</si>
  <si>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</si>
  <si>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</si>
  <si>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</si>
  <si>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</si>
  <si>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城市次干道——博兴十路</t>
    <phoneticPr fontId="25" type="noConversion"/>
  </si>
  <si>
    <t xml:space="preserve"> </t>
    <phoneticPr fontId="14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</si>
  <si>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</si>
  <si>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</si>
  <si>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</si>
  <si>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</si>
  <si>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</si>
  <si>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</si>
  <si>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</si>
  <si>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</si>
  <si>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</si>
  <si>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</si>
  <si>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</si>
  <si>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</si>
  <si>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</si>
  <si>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</si>
  <si>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</si>
  <si>
    <t>亦城亦禧</t>
    <phoneticPr fontId="3" type="noConversion"/>
  </si>
  <si>
    <t>中国铁建·国际公馆</t>
    <phoneticPr fontId="3" type="noConversion"/>
  </si>
  <si>
    <t>金隅学府</t>
    <phoneticPr fontId="3" type="noConversion"/>
  </si>
  <si>
    <t>和悦华锦</t>
    <phoneticPr fontId="3" type="noConversion"/>
  </si>
  <si>
    <t>预售</t>
    <phoneticPr fontId="25" type="noConversion"/>
  </si>
  <si>
    <t>估价对象周边有开发区3路、快速直达专线181路、578路多条公交线路，距地铁8号线（瀛海站）约4公里，综合评价交通便捷度一般。</t>
    <phoneticPr fontId="41" type="noConversion"/>
  </si>
  <si>
    <t>区域自然环境：体育公园、南海子公园、凉水河；人文环境：北京电子科技职业学院(亦庄校区)；综合评价环境状况一般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</si>
</sst>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2" fontId="4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2"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5" sqref="C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北京市北京经济技术开发区河西区X90R1、X90S1地块出让国有建设用地使用权及在建建筑物房地产市场价值预评估</v>
      </c>
    </row>
    <row r="3" spans="1:2" s="1593" customFormat="1">
      <c r="A3" s="1591" t="s">
        <v>1216</v>
      </c>
      <c r="B3" s="1592" t="str">
        <f>'预评函-封皮'!B40</f>
        <v>北京博大新元房地产开发有限公司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2020年1月17日（评估专业人员实地查勘之日）</v>
      </c>
    </row>
    <row r="13" spans="1:2" s="1593" customFormat="1">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本次评估采用的主估价方法为比较法和比较法。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417245</v>
      </c>
    </row>
    <row r="21" spans="1:2" s="1593" customFormat="1">
      <c r="A21" s="1591" t="s">
        <v>1230</v>
      </c>
      <c r="B21" s="1592" t="e">
        <f ca="1">'预评函-2'!D7</f>
        <v>#DIV/0!</v>
      </c>
    </row>
    <row r="22" spans="1:2" s="1593" customFormat="1">
      <c r="A22" s="1591" t="s">
        <v>1231</v>
      </c>
      <c r="B22" s="1592" t="str">
        <f ca="1">'预评函-2'!D6</f>
        <v>肆拾壹亿柒仟贰佰肆拾伍万元整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417245</v>
      </c>
    </row>
    <row r="31" spans="1:2" s="1593" customFormat="1">
      <c r="A31" s="1591" t="s">
        <v>1269</v>
      </c>
      <c r="B31" s="1592">
        <f ca="1">'预评函-2'!D15</f>
        <v>47975</v>
      </c>
    </row>
    <row r="32" spans="1:2" s="1593" customFormat="1">
      <c r="A32" s="1591" t="s">
        <v>1236</v>
      </c>
      <c r="B32" s="1592" t="str">
        <f ca="1">'预评函-2'!D14</f>
        <v>肆拾壹亿柒仟贰佰肆拾伍万元整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北京市北京经济技术开发区河西区X90R1、X90S1地块出让国有建设用地使用权及在建建筑物房地产</v>
      </c>
    </row>
    <row r="42" spans="1:2" s="1593" customFormat="1">
      <c r="A42" s="1591" t="s">
        <v>1283</v>
      </c>
      <c r="B42" s="1592" t="str">
        <f>'预评函-3'!B2</f>
        <v>建筑面积</v>
      </c>
    </row>
    <row r="43" spans="1:2" s="1593" customFormat="1">
      <c r="A43" s="1591" t="s">
        <v>1284</v>
      </c>
      <c r="B43" s="1592">
        <f>'预评函-3'!B4</f>
        <v>86971.4</v>
      </c>
    </row>
    <row r="44" spans="1:2" s="1593" customFormat="1">
      <c r="A44" s="1591" t="s">
        <v>1268</v>
      </c>
      <c r="B44" s="1592" t="str">
        <f>'预评函-3'!C2</f>
        <v>(分摊)土地面积</v>
      </c>
    </row>
    <row r="45" spans="1:2" s="1593" customFormat="1">
      <c r="A45" s="1591" t="s">
        <v>1240</v>
      </c>
      <c r="B45" s="1592">
        <f>'预评函-3'!C4</f>
        <v>43648.1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860</v>
      </c>
      <c r="C54" s="2018" t="s">
        <v>1276</v>
      </c>
    </row>
    <row r="55" spans="1:4">
      <c r="A55" s="3021"/>
      <c r="B55" s="2021" t="s">
        <v>861</v>
      </c>
      <c r="C55" s="2018" t="s">
        <v>1277</v>
      </c>
    </row>
    <row r="56" spans="1:4">
      <c r="A56" s="3021"/>
      <c r="B56" s="2021" t="s">
        <v>862</v>
      </c>
      <c r="C56" s="2018" t="s">
        <v>1281</v>
      </c>
    </row>
    <row r="57" spans="1:4">
      <c r="A57" s="302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22"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3058</v>
      </c>
      <c r="C4" s="1037">
        <f ca="1">SUMIF(注册房地产估价师,B4,估价师及机构信息!B3:B24)</f>
        <v>1119970111</v>
      </c>
      <c r="D4" s="2038" t="s">
        <v>3059</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3060</v>
      </c>
      <c r="C8" s="2054"/>
      <c r="D8" s="3025" t="s">
        <v>1779</v>
      </c>
      <c r="E8" s="2055"/>
      <c r="F8" s="2056"/>
      <c r="G8" s="2025"/>
      <c r="H8" s="2025"/>
      <c r="I8" s="2025"/>
      <c r="J8" s="2041"/>
      <c r="K8" s="2042"/>
      <c r="L8" s="2027"/>
      <c r="M8" s="2027"/>
      <c r="N8" s="2028"/>
      <c r="O8" s="2029"/>
      <c r="P8" s="2028"/>
      <c r="Q8" s="2028"/>
      <c r="R8" s="2028"/>
    </row>
    <row r="9" spans="1:19" ht="18" customHeight="1" thickBot="1">
      <c r="A9" s="2039" t="s">
        <v>1780</v>
      </c>
      <c r="B9" s="2057" t="s">
        <v>3061</v>
      </c>
      <c r="C9" s="2058"/>
      <c r="D9" s="3026"/>
      <c r="E9" s="2057"/>
      <c r="F9" s="2059"/>
      <c r="G9" s="2060"/>
      <c r="H9" s="2060"/>
      <c r="I9" s="2060"/>
      <c r="J9" s="2041"/>
      <c r="K9" s="2052"/>
      <c r="L9" s="2027"/>
      <c r="M9" s="2027"/>
      <c r="N9" s="2028"/>
      <c r="O9" s="2029"/>
      <c r="P9" s="2028"/>
      <c r="Q9" s="2028"/>
      <c r="R9" s="2028"/>
    </row>
    <row r="10" spans="1:19" ht="18" customHeight="1" thickTop="1">
      <c r="A10" s="2061" t="s">
        <v>1781</v>
      </c>
      <c r="B10" s="2062" t="s">
        <v>3057</v>
      </c>
      <c r="C10" s="2063"/>
      <c r="D10" s="2045"/>
      <c r="E10" s="2064" t="s">
        <v>1782</v>
      </c>
      <c r="F10" s="2065" t="s">
        <v>3082</v>
      </c>
      <c r="G10" s="2066"/>
      <c r="H10" s="2067"/>
      <c r="I10" s="2045"/>
      <c r="J10" s="2041"/>
      <c r="K10" s="2052"/>
      <c r="L10" s="2027"/>
      <c r="M10" s="2027"/>
      <c r="N10" s="2028"/>
      <c r="O10" s="2029"/>
      <c r="P10" s="2028"/>
      <c r="Q10" s="2028"/>
      <c r="R10" s="2028"/>
    </row>
    <row r="11" spans="1:19" ht="18" customHeight="1">
      <c r="A11" s="2068" t="s">
        <v>1783</v>
      </c>
      <c r="B11" s="2069" t="s">
        <v>3063</v>
      </c>
      <c r="C11" s="2952" t="s">
        <v>3062</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3064</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32"/>
      <c r="C16" s="3033"/>
      <c r="D16" s="3034"/>
      <c r="E16" s="2083" t="s">
        <v>1796</v>
      </c>
      <c r="F16" s="3035"/>
      <c r="G16" s="3036"/>
      <c r="H16" s="3036"/>
      <c r="I16" s="3037"/>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38" t="s">
        <v>1800</v>
      </c>
      <c r="F17" s="3039"/>
      <c r="G17" s="3039"/>
      <c r="H17" s="3039"/>
      <c r="I17" s="3040"/>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41" t="s">
        <v>1803</v>
      </c>
      <c r="F18" s="3042"/>
      <c r="G18" s="3042"/>
      <c r="H18" s="3042"/>
      <c r="I18" s="3043"/>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3117</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28" t="s">
        <v>1808</v>
      </c>
      <c r="C20" s="3029"/>
      <c r="D20" s="3030" t="s">
        <v>1809</v>
      </c>
      <c r="E20" s="3031"/>
      <c r="F20" s="2095" t="s">
        <v>1810</v>
      </c>
      <c r="G20" s="2041"/>
      <c r="H20" s="2041"/>
      <c r="I20" s="2041"/>
      <c r="J20" s="2041"/>
      <c r="K20" s="302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45"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5"/>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5"/>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6"/>
      <c r="B30" s="2034" t="s">
        <v>1827</v>
      </c>
      <c r="C30" s="3047"/>
      <c r="D30" s="3048"/>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9"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50"/>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50"/>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44" t="s">
        <v>1837</v>
      </c>
      <c r="T34" s="2132" t="str">
        <f>NUMBERSTRING(7-K34,1)&amp;"通"</f>
        <v>七通</v>
      </c>
      <c r="U34" s="2028"/>
      <c r="V34" s="2028"/>
    </row>
    <row r="35" spans="1:22" ht="18" customHeight="1">
      <c r="A35" s="2133"/>
      <c r="B35" s="3051" t="s">
        <v>1838</v>
      </c>
      <c r="C35" s="3051"/>
      <c r="D35" s="3051"/>
      <c r="E35" s="3051"/>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4"/>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3118</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3065</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3119</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3121</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63" t="s">
        <v>1934</v>
      </c>
      <c r="B2" s="3063"/>
      <c r="C2" s="3063"/>
      <c r="D2" s="967" t="s">
        <v>1910</v>
      </c>
      <c r="E2" s="2225" t="s">
        <v>1911</v>
      </c>
      <c r="F2" s="1392"/>
      <c r="G2" s="2226"/>
      <c r="H2" s="2227"/>
      <c r="I2" s="2228" t="s">
        <v>1935</v>
      </c>
      <c r="J2" s="1392"/>
      <c r="K2" s="1392"/>
      <c r="L2" s="1392"/>
      <c r="M2" s="1392"/>
      <c r="N2" s="1427"/>
      <c r="O2" s="1392"/>
      <c r="P2" s="1392"/>
    </row>
    <row r="3" spans="1:16" ht="15.75" thickBot="1">
      <c r="A3" s="3064" t="s">
        <v>1908</v>
      </c>
      <c r="B3" s="3064"/>
      <c r="C3" s="3064"/>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ht="15">
      <c r="A4" s="3065"/>
      <c r="B4" s="3066"/>
      <c r="C4" s="3067"/>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68" t="s">
        <v>1913</v>
      </c>
      <c r="C5" s="3068"/>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68" t="s">
        <v>1914</v>
      </c>
      <c r="C6" s="3068"/>
      <c r="D6" s="48">
        <f>ROUND($D$3*E6/$E$3,2)</f>
        <v>0</v>
      </c>
      <c r="E6" s="49">
        <f>E3-E5</f>
        <v>0</v>
      </c>
      <c r="F6" s="1392"/>
      <c r="G6" s="2233" t="s">
        <v>1915</v>
      </c>
      <c r="H6" s="1399" t="s">
        <v>1916</v>
      </c>
      <c r="I6" s="939">
        <f>ROUND(F31/D31,2)</f>
        <v>1.99</v>
      </c>
      <c r="J6" s="1392"/>
      <c r="K6" s="1392"/>
      <c r="L6" s="1392"/>
      <c r="M6" s="1392"/>
      <c r="N6" s="1392"/>
      <c r="O6" s="1392"/>
      <c r="P6" s="1392"/>
    </row>
    <row r="7" spans="1:16" ht="15">
      <c r="A7" s="3060"/>
      <c r="B7" s="3061"/>
      <c r="C7" s="3062"/>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43648.1</v>
      </c>
      <c r="E16" s="53">
        <f>SUM(E8:E15)</f>
        <v>86971.4</v>
      </c>
      <c r="F16" s="1392"/>
      <c r="G16" s="2235"/>
      <c r="H16" s="2238" t="s">
        <v>1938</v>
      </c>
      <c r="I16" s="2239"/>
      <c r="J16" s="1392"/>
      <c r="K16" s="3057" t="s">
        <v>1938</v>
      </c>
      <c r="L16" s="3058"/>
      <c r="M16" s="3058"/>
      <c r="N16" s="3058"/>
      <c r="O16" s="3058"/>
      <c r="P16" s="3059"/>
    </row>
    <row r="17" spans="1:19" ht="15">
      <c r="A17" s="2240" t="s">
        <v>1939</v>
      </c>
      <c r="B17" s="2241" t="s">
        <v>1940</v>
      </c>
      <c r="C17" s="2242" t="s">
        <v>1941</v>
      </c>
      <c r="D17" s="2243" t="s">
        <v>1929</v>
      </c>
      <c r="E17" s="2244" t="s">
        <v>1930</v>
      </c>
      <c r="F17" s="2245"/>
      <c r="G17" s="2246"/>
      <c r="H17" s="2247" t="s">
        <v>1942</v>
      </c>
      <c r="I17" s="2248" t="s">
        <v>1927</v>
      </c>
      <c r="J17" s="1392"/>
      <c r="K17" s="3054" t="s">
        <v>1943</v>
      </c>
      <c r="L17" s="3055"/>
      <c r="M17" s="3056"/>
      <c r="N17" s="3054" t="s">
        <v>1944</v>
      </c>
      <c r="O17" s="3055"/>
      <c r="P17" s="3056"/>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7" t="s">
        <v>3120</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86971.4</v>
      </c>
      <c r="L6" s="803"/>
      <c r="M6" s="75">
        <f t="shared" ref="M6:M14" si="0">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69" t="s">
        <v>2080</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121.5">
      <c r="A3" s="415" t="s">
        <v>2083</v>
      </c>
      <c r="B3" s="1268" t="s">
        <v>2084</v>
      </c>
      <c r="C3" s="2959" t="s">
        <v>3083</v>
      </c>
      <c r="D3" s="2367"/>
      <c r="E3" s="431" t="s">
        <v>2083</v>
      </c>
      <c r="F3" s="2368" t="s">
        <v>2085</v>
      </c>
      <c r="G3" s="2369" t="s">
        <v>2086</v>
      </c>
      <c r="H3" s="2365"/>
      <c r="I3" s="2365"/>
      <c r="J3" s="2365"/>
      <c r="K3" s="2365"/>
      <c r="L3" s="2365"/>
      <c r="M3" s="2365"/>
      <c r="N3" s="2365"/>
      <c r="O3" s="2365"/>
      <c r="P3" s="2365"/>
      <c r="Q3" s="2365"/>
      <c r="R3" s="2365"/>
    </row>
    <row r="4" spans="1:29" ht="41.2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1.2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67.5">
      <c r="A6" s="431"/>
      <c r="B6" s="1795" t="s">
        <v>2095</v>
      </c>
      <c r="C6" s="2960" t="s">
        <v>3127</v>
      </c>
      <c r="D6" s="2367"/>
      <c r="E6" s="2371"/>
      <c r="F6" s="1795" t="s">
        <v>2096</v>
      </c>
      <c r="G6" s="2372" t="s">
        <v>2097</v>
      </c>
      <c r="H6" s="2365"/>
      <c r="I6" s="2365"/>
      <c r="J6" s="2365"/>
      <c r="K6" s="2365"/>
      <c r="L6" s="2365"/>
      <c r="M6" s="2365"/>
      <c r="N6" s="2365"/>
      <c r="O6" s="2365"/>
      <c r="P6" s="2365"/>
      <c r="Q6" s="2365"/>
      <c r="R6" s="2365"/>
    </row>
    <row r="7" spans="1:29" ht="41.25" thickBot="1">
      <c r="A7" s="431"/>
      <c r="B7" s="1795" t="s">
        <v>2093</v>
      </c>
      <c r="C7" s="2960" t="s">
        <v>3084</v>
      </c>
      <c r="D7" s="2373"/>
      <c r="E7" s="2374"/>
      <c r="F7" s="2375" t="s">
        <v>2098</v>
      </c>
      <c r="G7" s="2376" t="s">
        <v>2099</v>
      </c>
      <c r="H7" s="2365"/>
      <c r="I7" s="2365"/>
      <c r="J7" s="2365"/>
      <c r="K7" s="2365"/>
      <c r="L7" s="2365"/>
      <c r="M7" s="2365"/>
      <c r="N7" s="2365"/>
      <c r="O7" s="2365"/>
      <c r="P7" s="2365"/>
      <c r="Q7" s="2365"/>
      <c r="R7" s="2365"/>
    </row>
    <row r="8" spans="1:29" ht="15">
      <c r="A8" s="431"/>
      <c r="B8" s="1795" t="s">
        <v>2096</v>
      </c>
      <c r="C8" s="2960" t="s">
        <v>3085</v>
      </c>
      <c r="D8" s="2373"/>
      <c r="E8" s="2373"/>
      <c r="F8" s="1133"/>
      <c r="G8" s="1133"/>
      <c r="H8" s="2365"/>
      <c r="I8" s="2365"/>
      <c r="J8" s="2365"/>
      <c r="K8" s="2365"/>
      <c r="L8" s="2365"/>
      <c r="M8" s="2365"/>
      <c r="N8" s="2365"/>
      <c r="O8" s="2365"/>
      <c r="P8" s="2365"/>
      <c r="Q8" s="2365"/>
      <c r="R8" s="2365"/>
    </row>
    <row r="9" spans="1:29" ht="67.5">
      <c r="A9" s="431"/>
      <c r="B9" s="1795" t="s">
        <v>2100</v>
      </c>
      <c r="C9" s="2961" t="s">
        <v>3128</v>
      </c>
      <c r="D9" s="2367"/>
      <c r="E9" s="2373"/>
      <c r="F9" s="1133"/>
      <c r="G9" s="1133"/>
      <c r="H9" s="2365"/>
      <c r="I9" s="2365"/>
      <c r="J9" s="2365"/>
      <c r="K9" s="2365"/>
      <c r="L9" s="2365"/>
      <c r="M9" s="2365"/>
      <c r="N9" s="2365"/>
      <c r="O9" s="2365"/>
      <c r="P9" s="2365"/>
      <c r="Q9" s="2365"/>
      <c r="R9" s="2365"/>
    </row>
    <row r="10" spans="1:29" s="117" customFormat="1" ht="15.75" thickBot="1">
      <c r="A10" s="2377"/>
      <c r="B10" s="2378" t="s">
        <v>2101</v>
      </c>
      <c r="C10" s="2962" t="s">
        <v>3086</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2" t="s">
        <v>2104</v>
      </c>
    </row>
    <row r="15" spans="1:29" ht="128.2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3"/>
      <c r="E17" s="2402"/>
      <c r="F17" s="2403" t="s">
        <v>2108</v>
      </c>
      <c r="G17" s="1569"/>
    </row>
    <row r="18" spans="1:18" ht="71.2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71.2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28.5">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0</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417245</v>
      </c>
      <c r="C5" s="1743" t="e">
        <f ca="1">ROUND(B5*10000/$B$1,0)</f>
        <v>#DIV/0!</v>
      </c>
      <c r="D5" s="1743" t="e">
        <f ca="1">ROUND(B5*10000/$B$2,0)</f>
        <v>#DIV/0!</v>
      </c>
      <c r="E5" s="1742"/>
      <c r="F5" s="1740"/>
      <c r="G5" s="1740"/>
    </row>
    <row r="6" spans="1:10" ht="16.5">
      <c r="A6" s="1743" t="s">
        <v>1351</v>
      </c>
      <c r="B6" s="1743">
        <f ca="1">SUM(G14:G23)</f>
        <v>417245</v>
      </c>
      <c r="C6" s="1743" t="e">
        <f ca="1">ROUND(B6*10000/$B$1,0)</f>
        <v>#DIV/0!</v>
      </c>
      <c r="D6" s="1743" t="e">
        <f ca="1">ROUND(B6*10000/$B$2,0)</f>
        <v>#DIV/0!</v>
      </c>
      <c r="E6" s="1742"/>
      <c r="F6" s="1740"/>
      <c r="G6" s="1740"/>
    </row>
    <row r="7" spans="1:10" ht="16.5">
      <c r="A7" s="1743" t="s">
        <v>1359</v>
      </c>
      <c r="B7" s="1743">
        <f>SUM(H14:H23)</f>
        <v>0</v>
      </c>
      <c r="C7" s="1743" t="e">
        <f>ROUND(B7*10000/$B$1,0)</f>
        <v>#DIV/0!</v>
      </c>
      <c r="D7" s="1743" t="e">
        <f>ROUND(B7*10000/$B$2,0)</f>
        <v>#DIV/0!</v>
      </c>
      <c r="E7" s="1742"/>
      <c r="F7" s="1740"/>
      <c r="G7" s="1740"/>
    </row>
    <row r="8" spans="1:10" ht="16.5">
      <c r="A8" s="1743" t="s">
        <v>1280</v>
      </c>
      <c r="B8" s="1743">
        <f>SUM(I14:I23)</f>
        <v>0</v>
      </c>
      <c r="C8" s="1743" t="e">
        <f>ROUND(B8*10000/$B$1,0)</f>
        <v>#DIV/0!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0</v>
      </c>
      <c r="C14" s="1741">
        <f>结果表!C118</f>
        <v>0</v>
      </c>
      <c r="D14" s="1741">
        <f ca="1">结果表!H118</f>
        <v>417245</v>
      </c>
      <c r="E14" s="1741" t="e">
        <f ca="1">ROUND(D14*10000/B14,0)</f>
        <v>#DIV/0!</v>
      </c>
      <c r="F14" s="1741" t="e">
        <f ca="1">ROUND(D14*10000/C14,0)</f>
        <v>#DIV/0!</v>
      </c>
      <c r="G14" s="1741">
        <f ca="1">结果表!D122</f>
        <v>417245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2115</v>
      </c>
      <c r="B1" s="2414"/>
      <c r="C1" s="2415" t="s">
        <v>3087</v>
      </c>
      <c r="D1" s="2414"/>
      <c r="E1" s="2414"/>
      <c r="F1" s="2416" t="s">
        <v>2116</v>
      </c>
      <c r="G1" s="2069" t="s">
        <v>2117</v>
      </c>
      <c r="H1" s="2417" t="str">
        <f>IF(G1="现房","——","估价对象范围")</f>
        <v>估价对象范围</v>
      </c>
      <c r="I1" s="2418"/>
    </row>
    <row r="2" spans="1:12" ht="21.75" customHeight="1" thickBot="1">
      <c r="A2" s="3148" t="str">
        <f>项目基本情况!S2</f>
        <v>北京市北京经济技术开发区河西区X90R1、X90S1地块出让国有建设用地使用权及在建建筑物房地产</v>
      </c>
      <c r="B2" s="3149"/>
      <c r="C2" s="3149"/>
      <c r="D2" s="3149"/>
      <c r="E2" s="3149"/>
      <c r="F2" s="3149"/>
      <c r="G2" s="3149"/>
      <c r="H2" s="3149"/>
      <c r="I2" s="3150"/>
    </row>
    <row r="3" spans="1:12" ht="12.75">
      <c r="A3" s="3151" t="s">
        <v>2118</v>
      </c>
      <c r="B3" s="3152"/>
      <c r="C3" s="3152"/>
      <c r="D3" s="3152"/>
      <c r="E3" s="3152"/>
      <c r="F3" s="3152"/>
      <c r="G3" s="3152"/>
      <c r="H3" s="3152"/>
      <c r="I3" s="3152"/>
    </row>
    <row r="4" spans="1:12" ht="14.25">
      <c r="A4" s="2421" t="s">
        <v>2119</v>
      </c>
      <c r="B4" s="2422" t="s">
        <v>2120</v>
      </c>
      <c r="C4" s="2423" t="s">
        <v>3088</v>
      </c>
      <c r="D4" s="2423" t="s">
        <v>3088</v>
      </c>
      <c r="E4" s="3132" t="s">
        <v>2121</v>
      </c>
      <c r="F4" s="3145"/>
      <c r="G4" s="3145"/>
      <c r="H4" s="3145"/>
      <c r="I4" s="3133"/>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23" t="s">
        <v>2122</v>
      </c>
      <c r="B5" s="3044">
        <v>25</v>
      </c>
      <c r="C5" s="3153">
        <v>5</v>
      </c>
      <c r="D5" s="3141">
        <v>5</v>
      </c>
      <c r="E5" s="140" t="s">
        <v>2123</v>
      </c>
      <c r="F5" s="2425"/>
      <c r="G5" s="2425"/>
      <c r="H5" s="2425"/>
      <c r="I5" s="1831"/>
    </row>
    <row r="6" spans="1:12" ht="12.75">
      <c r="A6" s="3123"/>
      <c r="B6" s="3044"/>
      <c r="C6" s="3155"/>
      <c r="D6" s="3141"/>
      <c r="E6" s="140" t="s">
        <v>2124</v>
      </c>
      <c r="F6" s="2425"/>
      <c r="G6" s="2425"/>
      <c r="H6" s="2425"/>
      <c r="I6" s="1831"/>
    </row>
    <row r="7" spans="1:12" ht="12.75">
      <c r="A7" s="3123"/>
      <c r="B7" s="3044"/>
      <c r="C7" s="3154"/>
      <c r="D7" s="3141"/>
      <c r="E7" s="140" t="s">
        <v>2125</v>
      </c>
      <c r="F7" s="2425"/>
      <c r="G7" s="2425"/>
      <c r="H7" s="2425"/>
      <c r="I7" s="1831"/>
    </row>
    <row r="8" spans="1:12" ht="12.75">
      <c r="A8" s="3123" t="s">
        <v>2126</v>
      </c>
      <c r="B8" s="3044">
        <v>15</v>
      </c>
      <c r="C8" s="3153"/>
      <c r="D8" s="3141"/>
      <c r="E8" s="140" t="s">
        <v>2127</v>
      </c>
      <c r="F8" s="2425"/>
      <c r="G8" s="2425"/>
      <c r="H8" s="2425"/>
      <c r="I8" s="1831"/>
    </row>
    <row r="9" spans="1:12" ht="12.75">
      <c r="A9" s="3123"/>
      <c r="B9" s="3044"/>
      <c r="C9" s="3154"/>
      <c r="D9" s="3141"/>
      <c r="E9" s="140" t="s">
        <v>2128</v>
      </c>
      <c r="F9" s="2425"/>
      <c r="G9" s="2425"/>
      <c r="H9" s="2425"/>
      <c r="I9" s="1831"/>
    </row>
    <row r="10" spans="1:12" ht="12.75">
      <c r="A10" s="3123" t="s">
        <v>2129</v>
      </c>
      <c r="B10" s="3044">
        <v>15</v>
      </c>
      <c r="C10" s="3153"/>
      <c r="D10" s="3141"/>
      <c r="E10" s="140" t="s">
        <v>2130</v>
      </c>
      <c r="F10" s="2425"/>
      <c r="G10" s="2425"/>
      <c r="H10" s="2425"/>
      <c r="I10" s="1831"/>
    </row>
    <row r="11" spans="1:12" ht="12.75">
      <c r="A11" s="3123"/>
      <c r="B11" s="3044"/>
      <c r="C11" s="3154"/>
      <c r="D11" s="3141"/>
      <c r="E11" s="140" t="s">
        <v>2131</v>
      </c>
      <c r="F11" s="2425"/>
      <c r="G11" s="2425"/>
      <c r="H11" s="2425"/>
      <c r="I11" s="1831"/>
    </row>
    <row r="12" spans="1:12" ht="12.75">
      <c r="A12" s="3123" t="s">
        <v>2132</v>
      </c>
      <c r="B12" s="3044">
        <v>15</v>
      </c>
      <c r="C12" s="3153"/>
      <c r="D12" s="3141"/>
      <c r="E12" s="140" t="s">
        <v>2133</v>
      </c>
      <c r="F12" s="2425"/>
      <c r="G12" s="2425"/>
      <c r="H12" s="2425"/>
      <c r="I12" s="1831"/>
    </row>
    <row r="13" spans="1:12" ht="12.75">
      <c r="A13" s="3123"/>
      <c r="B13" s="3044"/>
      <c r="C13" s="3154"/>
      <c r="D13" s="3141"/>
      <c r="E13" s="140" t="s">
        <v>2134</v>
      </c>
      <c r="F13" s="2425"/>
      <c r="G13" s="2425"/>
      <c r="H13" s="2425"/>
      <c r="I13" s="1831"/>
    </row>
    <row r="14" spans="1:12" ht="12.75">
      <c r="A14" s="3123" t="s">
        <v>2135</v>
      </c>
      <c r="B14" s="3044">
        <v>30</v>
      </c>
      <c r="C14" s="3153"/>
      <c r="D14" s="3141"/>
      <c r="E14" s="140" t="s">
        <v>2136</v>
      </c>
      <c r="F14" s="2425"/>
      <c r="G14" s="2425"/>
      <c r="H14" s="2425"/>
      <c r="I14" s="1831"/>
    </row>
    <row r="15" spans="1:12" ht="12.75">
      <c r="A15" s="3123"/>
      <c r="B15" s="3044"/>
      <c r="C15" s="3155"/>
      <c r="D15" s="3141"/>
      <c r="E15" s="140" t="s">
        <v>2137</v>
      </c>
      <c r="F15" s="2425"/>
      <c r="G15" s="2425"/>
      <c r="H15" s="2425"/>
      <c r="I15" s="1831"/>
    </row>
    <row r="16" spans="1:12" ht="12.75">
      <c r="A16" s="3123"/>
      <c r="B16" s="3044"/>
      <c r="C16" s="3154"/>
      <c r="D16" s="3141"/>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5">
      <c r="A19" s="2430" t="s">
        <v>2144</v>
      </c>
      <c r="B19" s="2431" t="s">
        <v>2145</v>
      </c>
      <c r="C19" s="143">
        <f ca="1">SUMIF(INDIRECT("'"&amp;C4&amp;"'"&amp;"!A:A"),结果表!B19,INDIRECT("'"&amp;C4&amp;"'"&amp;"!B:B"))</f>
        <v>417245</v>
      </c>
      <c r="D19" s="144">
        <f ca="1">SUMIF(INDIRECT("'"&amp;D4&amp;"'"&amp;"!A:A"),结果表!B19,INDIRECT("'"&amp;D4&amp;"'"&amp;"!B:B"))</f>
        <v>417245</v>
      </c>
      <c r="E19" s="2430" t="s">
        <v>2146</v>
      </c>
      <c r="F19" s="2431" t="s">
        <v>2145</v>
      </c>
      <c r="G19" s="145">
        <f ca="1">ROUND(C19*$C$18+D19*$D$18,0)</f>
        <v>417245</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7" t="s">
        <v>2149</v>
      </c>
      <c r="C20" s="146">
        <f ca="1">SUMIF(INDIRECT("'"&amp;C4&amp;"'"&amp;"!A:A"),结果表!B20,INDIRECT("'"&amp;C4&amp;"'"&amp;"!B:B"))</f>
        <v>47975</v>
      </c>
      <c r="D20" s="147">
        <f ca="1">SUMIF(INDIRECT("'"&amp;D4&amp;"'"&amp;"!A:A"),结果表!B20,INDIRECT("'"&amp;D4&amp;"'"&amp;"!B:B"))</f>
        <v>47975</v>
      </c>
      <c r="E20" s="2433"/>
      <c r="F20" s="1247" t="s">
        <v>2149</v>
      </c>
      <c r="G20" s="148">
        <f ca="1">ROUND(C20*$C$18+D20*$D$18,0)</f>
        <v>47975</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8" t="s">
        <v>3110</v>
      </c>
      <c r="K22" s="2969" t="s">
        <v>3111</v>
      </c>
      <c r="L22" s="2970"/>
      <c r="M22" s="2971"/>
    </row>
    <row r="23" spans="1:35" ht="13.5" thickBot="1">
      <c r="A23" s="2414"/>
      <c r="B23" s="2414"/>
      <c r="C23" s="2414"/>
      <c r="D23" s="2414"/>
      <c r="E23" s="138"/>
      <c r="F23" s="138"/>
      <c r="G23" s="138"/>
      <c r="H23" s="138"/>
      <c r="I23" s="138"/>
      <c r="J23" s="2968" t="s">
        <v>3112</v>
      </c>
      <c r="K23" s="3071">
        <v>30000</v>
      </c>
      <c r="L23" s="3072"/>
      <c r="M23" s="2971" t="s">
        <v>3113</v>
      </c>
    </row>
    <row r="24" spans="1:35" ht="14.25">
      <c r="A24" s="3162" t="s">
        <v>2153</v>
      </c>
      <c r="B24" s="2431" t="s">
        <v>2145</v>
      </c>
      <c r="C24" s="145">
        <f>IF(B30=0,0,D30)</f>
        <v>0</v>
      </c>
      <c r="D24" s="2438"/>
      <c r="E24" s="138"/>
      <c r="F24" s="138"/>
      <c r="G24" s="138"/>
      <c r="H24" s="138"/>
      <c r="I24" s="138"/>
      <c r="J24" s="2968" t="s">
        <v>3114</v>
      </c>
      <c r="K24" s="2972">
        <v>2020</v>
      </c>
      <c r="L24" s="2972">
        <v>1</v>
      </c>
      <c r="M24" s="2972">
        <v>17</v>
      </c>
    </row>
    <row r="25" spans="1:35" ht="14.25">
      <c r="A25" s="3163"/>
      <c r="B25" s="1247" t="s">
        <v>2149</v>
      </c>
      <c r="C25" s="150">
        <f>IF(B30=0,0,C30)</f>
        <v>0</v>
      </c>
      <c r="D25" s="2439"/>
      <c r="E25" s="138"/>
      <c r="F25" s="138"/>
      <c r="G25" s="138"/>
      <c r="H25" s="138"/>
      <c r="I25" s="138"/>
      <c r="J25" s="2973" t="s">
        <v>3115</v>
      </c>
      <c r="K25" s="2974">
        <f>'比较法-住宅'!C49</f>
        <v>47975</v>
      </c>
      <c r="L25" s="2975"/>
      <c r="M25" s="2976" t="s">
        <v>3113</v>
      </c>
    </row>
    <row r="26" spans="1:35" ht="19.5" customHeight="1">
      <c r="A26" s="2440" t="s">
        <v>2154</v>
      </c>
      <c r="B26" s="151" t="s">
        <v>2155</v>
      </c>
      <c r="C26" s="151" t="s">
        <v>2156</v>
      </c>
      <c r="D26" s="152" t="s">
        <v>2157</v>
      </c>
      <c r="E26" s="138"/>
      <c r="F26" s="138"/>
      <c r="G26" s="138"/>
      <c r="H26" s="138"/>
      <c r="I26" s="138"/>
      <c r="J26" s="2968" t="s">
        <v>3116</v>
      </c>
      <c r="K26" s="3073">
        <f>ROUND(K23/K25,4)</f>
        <v>0.62529999999999997</v>
      </c>
      <c r="L26" s="3074"/>
      <c r="M26" s="3075"/>
    </row>
    <row r="27" spans="1:35" ht="19.5" customHeight="1">
      <c r="A27" s="2440"/>
      <c r="B27" s="151">
        <v>0</v>
      </c>
      <c r="C27" s="151">
        <v>0</v>
      </c>
      <c r="D27" s="152">
        <f>ROUND(C27*B27/10000,0)</f>
        <v>0</v>
      </c>
      <c r="E27" s="138"/>
      <c r="F27" s="138"/>
      <c r="G27" s="138"/>
      <c r="H27" s="138"/>
      <c r="I27" s="138"/>
      <c r="J27" s="2968" t="s">
        <v>3116</v>
      </c>
      <c r="K27" s="3073"/>
      <c r="L27" s="3074"/>
      <c r="M27" s="3075"/>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417245</v>
      </c>
      <c r="D32" s="2445" t="s">
        <v>2160</v>
      </c>
      <c r="E32" s="138"/>
      <c r="F32" s="138"/>
      <c r="G32" s="138"/>
      <c r="H32" s="138"/>
      <c r="I32" s="138"/>
    </row>
    <row r="33" spans="1:15" ht="15">
      <c r="A33" s="957"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7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42" t="s">
        <v>2167</v>
      </c>
      <c r="B36" s="2457" t="s">
        <v>2168</v>
      </c>
      <c r="C36" s="154"/>
      <c r="D36" s="2458"/>
      <c r="E36" s="2459"/>
      <c r="F36" s="2460"/>
      <c r="G36" s="138"/>
      <c r="H36" s="138"/>
      <c r="I36" s="138"/>
    </row>
    <row r="37" spans="1:15" ht="15.75" thickBot="1">
      <c r="A37" s="3143"/>
      <c r="B37" s="2265" t="s">
        <v>2169</v>
      </c>
      <c r="C37" s="156"/>
      <c r="D37" s="1392"/>
      <c r="E37" s="1392"/>
      <c r="F37" s="2460"/>
      <c r="G37" s="138"/>
      <c r="H37" s="138"/>
      <c r="I37" s="138"/>
    </row>
    <row r="38" spans="1:15" ht="15.75" thickBot="1">
      <c r="A38" s="3144"/>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59" t="s">
        <v>2181</v>
      </c>
      <c r="B45" s="3160"/>
      <c r="C45" s="3161"/>
      <c r="D45" s="164">
        <f ca="1">ROUND(H101*F45,0)</f>
        <v>417245</v>
      </c>
      <c r="E45" s="165" t="s">
        <v>2182</v>
      </c>
      <c r="F45" s="166">
        <v>1</v>
      </c>
      <c r="G45" s="167" t="s">
        <v>2183</v>
      </c>
      <c r="H45" s="138"/>
      <c r="I45" s="138"/>
      <c r="J45" s="3078" t="s">
        <v>2184</v>
      </c>
      <c r="K45" s="3078"/>
      <c r="L45" s="3078"/>
      <c r="M45" s="3078"/>
      <c r="N45" s="3078"/>
      <c r="O45" s="3078"/>
    </row>
    <row r="46" spans="1:15" ht="14.25" customHeight="1">
      <c r="A46" s="3156" t="s">
        <v>2185</v>
      </c>
      <c r="B46" s="3157"/>
      <c r="C46" s="3157"/>
      <c r="D46" s="3157"/>
      <c r="E46" s="3157"/>
      <c r="F46" s="3157"/>
      <c r="G46" s="3158"/>
      <c r="H46" s="2476"/>
      <c r="I46" s="168"/>
      <c r="J46" s="1809">
        <v>1</v>
      </c>
      <c r="K46" s="3078" t="s">
        <v>2186</v>
      </c>
      <c r="L46" s="3078"/>
      <c r="M46" s="3079"/>
      <c r="N46" s="3079"/>
      <c r="O46" s="3079"/>
    </row>
    <row r="47" spans="1:15" ht="12" customHeight="1">
      <c r="A47" s="169" t="s">
        <v>2187</v>
      </c>
      <c r="B47" s="170"/>
      <c r="C47" s="171"/>
      <c r="D47" s="172" t="s">
        <v>2188</v>
      </c>
      <c r="E47" s="24" t="s">
        <v>2189</v>
      </c>
      <c r="F47" s="173" t="s">
        <v>2190</v>
      </c>
      <c r="G47" s="174" t="s">
        <v>2191</v>
      </c>
      <c r="H47" s="2476"/>
      <c r="I47" s="168"/>
      <c r="J47" s="1809">
        <v>2</v>
      </c>
      <c r="K47" s="3078" t="s">
        <v>2192</v>
      </c>
      <c r="L47" s="3078"/>
      <c r="M47" s="3080">
        <f>'数据-取费表'!B2</f>
        <v>43847</v>
      </c>
      <c r="N47" s="3080"/>
      <c r="O47" s="3080"/>
    </row>
    <row r="48" spans="1:15" ht="25.5">
      <c r="A48" s="3146" t="s">
        <v>2193</v>
      </c>
      <c r="B48" s="3147"/>
      <c r="C48" s="3147"/>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78" t="s">
        <v>2196</v>
      </c>
      <c r="L48" s="3078"/>
      <c r="M48" s="3081">
        <f ca="1">H101</f>
        <v>417245</v>
      </c>
      <c r="N48" s="3081"/>
      <c r="O48" s="3081"/>
    </row>
    <row r="49" spans="1:35" ht="25.5" customHeight="1">
      <c r="A49" s="176" t="s">
        <v>2197</v>
      </c>
      <c r="B49" s="3126" t="s">
        <v>2198</v>
      </c>
      <c r="C49" s="3126"/>
      <c r="D49" s="177">
        <v>0</v>
      </c>
      <c r="E49" s="23" t="s">
        <v>2199</v>
      </c>
      <c r="F49" s="28" t="s">
        <v>34</v>
      </c>
      <c r="G49" s="3107"/>
      <c r="H49" s="138"/>
      <c r="I49" s="2479"/>
      <c r="J49" s="1809">
        <v>4</v>
      </c>
      <c r="K49" s="3078" t="str">
        <f>IF(项目基本情况!E8="房地产抵押价值","房地产抵押价值","抵押担保权已注销时的房地产抵押价值")</f>
        <v>抵押担保权已注销时的房地产抵押价值</v>
      </c>
      <c r="L49" s="3078"/>
      <c r="M49" s="3081" t="str">
        <f>IF(项目基本情况!E8="房地产抵押价值",H107,H109)</f>
        <v>——</v>
      </c>
      <c r="N49" s="3081"/>
      <c r="O49" s="3081"/>
    </row>
    <row r="50" spans="1:35" ht="25.5" customHeight="1">
      <c r="A50" s="178"/>
      <c r="B50" s="3126" t="s">
        <v>2200</v>
      </c>
      <c r="C50" s="3126"/>
      <c r="D50" s="179"/>
      <c r="E50" s="31"/>
      <c r="F50" s="180"/>
      <c r="G50" s="3108"/>
      <c r="H50" s="138"/>
      <c r="I50" s="2479"/>
      <c r="J50" s="3078" t="s">
        <v>2201</v>
      </c>
      <c r="K50" s="3078"/>
      <c r="L50" s="3078"/>
      <c r="M50" s="3078"/>
      <c r="N50" s="3078"/>
      <c r="O50" s="3078"/>
    </row>
    <row r="51" spans="1:35" ht="12" customHeight="1">
      <c r="A51" s="181"/>
      <c r="B51" s="3126" t="s">
        <v>2202</v>
      </c>
      <c r="C51" s="3126"/>
      <c r="D51" s="182"/>
      <c r="E51" s="30"/>
      <c r="F51" s="180"/>
      <c r="G51" s="3109"/>
      <c r="H51" s="138"/>
      <c r="I51" s="2479"/>
      <c r="J51" s="2480" t="s">
        <v>2203</v>
      </c>
      <c r="K51" s="3078" t="s">
        <v>2204</v>
      </c>
      <c r="L51" s="3078"/>
      <c r="M51" s="2480" t="s">
        <v>2205</v>
      </c>
      <c r="N51" s="2480" t="s">
        <v>2206</v>
      </c>
      <c r="O51" s="2480" t="s">
        <v>2207</v>
      </c>
    </row>
    <row r="52" spans="1:35" ht="24" customHeight="1">
      <c r="A52" s="183" t="s">
        <v>2208</v>
      </c>
      <c r="B52" s="3126" t="s">
        <v>2209</v>
      </c>
      <c r="C52" s="3126"/>
      <c r="D52" s="182">
        <f ca="1">ROUND(D45*'数据-取费表'!B41/(1+'数据-取费表'!C42),0)</f>
        <v>0</v>
      </c>
      <c r="E52" s="11" t="s">
        <v>2210</v>
      </c>
      <c r="F52" s="184">
        <f>'数据-取费表'!B41</f>
        <v>0</v>
      </c>
      <c r="G52" s="2481"/>
      <c r="H52" s="138"/>
      <c r="I52" s="2479"/>
      <c r="J52" s="1809">
        <v>1</v>
      </c>
      <c r="K52" s="3101" t="s">
        <v>2211</v>
      </c>
      <c r="L52" s="3101"/>
      <c r="M52" s="1751">
        <f>D48</f>
        <v>0</v>
      </c>
      <c r="N52" s="1809" t="str">
        <f>E48</f>
        <v>销售额×税（费）率</v>
      </c>
      <c r="O52" s="1752" t="str">
        <f>F48</f>
        <v>免征</v>
      </c>
    </row>
    <row r="53" spans="1:35" ht="12" customHeight="1">
      <c r="A53" s="183" t="s">
        <v>2212</v>
      </c>
      <c r="B53" s="3127" t="s">
        <v>2213</v>
      </c>
      <c r="C53" s="3128"/>
      <c r="D53" s="182">
        <f ca="1">ROUND(D45*'数据-取费表'!B41/(1+'数据-取费表'!C42),0)</f>
        <v>0</v>
      </c>
      <c r="E53" s="11" t="s">
        <v>2210</v>
      </c>
      <c r="F53" s="184">
        <f>'数据-取费表'!B41</f>
        <v>0</v>
      </c>
      <c r="G53" s="2481"/>
      <c r="H53" s="138"/>
      <c r="I53" s="2479"/>
      <c r="J53" s="1809">
        <v>2</v>
      </c>
      <c r="K53" s="3101" t="s">
        <v>2214</v>
      </c>
      <c r="L53" s="3101"/>
      <c r="M53" s="1751">
        <f t="shared" ref="M53:O54" ca="1" si="0">D55</f>
        <v>0</v>
      </c>
      <c r="N53" s="1809" t="str">
        <f t="shared" si="0"/>
        <v>销售额×税（费）率</v>
      </c>
      <c r="O53" s="1752">
        <f t="shared" si="0"/>
        <v>0</v>
      </c>
    </row>
    <row r="54" spans="1:35" ht="12" customHeight="1">
      <c r="A54" s="183" t="s">
        <v>2215</v>
      </c>
      <c r="B54" s="3127" t="s">
        <v>2216</v>
      </c>
      <c r="C54" s="3128"/>
      <c r="D54" s="182">
        <f ca="1">C68</f>
        <v>0</v>
      </c>
      <c r="E54" s="30" t="s">
        <v>2217</v>
      </c>
      <c r="F54" s="184">
        <f>'数据-取费表'!B41</f>
        <v>0</v>
      </c>
      <c r="G54" s="2481"/>
      <c r="H54" s="2482"/>
      <c r="I54" s="2479"/>
      <c r="J54" s="1809">
        <v>3</v>
      </c>
      <c r="K54" s="3101" t="s">
        <v>2218</v>
      </c>
      <c r="L54" s="3101"/>
      <c r="M54" s="1751" t="e">
        <f t="shared" ca="1" si="0"/>
        <v>#DIV/0!</v>
      </c>
      <c r="N54" s="1809" t="str">
        <f t="shared" si="0"/>
        <v>增值额×税（费）率</v>
      </c>
      <c r="O54" s="1753" t="str">
        <f t="shared" si="0"/>
        <v>——</v>
      </c>
    </row>
    <row r="55" spans="1:35" ht="24" customHeight="1">
      <c r="A55" s="3165" t="s">
        <v>2219</v>
      </c>
      <c r="B55" s="3147"/>
      <c r="C55" s="3147"/>
      <c r="D55" s="185">
        <f ca="1">IF(H55="个人住宅",0,ROUND(D45*I55,0))</f>
        <v>0</v>
      </c>
      <c r="E55" s="11" t="s">
        <v>2220</v>
      </c>
      <c r="F55" s="184">
        <f>IF(H55="正常",I55,"免征")</f>
        <v>0</v>
      </c>
      <c r="G55" s="2481"/>
      <c r="H55" s="2478" t="s">
        <v>2221</v>
      </c>
      <c r="I55" s="186">
        <f>'数据-取费表'!B49</f>
        <v>0</v>
      </c>
      <c r="J55" s="1809" t="str">
        <f>IF(H59="非个人房产","",4)</f>
        <v/>
      </c>
      <c r="K55" s="3101" t="str">
        <f>IF(H59="非个人房产","——","个人所得税")</f>
        <v>——</v>
      </c>
      <c r="L55" s="3101"/>
      <c r="M55" s="1754" t="str">
        <f>D59</f>
        <v>——</v>
      </c>
      <c r="N55" s="1807" t="str">
        <f>E59</f>
        <v>——</v>
      </c>
      <c r="O55" s="1755" t="str">
        <f>F59</f>
        <v>——</v>
      </c>
    </row>
    <row r="56" spans="1:35" ht="24.75">
      <c r="A56" s="3165" t="s">
        <v>2222</v>
      </c>
      <c r="B56" s="3147"/>
      <c r="C56" s="3147"/>
      <c r="D56" s="185" t="e">
        <f ca="1">IF(H56="个人住宅",D57,D58)</f>
        <v>#DIV/0!</v>
      </c>
      <c r="E56" s="11" t="s">
        <v>2223</v>
      </c>
      <c r="F56" s="184" t="str">
        <f>IF(H56="正常",F58,"免征")</f>
        <v>——</v>
      </c>
      <c r="G56" s="2483" t="s">
        <v>2224</v>
      </c>
      <c r="H56" s="2484" t="s">
        <v>2221</v>
      </c>
      <c r="I56" s="2485"/>
      <c r="J56" s="1809" t="str">
        <f>IF(项目基本情况!K6="上海银行",IF(J55="",4,J55+1),"")</f>
        <v/>
      </c>
      <c r="K56" s="3084" t="str">
        <f>IF(项目基本情况!K6="上海银行","其他处置费用","")</f>
        <v/>
      </c>
      <c r="L56" s="3085"/>
      <c r="M56" s="1751" t="str">
        <f>IF(项目基本情况!K6="上海银行",M69,"")</f>
        <v/>
      </c>
      <c r="N56" s="3087" t="str">
        <f>IF(项目基本情况!K6="上海银行","包含处置中涉及的律师、诉讼、拍卖、评估等费用","")</f>
        <v/>
      </c>
      <c r="O56" s="3088"/>
    </row>
    <row r="57" spans="1:35" ht="12.75">
      <c r="A57" s="183" t="s">
        <v>2197</v>
      </c>
      <c r="B57" s="3132" t="s">
        <v>2225</v>
      </c>
      <c r="C57" s="3133"/>
      <c r="D57" s="187">
        <v>0</v>
      </c>
      <c r="E57" s="23" t="s">
        <v>2199</v>
      </c>
      <c r="F57" s="155"/>
      <c r="G57" s="2481"/>
      <c r="H57" s="2485"/>
      <c r="I57" s="2485"/>
      <c r="J57" s="3101">
        <f>IF(AND(J55="",J56=""),4,IF(项目基本情况!K6="上海银行",结果表!J56+1,结果表!J55+1))</f>
        <v>4</v>
      </c>
      <c r="K57" s="3101" t="s">
        <v>2226</v>
      </c>
      <c r="L57" s="2486" t="s">
        <v>2227</v>
      </c>
      <c r="M57" s="1756"/>
      <c r="N57" s="1757">
        <f ca="1">SUMIF(M52:M56,"&lt;9e307")</f>
        <v>0</v>
      </c>
      <c r="O57" s="2487"/>
      <c r="P57" s="1750" t="e">
        <f ca="1">N57/M49</f>
        <v>#VALUE!</v>
      </c>
    </row>
    <row r="58" spans="1:35" ht="24.75">
      <c r="A58" s="183" t="s">
        <v>2208</v>
      </c>
      <c r="B58" s="3132" t="s">
        <v>2228</v>
      </c>
      <c r="C58" s="3145"/>
      <c r="D58" s="185" t="e">
        <f ca="1">IF(H58="转让取得",C81,C97)</f>
        <v>#DIV/0!</v>
      </c>
      <c r="E58" s="11" t="s">
        <v>2223</v>
      </c>
      <c r="F58" s="24" t="s">
        <v>34</v>
      </c>
      <c r="G58" s="2481"/>
      <c r="H58" s="2484" t="s">
        <v>2229</v>
      </c>
      <c r="I58" s="2485"/>
      <c r="J58" s="3101"/>
      <c r="K58" s="3101"/>
      <c r="L58" s="2486" t="s">
        <v>2230</v>
      </c>
      <c r="M58" s="1758"/>
      <c r="N58" s="2488" t="str">
        <f ca="1">NUMBERSTRING(INT(N57*10000),2)&amp;"元整"</f>
        <v>零元整</v>
      </c>
      <c r="O58" s="2489"/>
    </row>
    <row r="59" spans="1:35" ht="24.75" thickBot="1">
      <c r="A59" s="3105" t="s">
        <v>2231</v>
      </c>
      <c r="B59" s="3106"/>
      <c r="C59" s="3106"/>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03">
        <f>J57+1</f>
        <v>5</v>
      </c>
      <c r="K59" s="3101" t="s">
        <v>2233</v>
      </c>
      <c r="L59" s="1809" t="s">
        <v>2227</v>
      </c>
      <c r="M59" s="1759"/>
      <c r="N59" s="1760" t="e">
        <f ca="1">M49-N57</f>
        <v>#VALUE!</v>
      </c>
      <c r="O59" s="2491"/>
    </row>
    <row r="60" spans="1:35" ht="12" customHeight="1">
      <c r="A60" s="2492"/>
      <c r="B60" s="2414"/>
      <c r="C60" s="2414"/>
      <c r="D60" s="2414"/>
      <c r="E60" s="2164"/>
      <c r="F60" s="2485"/>
      <c r="G60" s="2485"/>
      <c r="H60" s="2493"/>
      <c r="I60" s="138"/>
      <c r="J60" s="3104"/>
      <c r="K60" s="3101"/>
      <c r="L60" s="2486" t="s">
        <v>2230</v>
      </c>
      <c r="M60" s="1758"/>
      <c r="N60" s="2488" t="e">
        <f ca="1">NUMBERSTRING(INT(N59*10000),2)&amp;"元整"</f>
        <v>#VALUE!</v>
      </c>
      <c r="O60" s="2489"/>
    </row>
    <row r="61" spans="1:35" ht="13.5" thickBot="1">
      <c r="A61" s="3164" t="s">
        <v>2234</v>
      </c>
      <c r="B61" s="3164"/>
      <c r="C61" s="3164"/>
      <c r="D61" s="3164"/>
      <c r="E61" s="3164"/>
      <c r="F61" s="2485"/>
      <c r="G61" s="2485"/>
      <c r="H61" s="2493"/>
      <c r="I61" s="138"/>
      <c r="J61" s="1809">
        <f>J59+1</f>
        <v>6</v>
      </c>
      <c r="K61" s="3101" t="s">
        <v>2235</v>
      </c>
      <c r="L61" s="3101"/>
      <c r="M61" s="1761"/>
      <c r="N61" s="1762" t="e">
        <f ca="1">ROUND(N59*10000/'数据-汇总表'!E3,0)</f>
        <v>#VALUE!</v>
      </c>
      <c r="O61" s="2494"/>
    </row>
    <row r="62" spans="1:35" ht="12.75">
      <c r="A62" s="3121" t="s">
        <v>2236</v>
      </c>
      <c r="B62" s="3122"/>
      <c r="C62" s="1801"/>
      <c r="D62" s="1801" t="s">
        <v>2237</v>
      </c>
      <c r="E62" s="192" t="s">
        <v>2238</v>
      </c>
      <c r="F62" s="2485"/>
      <c r="G62" s="2485"/>
      <c r="H62" s="2493"/>
      <c r="I62" s="138"/>
    </row>
    <row r="63" spans="1:35" ht="12.75">
      <c r="A63" s="203" t="s">
        <v>775</v>
      </c>
      <c r="B63" s="193" t="s">
        <v>2239</v>
      </c>
      <c r="C63" s="194">
        <f ca="1">ROUND((C64+C65)/(1+'数据-取费表'!C42),0)</f>
        <v>417245</v>
      </c>
      <c r="D63" s="195"/>
      <c r="E63" s="196"/>
      <c r="F63" s="2485"/>
      <c r="G63" s="2485"/>
      <c r="H63" s="2493"/>
      <c r="I63" s="138"/>
      <c r="J63" s="3086"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417245</v>
      </c>
      <c r="D64" s="200" t="s">
        <v>32</v>
      </c>
      <c r="E64" s="201"/>
      <c r="F64" s="2485"/>
      <c r="G64" s="2485"/>
      <c r="H64" s="2493"/>
      <c r="I64" s="138"/>
      <c r="J64" s="3086"/>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9"/>
      <c r="AI64" s="2420"/>
    </row>
    <row r="65" spans="1:35" ht="14.25" customHeight="1">
      <c r="A65" s="197" t="s">
        <v>771</v>
      </c>
      <c r="B65" s="198" t="s">
        <v>2245</v>
      </c>
      <c r="C65" s="202"/>
      <c r="D65" s="200"/>
      <c r="E65" s="201"/>
      <c r="F65" s="2485"/>
      <c r="G65" s="2485"/>
      <c r="H65" s="2493"/>
      <c r="I65" s="138"/>
      <c r="J65" s="3086"/>
      <c r="K65" s="2495" t="s">
        <v>2246</v>
      </c>
      <c r="L65" s="1749" t="e">
        <f>IF(M49&gt;1000,M49*0.1%,IF(AND(M49&gt;500,M49&lt;=1000),M49*0.5%,IF(AND(M49&gt;50,M49&lt;=500),M49*1%,IF(AND(M49&gt;1,M49&lt;=50),M49*1.5%))))</f>
        <v>#VALUE!</v>
      </c>
      <c r="M65" s="24" t="e">
        <f t="shared" si="1"/>
        <v>#VALUE!</v>
      </c>
      <c r="N65" s="138" t="s">
        <v>2244</v>
      </c>
      <c r="Z65" s="2419"/>
      <c r="AI65" s="2420"/>
    </row>
    <row r="66" spans="1:35" ht="14.25" customHeight="1">
      <c r="A66" s="203" t="s">
        <v>772</v>
      </c>
      <c r="B66" s="204" t="s">
        <v>2247</v>
      </c>
      <c r="C66" s="205"/>
      <c r="D66" s="206" t="s">
        <v>32</v>
      </c>
      <c r="E66" s="1773" t="s">
        <v>1366</v>
      </c>
      <c r="F66" s="2485"/>
      <c r="G66" s="2485"/>
      <c r="H66" s="2493"/>
      <c r="I66" s="138"/>
      <c r="J66" s="3086"/>
      <c r="K66" s="2495" t="s">
        <v>2248</v>
      </c>
      <c r="L66" s="1749" t="e">
        <f>M49*0.5%</f>
        <v>#VALUE!</v>
      </c>
      <c r="M66" s="24" t="e">
        <f>IF(L66&gt;0.5,0.5,ROUND(L66,0))</f>
        <v>#VALUE!</v>
      </c>
      <c r="N66" s="138" t="s">
        <v>2249</v>
      </c>
      <c r="Z66" s="2419"/>
      <c r="AI66" s="2420"/>
    </row>
    <row r="67" spans="1:35" ht="14.25" customHeight="1">
      <c r="A67" s="203" t="s">
        <v>773</v>
      </c>
      <c r="B67" s="204" t="s">
        <v>2250</v>
      </c>
      <c r="C67" s="207">
        <f ca="1">C63-C66</f>
        <v>417245</v>
      </c>
      <c r="D67" s="200" t="s">
        <v>32</v>
      </c>
      <c r="E67" s="201"/>
      <c r="F67" s="2485"/>
      <c r="G67" s="2485"/>
      <c r="H67" s="2493"/>
      <c r="I67" s="138"/>
      <c r="J67" s="3086"/>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086"/>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086"/>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30" t="s">
        <v>2255</v>
      </c>
      <c r="B70" s="3131"/>
      <c r="C70" s="3131"/>
      <c r="D70" s="3131"/>
      <c r="E70" s="3131"/>
      <c r="F70" s="3131"/>
      <c r="G70" s="3131"/>
      <c r="H70" s="313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1" t="s">
        <v>2236</v>
      </c>
      <c r="B71" s="3122"/>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417245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27" t="s">
        <v>2264</v>
      </c>
      <c r="F76" s="3126"/>
      <c r="G76" s="3126"/>
      <c r="H76" s="312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118" t="s">
        <v>2269</v>
      </c>
      <c r="F78" s="3119"/>
      <c r="G78" s="3119"/>
      <c r="H78" s="312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417245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30" t="s">
        <v>2273</v>
      </c>
      <c r="B83" s="3131"/>
      <c r="C83" s="3131"/>
      <c r="D83" s="3131"/>
      <c r="E83" s="3131"/>
      <c r="F83" s="3131"/>
      <c r="G83" s="3131"/>
      <c r="H83" s="313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1" t="s">
        <v>2236</v>
      </c>
      <c r="B84" s="3122"/>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417245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18" t="s">
        <v>2282</v>
      </c>
      <c r="F91" s="3119"/>
      <c r="G91" s="3119"/>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18" t="s">
        <v>2286</v>
      </c>
      <c r="F92" s="3119"/>
      <c r="G92" s="3119"/>
      <c r="H92" s="312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118" t="s">
        <v>2269</v>
      </c>
      <c r="F93" s="3119"/>
      <c r="G93" s="3119"/>
      <c r="H93" s="312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66" t="s">
        <v>2290</v>
      </c>
      <c r="F94" s="3167"/>
      <c r="G94" s="3167"/>
      <c r="H94" s="316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417245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65" t="s">
        <v>2292</v>
      </c>
      <c r="B100" s="3066"/>
      <c r="C100" s="3066"/>
      <c r="D100" s="3102"/>
      <c r="E100" s="3066" t="s">
        <v>2293</v>
      </c>
      <c r="F100" s="3066"/>
      <c r="G100" s="3066"/>
      <c r="H100" s="3102"/>
      <c r="I100" s="138"/>
    </row>
    <row r="101" spans="1:35" ht="18.75" customHeight="1">
      <c r="A101" s="3110" t="s">
        <v>2294</v>
      </c>
      <c r="B101" s="3111"/>
      <c r="C101" s="736" t="str">
        <f>C4</f>
        <v>比较法-住宅</v>
      </c>
      <c r="D101" s="737" t="str">
        <f>D4</f>
        <v>比较法-住宅</v>
      </c>
      <c r="E101" s="3082" t="s">
        <v>2295</v>
      </c>
      <c r="F101" s="3083"/>
      <c r="G101" s="2516" t="s">
        <v>2296</v>
      </c>
      <c r="H101" s="1045">
        <f ca="1">H118</f>
        <v>417245</v>
      </c>
      <c r="I101" s="138"/>
    </row>
    <row r="102" spans="1:35" ht="18.75" customHeight="1">
      <c r="A102" s="3112" t="s">
        <v>2297</v>
      </c>
      <c r="B102" s="2516" t="s">
        <v>2296</v>
      </c>
      <c r="C102" s="736">
        <f ca="1">C19</f>
        <v>417245</v>
      </c>
      <c r="D102" s="737">
        <f ca="1">D19</f>
        <v>417245</v>
      </c>
      <c r="E102" s="3082"/>
      <c r="F102" s="3083"/>
      <c r="G102" s="2516" t="s">
        <v>2298</v>
      </c>
      <c r="H102" s="371" t="e">
        <f ca="1">I118</f>
        <v>#DIV/0!</v>
      </c>
      <c r="I102" s="138"/>
    </row>
    <row r="103" spans="1:35" ht="42.75" customHeight="1">
      <c r="A103" s="3112"/>
      <c r="B103" s="2516" t="s">
        <v>2298</v>
      </c>
      <c r="C103" s="738">
        <f ca="1">C20</f>
        <v>47975</v>
      </c>
      <c r="D103" s="739">
        <f ca="1">D20</f>
        <v>47975</v>
      </c>
      <c r="E103" s="3076" t="s">
        <v>2299</v>
      </c>
      <c r="F103" s="3077"/>
      <c r="G103" s="2517" t="s">
        <v>2300</v>
      </c>
      <c r="H103" s="1045">
        <f>IF(D36="正常操作",H104+H105+H106,H105+H106)</f>
        <v>0</v>
      </c>
      <c r="I103" s="138"/>
    </row>
    <row r="104" spans="1:35" ht="18.75" customHeight="1">
      <c r="A104" s="3112" t="s">
        <v>2301</v>
      </c>
      <c r="B104" s="2518" t="s">
        <v>2296</v>
      </c>
      <c r="C104" s="740">
        <f ca="1">H118</f>
        <v>417245</v>
      </c>
      <c r="D104" s="741"/>
      <c r="E104" s="2265" t="s">
        <v>2302</v>
      </c>
      <c r="F104" s="2256"/>
      <c r="G104" s="2517" t="s">
        <v>2300</v>
      </c>
      <c r="H104" s="1046">
        <f>IF(D36="同一抵押权人同一抵押物续贷",C36&amp;"（未扣减，详见特别提示）",C36)</f>
        <v>0</v>
      </c>
      <c r="I104" s="138"/>
    </row>
    <row r="105" spans="1:35" ht="18.75" customHeight="1" thickBot="1">
      <c r="A105" s="3124"/>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13" t="str">
        <f>IF(项目基本情况!E8="已注销","——","3.房地产抵押价值")</f>
        <v>3.房地产抵押价值</v>
      </c>
      <c r="F107" s="3083"/>
      <c r="G107" s="2516" t="s">
        <v>2296</v>
      </c>
      <c r="H107" s="1045">
        <f ca="1">IF(E107="——","——",H101-H103)</f>
        <v>417245</v>
      </c>
      <c r="I107" s="138"/>
    </row>
    <row r="108" spans="1:35" ht="18.75" customHeight="1">
      <c r="A108" s="138"/>
      <c r="B108" s="138"/>
      <c r="C108" s="138"/>
      <c r="D108" s="138"/>
      <c r="E108" s="3113"/>
      <c r="F108" s="3083"/>
      <c r="G108" s="2516" t="s">
        <v>2298</v>
      </c>
      <c r="H108" s="371">
        <f ca="1">ROUND(H107*10000/'数据-汇总表'!E3,0)</f>
        <v>47975</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083"/>
      <c r="G109" s="2516" t="s">
        <v>2296</v>
      </c>
      <c r="H109" s="348" t="str">
        <f>IF(E109="——","——",H101-H105-H106)</f>
        <v>——</v>
      </c>
      <c r="I109" s="138"/>
    </row>
    <row r="110" spans="1:35" ht="18.75" customHeight="1">
      <c r="A110" s="138"/>
      <c r="B110" s="138"/>
      <c r="C110" s="138"/>
      <c r="D110" s="138"/>
      <c r="E110" s="3113"/>
      <c r="F110" s="3083"/>
      <c r="G110" s="2516" t="s">
        <v>2298</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516" t="s">
        <v>2296</v>
      </c>
      <c r="H111" s="1045" t="str">
        <f>IF(E111="——","——",N59)</f>
        <v>——</v>
      </c>
      <c r="I111" s="138"/>
    </row>
    <row r="112" spans="1:35" ht="18.75" customHeight="1" thickBot="1">
      <c r="A112" s="138"/>
      <c r="B112" s="138"/>
      <c r="C112" s="138"/>
      <c r="D112" s="138"/>
      <c r="E112" s="3116"/>
      <c r="F112" s="3117"/>
      <c r="G112" s="2521" t="s">
        <v>2298</v>
      </c>
      <c r="H112" s="790" t="str">
        <f>IF(E111="——","——",N61)</f>
        <v>——</v>
      </c>
      <c r="I112" s="138"/>
    </row>
    <row r="113" spans="1:11" ht="18.75" customHeight="1">
      <c r="A113" s="138"/>
      <c r="B113" s="138"/>
      <c r="C113" s="138"/>
      <c r="D113" s="138"/>
      <c r="E113" s="3125" t="s">
        <v>2304</v>
      </c>
      <c r="F113" s="3125"/>
      <c r="G113" s="3125"/>
      <c r="H113" s="3125"/>
      <c r="I113" s="138"/>
    </row>
    <row r="114" spans="1:11" ht="3.75" customHeight="1">
      <c r="A114" s="2414"/>
      <c r="B114" s="2414"/>
      <c r="C114" s="2414"/>
      <c r="D114" s="2414"/>
      <c r="E114" s="2492"/>
      <c r="F114" s="2492"/>
      <c r="G114" s="2492"/>
      <c r="H114" s="2492"/>
      <c r="I114" s="2414"/>
    </row>
    <row r="115" spans="1:11" ht="18.75" customHeight="1">
      <c r="A115" s="3138" t="s">
        <v>2306</v>
      </c>
      <c r="B115" s="3139"/>
      <c r="C115" s="3139"/>
      <c r="D115" s="3139"/>
      <c r="E115" s="3139"/>
      <c r="F115" s="3139"/>
      <c r="G115" s="3139"/>
      <c r="H115" s="3139"/>
      <c r="I115" s="3140"/>
    </row>
    <row r="116" spans="1:11" ht="27" customHeight="1">
      <c r="A116" s="3044" t="s">
        <v>2307</v>
      </c>
      <c r="B116" s="3092" t="s">
        <v>2308</v>
      </c>
      <c r="C116" s="3092" t="s">
        <v>2309</v>
      </c>
      <c r="D116" s="3098" t="s">
        <v>2310</v>
      </c>
      <c r="E116" s="3099"/>
      <c r="F116" s="3134" t="s">
        <v>2311</v>
      </c>
      <c r="G116" s="3134"/>
      <c r="H116" s="3044" t="s">
        <v>2312</v>
      </c>
      <c r="I116" s="3044"/>
    </row>
    <row r="117" spans="1:11" ht="18.75" customHeight="1">
      <c r="A117" s="3044"/>
      <c r="B117" s="3093"/>
      <c r="C117" s="3093"/>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417245</v>
      </c>
      <c r="I118" s="1795" t="e">
        <f ca="1">ROUND(IF(D32="楼面单价",C32,H118*10000/B118),0)</f>
        <v>#DIV/0!</v>
      </c>
    </row>
    <row r="119" spans="1:11" ht="18.75" customHeight="1">
      <c r="A119" s="3044" t="s">
        <v>2316</v>
      </c>
      <c r="B119" s="3044"/>
      <c r="C119" s="3044"/>
      <c r="D119" s="3094" t="e">
        <f ca="1">NUMBERSTRING(INT(D118*10000),2)&amp;"元整"</f>
        <v>#REF!</v>
      </c>
      <c r="E119" s="3095"/>
      <c r="F119" s="3094" t="e">
        <f ca="1">NUMBERSTRING(INT(F118*10000),2)&amp;"元整"</f>
        <v>#REF!</v>
      </c>
      <c r="G119" s="3095"/>
      <c r="H119" s="3094" t="str">
        <f ca="1">NUMBERSTRING(INT(H118*10000),2)&amp;"元整"</f>
        <v>肆拾壹亿柒仟贰佰肆拾伍万元整</v>
      </c>
      <c r="I119" s="3095"/>
    </row>
    <row r="120" spans="1:11" ht="18.75" customHeight="1">
      <c r="A120" s="3089" t="str">
        <f>IF(项目基本情况!B9="房地产市场价值","",MID(E103,3,LEN(E103)-2))</f>
        <v/>
      </c>
      <c r="B120" s="3090"/>
      <c r="C120" s="3091"/>
      <c r="D120" s="3089">
        <f>H103</f>
        <v>0</v>
      </c>
      <c r="E120" s="3090"/>
      <c r="F120" s="3090"/>
      <c r="G120" s="3090"/>
      <c r="H120" s="3090"/>
      <c r="I120" s="3091"/>
      <c r="K120" s="2419" t="str">
        <f>IF(D120=0,"故，本次评估不存在"&amp;A120,"故，本次评估"&amp;A120&amp;"为人民币"&amp;D120&amp;"万元整。")</f>
        <v>故，本次评估不存在</v>
      </c>
    </row>
    <row r="121" spans="1:11" ht="18.75" customHeight="1">
      <c r="A121" s="3135" t="s">
        <v>2316</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
      </c>
      <c r="B122" s="3100"/>
      <c r="C122" s="3100"/>
      <c r="D122" s="3089">
        <f ca="1">H107</f>
        <v>417245</v>
      </c>
      <c r="E122" s="3090"/>
      <c r="F122" s="3090"/>
      <c r="G122" s="3090"/>
      <c r="H122" s="3090"/>
      <c r="I122" s="3091"/>
    </row>
    <row r="123" spans="1:11" ht="18.75" customHeight="1">
      <c r="A123" s="3044" t="s">
        <v>2316</v>
      </c>
      <c r="B123" s="3044"/>
      <c r="C123" s="3044"/>
      <c r="D123" s="3094" t="str">
        <f ca="1">NUMBERSTRING(INT(D122*10000),2)&amp;"元整"</f>
        <v>肆拾壹亿柒仟贰佰肆拾伍万元整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4" t="s">
        <v>2316</v>
      </c>
      <c r="B125" s="3044"/>
      <c r="C125" s="3044"/>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4" t="s">
        <v>2316</v>
      </c>
      <c r="B127" s="3044"/>
      <c r="C127" s="3044"/>
      <c r="D127" s="3094" t="e">
        <f>NUMBERSTRING(INT(D126*10000),2)&amp;"元整"</f>
        <v>#VALUE!</v>
      </c>
      <c r="E127" s="3096"/>
      <c r="F127" s="3096"/>
      <c r="G127" s="3096"/>
      <c r="H127" s="3096"/>
      <c r="I127" s="3095"/>
    </row>
    <row r="128" spans="1:11" ht="21.75" customHeight="1">
      <c r="A128" s="3097" t="s">
        <v>2317</v>
      </c>
      <c r="B128" s="3097"/>
      <c r="C128" s="3097"/>
      <c r="D128" s="3097"/>
      <c r="E128" s="3097"/>
      <c r="F128" s="3097"/>
      <c r="G128" s="3097"/>
      <c r="H128" s="3097"/>
      <c r="I128" s="3097"/>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24">
      <c r="A25" s="951" t="s">
        <v>2372</v>
      </c>
      <c r="B25" s="259" t="s">
        <v>2373</v>
      </c>
      <c r="C25" s="1355" t="e">
        <f ca="1">ROUND(IF('数据-取费表'!B22&lt;=1,C20*F22*'数据-取费表'!B23/2,C20*(POWER((1+F22),'数据-取费表'!B23/2)-1)),0)</f>
        <v>#VALUE!</v>
      </c>
      <c r="D25" s="282"/>
      <c r="E25" s="285"/>
      <c r="F25" s="283"/>
      <c r="G25" s="286" t="s">
        <v>2374</v>
      </c>
    </row>
    <row r="26" spans="1:7" s="258" customFormat="1">
      <c r="A26" s="951" t="s">
        <v>795</v>
      </c>
      <c r="B26" s="259" t="s">
        <v>2375</v>
      </c>
      <c r="C26" s="282" t="e">
        <f ca="1">ROUND(IF('数据-取费表'!B22&lt;=1,F21*F22*'数据-取费表'!B23/2,F21*(POWER((1+F22),'数据-取费表'!B23/2)-1)),4)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69" t="s">
        <v>2408</v>
      </c>
    </row>
    <row r="43" spans="1:7" ht="13.5" customHeight="1">
      <c r="A43" s="951" t="s">
        <v>792</v>
      </c>
      <c r="B43" s="259" t="s">
        <v>2409</v>
      </c>
      <c r="C43" s="282" t="e">
        <f ca="1">ROUND(IF('数据-取费表'!B22&lt;=1,C39*F22*'数据-取费表'!B21/2,C39*(POWER((1+F22),'数据-取费表'!B21/2)-1)),0)</f>
        <v>#VALUE!</v>
      </c>
      <c r="D43" s="282"/>
      <c r="E43" s="282"/>
      <c r="F43" s="283"/>
      <c r="G43" s="3170"/>
    </row>
    <row r="44" spans="1:7" ht="13.5" customHeight="1">
      <c r="A44" s="951" t="s">
        <v>793</v>
      </c>
      <c r="B44" s="259" t="s">
        <v>2410</v>
      </c>
      <c r="C44" s="282" t="e">
        <f ca="1">ROUND(IF('数据-取费表'!B22&lt;=1,C40*F22*'数据-取费表'!B21/2,C40*(POWER((1+F22),'数据-取费表'!B21/2)-1)),4)</f>
        <v>#VALUE!</v>
      </c>
      <c r="D44" s="282"/>
      <c r="E44" s="282"/>
      <c r="F44" s="283"/>
      <c r="G44" s="317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24">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北京市北京经济技术开发区河西区X90R1、X90S1地块出让国有建设用地使用权及在建建筑物房地产市场价值预评估</v>
      </c>
      <c r="C37" s="2978"/>
      <c r="D37" s="2978"/>
      <c r="E37" s="2978"/>
      <c r="F37" s="2978"/>
      <c r="G37" s="2978"/>
      <c r="H37" s="2978"/>
      <c r="I37" s="2978"/>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24">
      <c r="A25" s="951" t="s">
        <v>2340</v>
      </c>
      <c r="B25" s="259" t="s">
        <v>2451</v>
      </c>
      <c r="C25" s="1381" t="e">
        <f ca="1">ROUND(IF('数据-取费表'!B22&lt;=1,C20*F22*'数据-取费表'!B22/2,C20*(POWER((1+F22),'数据-取费表'!B22/2)-1)),0)</f>
        <v>#VALUE!</v>
      </c>
      <c r="D25" s="282"/>
      <c r="E25" s="285"/>
      <c r="F25" s="283"/>
      <c r="G25" s="286" t="s">
        <v>2452</v>
      </c>
    </row>
    <row r="26" spans="1:7" s="258" customFormat="1">
      <c r="A26" s="951" t="s">
        <v>795</v>
      </c>
      <c r="B26" s="259" t="s">
        <v>2375</v>
      </c>
      <c r="C26" s="282" t="e">
        <f ca="1">ROUND(IF('数据-取费表'!B22&lt;=1,F21*F22*'数据-取费表'!B22/2,F21*(POWER((1+F22),'数据-取费表'!B22/2)-1)),4)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69" t="s">
        <v>2455</v>
      </c>
    </row>
    <row r="43" spans="1:7" ht="13.5" customHeight="1">
      <c r="A43" s="951" t="s">
        <v>792</v>
      </c>
      <c r="B43" s="259" t="s">
        <v>2409</v>
      </c>
      <c r="C43" s="282" t="e">
        <f ca="1">ROUND(IF('数据-取费表'!B22&lt;=1,C39*F22*'数据-取费表'!B20/2,C39*(POWER((1+F22),'数据-取费表'!B20/2)-1)),0)</f>
        <v>#VALUE!</v>
      </c>
      <c r="D43" s="282"/>
      <c r="E43" s="282"/>
      <c r="F43" s="283"/>
      <c r="G43" s="3170"/>
    </row>
    <row r="44" spans="1:7" ht="13.5" customHeight="1">
      <c r="A44" s="951" t="s">
        <v>793</v>
      </c>
      <c r="B44" s="259" t="s">
        <v>2410</v>
      </c>
      <c r="C44" s="282" t="e">
        <f ca="1">ROUND(IF('数据-取费表'!B22&lt;=1,C40*F22*'数据-取费表'!B20/2,C40*(POWER((1+F22),'数据-取费表'!B20/2)-1)),4)</f>
        <v>#VALUE!</v>
      </c>
      <c r="D44" s="282"/>
      <c r="E44" s="282"/>
      <c r="F44" s="283"/>
      <c r="G44" s="317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74" t="s">
        <v>1397</v>
      </c>
      <c r="C6" s="1296">
        <f ca="1">ROUND(F6*F8*F7*(1-F9)/10000,0)</f>
        <v>0</v>
      </c>
      <c r="D6" s="164" t="s">
        <v>3031</v>
      </c>
      <c r="E6" s="347" t="s">
        <v>1399</v>
      </c>
      <c r="F6" s="348">
        <f ca="1">INDIRECT("'数据-取费表'!u"&amp;$G$1)</f>
        <v>0</v>
      </c>
      <c r="G6" s="1851"/>
      <c r="H6" s="1291" t="s">
        <v>1031</v>
      </c>
      <c r="I6" s="3174" t="s">
        <v>1397</v>
      </c>
      <c r="J6" s="346">
        <f ca="1">ROUND(M6*M8*M7*(1-M9)/10000,0)</f>
        <v>0</v>
      </c>
      <c r="K6" s="164" t="s">
        <v>3030</v>
      </c>
      <c r="L6" s="347" t="s">
        <v>1399</v>
      </c>
      <c r="M6" s="348">
        <f ca="1">INDIRECT("'数据-取费表'!z"&amp;$G$1)</f>
        <v>0</v>
      </c>
    </row>
    <row r="7" spans="1:37" ht="18" customHeight="1">
      <c r="A7" s="1295"/>
      <c r="B7" s="3175"/>
      <c r="C7" s="1297"/>
      <c r="D7" s="352"/>
      <c r="E7" s="1298" t="s">
        <v>1400</v>
      </c>
      <c r="F7" s="348">
        <f ca="1">IF(INDIRECT("'数据-取费表'!ah"&amp;$G$1)="",INDIRECT("'数据-取费表'!k"&amp;$G$1),INDIRECT("'数据-取费表'!ah"&amp;$G$1))</f>
        <v>0</v>
      </c>
      <c r="G7" s="1851"/>
      <c r="H7" s="349"/>
      <c r="I7" s="3175"/>
      <c r="J7" s="351"/>
      <c r="K7" s="352"/>
      <c r="L7" s="347" t="s">
        <v>1400</v>
      </c>
      <c r="M7" s="348">
        <f ca="1">F7</f>
        <v>0</v>
      </c>
    </row>
    <row r="8" spans="1:37" ht="18" customHeight="1">
      <c r="A8" s="349"/>
      <c r="B8" s="3175"/>
      <c r="C8" s="351"/>
      <c r="D8" s="352"/>
      <c r="E8" s="347" t="s">
        <v>1401</v>
      </c>
      <c r="F8" s="348">
        <f ca="1">INDIRECT("'数据-取费表'!ai"&amp;$G$1)</f>
        <v>0</v>
      </c>
      <c r="G8" s="1851"/>
      <c r="H8" s="349"/>
      <c r="I8" s="3175"/>
      <c r="J8" s="351"/>
      <c r="K8" s="352"/>
      <c r="L8" s="347" t="s">
        <v>1401</v>
      </c>
      <c r="M8" s="348">
        <f ca="1">INDIRECT("'数据-取费表'!ai"&amp;$G$1)</f>
        <v>0</v>
      </c>
    </row>
    <row r="9" spans="1:37" ht="18" customHeight="1">
      <c r="A9" s="349"/>
      <c r="B9" s="3176"/>
      <c r="C9" s="351"/>
      <c r="D9" s="352"/>
      <c r="E9" s="347" t="s">
        <v>1402</v>
      </c>
      <c r="F9" s="357">
        <f ca="1">INDIRECT("'数据-取费表'!w"&amp;$G$1)</f>
        <v>0</v>
      </c>
      <c r="G9" s="1851"/>
      <c r="H9" s="349"/>
      <c r="I9" s="317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48">
        <f ca="1">IF(M47="住宅",IF(D1="——",MAX(J51,L48),MAX(J51,L48-'数据-取费表'!B24)),IF(D1="——",MIN(J51,L48),MIN(J51,L48-'数据-取费表'!B24)))</f>
        <v>0</v>
      </c>
      <c r="K53" s="3172" t="s">
        <v>1542</v>
      </c>
      <c r="L53" s="3173"/>
      <c r="O53" s="1884" t="s">
        <v>1042</v>
      </c>
      <c r="P53" s="1885" t="s">
        <v>1543</v>
      </c>
      <c r="Q53" s="1886" t="e">
        <f ca="1">Q47+Q48</f>
        <v>#VALUE!</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c r="O70" s="1894" t="s">
        <v>1045</v>
      </c>
      <c r="P70" s="1933" t="s">
        <v>1579</v>
      </c>
      <c r="Q70" s="1886" t="e">
        <f ca="1">C13</f>
        <v>#VALUE!</v>
      </c>
      <c r="R70" s="1886" t="s">
        <v>1523</v>
      </c>
    </row>
    <row r="71" spans="1:18" s="1842" customFormat="1" ht="13.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4" t="s">
        <v>1397</v>
      </c>
      <c r="C6" s="1296">
        <f ca="1">ROUND(F6*F8*F7*(1-F9),0)</f>
        <v>0</v>
      </c>
      <c r="D6" s="164" t="s">
        <v>3028</v>
      </c>
      <c r="E6" s="347" t="s">
        <v>1399</v>
      </c>
      <c r="F6" s="348">
        <f ca="1">INDIRECT("'数据-取费表'!u"&amp;$G$1)</f>
        <v>0</v>
      </c>
      <c r="G6" s="1851"/>
      <c r="H6" s="1291" t="s">
        <v>1031</v>
      </c>
      <c r="I6" s="3174" t="s">
        <v>1397</v>
      </c>
      <c r="J6" s="346">
        <f ca="1">ROUND(M6*M8*M7*(1-M9),0)</f>
        <v>0</v>
      </c>
      <c r="K6" s="1834" t="s">
        <v>3029</v>
      </c>
      <c r="L6" s="347" t="s">
        <v>1399</v>
      </c>
      <c r="M6" s="348">
        <f ca="1">INDIRECT("'数据-取费表'!z"&amp;$G$1)</f>
        <v>0</v>
      </c>
    </row>
    <row r="7" spans="1:37" ht="18" customHeight="1">
      <c r="A7" s="1295"/>
      <c r="B7" s="3175"/>
      <c r="C7" s="1297"/>
      <c r="D7" s="352"/>
      <c r="E7" s="1298" t="s">
        <v>1400</v>
      </c>
      <c r="F7" s="348">
        <f ca="1">IF(INDIRECT("'数据-取费表'!ah"&amp;$G$1)="",INDIRECT("'数据-取费表'!k"&amp;$G$1),INDIRECT("'数据-取费表'!ah"&amp;$G$1))</f>
        <v>0</v>
      </c>
      <c r="G7" s="1851"/>
      <c r="H7" s="349"/>
      <c r="I7" s="3175"/>
      <c r="J7" s="351"/>
      <c r="K7" s="352"/>
      <c r="L7" s="347" t="s">
        <v>1400</v>
      </c>
      <c r="M7" s="348">
        <f ca="1">F7</f>
        <v>0</v>
      </c>
    </row>
    <row r="8" spans="1:37" ht="18" customHeight="1">
      <c r="A8" s="349"/>
      <c r="B8" s="3175"/>
      <c r="C8" s="351"/>
      <c r="D8" s="352"/>
      <c r="E8" s="347" t="s">
        <v>1401</v>
      </c>
      <c r="F8" s="348">
        <f ca="1">INDIRECT("'数据-取费表'!ai"&amp;$G$1)</f>
        <v>0</v>
      </c>
      <c r="G8" s="1851"/>
      <c r="H8" s="349"/>
      <c r="I8" s="3175"/>
      <c r="J8" s="351"/>
      <c r="K8" s="352"/>
      <c r="L8" s="347" t="s">
        <v>1401</v>
      </c>
      <c r="M8" s="348">
        <f ca="1">INDIRECT("'数据-取费表'!ai"&amp;$G$1)</f>
        <v>0</v>
      </c>
    </row>
    <row r="9" spans="1:37" ht="18" customHeight="1">
      <c r="A9" s="349"/>
      <c r="B9" s="3176"/>
      <c r="C9" s="351"/>
      <c r="D9" s="352"/>
      <c r="E9" s="347" t="s">
        <v>1402</v>
      </c>
      <c r="F9" s="357">
        <f ca="1">INDIRECT("'数据-取费表'!w"&amp;$G$1)</f>
        <v>0</v>
      </c>
      <c r="G9" s="1851"/>
      <c r="H9" s="349"/>
      <c r="I9" s="317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3.5"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48">
        <f ca="1">IF(M47="住宅",IF(D1="——",MAX(J51,L48),MAX(J51,L48-'数据-取费表'!B24)),IF(D1="——",MIN(J51,L48),MIN(J51,L48-'数据-取费表'!B24)))</f>
        <v>0</v>
      </c>
      <c r="K53" s="3172" t="s">
        <v>1542</v>
      </c>
      <c r="L53" s="3173"/>
      <c r="O53" s="1884" t="s">
        <v>1042</v>
      </c>
      <c r="P53" s="1885" t="s">
        <v>1543</v>
      </c>
      <c r="Q53" s="1886" t="e">
        <f ca="1">Q47+Q48</f>
        <v>#VALUE!</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f ca="1">F42</f>
        <v>0</v>
      </c>
      <c r="O70" s="1894" t="s">
        <v>1045</v>
      </c>
      <c r="P70" s="1933" t="s">
        <v>1579</v>
      </c>
      <c r="Q70" s="1886" t="e">
        <f ca="1">C13</f>
        <v>#VALUE!</v>
      </c>
      <c r="R70" s="1886" t="s">
        <v>1523</v>
      </c>
    </row>
    <row r="71" spans="1:18" s="1842" customFormat="1" ht="13.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0</v>
      </c>
      <c r="C2" s="2564" t="s">
        <v>2518</v>
      </c>
      <c r="D2" s="2565" t="s">
        <v>2519</v>
      </c>
      <c r="E2" s="2566">
        <f>SUM(E6:E13)</f>
        <v>0</v>
      </c>
    </row>
    <row r="3" spans="1:6" ht="15.75">
      <c r="A3" s="2562" t="s">
        <v>1389</v>
      </c>
      <c r="B3" s="2563" t="e">
        <f ca="1">ROUND(B2*10000/E2,0)</f>
        <v>#DIV/0!</v>
      </c>
      <c r="C3" s="2564" t="s">
        <v>2526</v>
      </c>
      <c r="D3" s="2567"/>
      <c r="E3" s="2568"/>
    </row>
    <row r="4" spans="1:6" ht="15.75">
      <c r="A4" s="2569"/>
      <c r="B4" s="2567"/>
      <c r="C4" s="2567"/>
      <c r="D4" s="2567"/>
      <c r="E4" s="2568"/>
    </row>
    <row r="5" spans="1:6" ht="15">
      <c r="A5" s="2570" t="s">
        <v>2520</v>
      </c>
      <c r="B5" s="3177" t="s">
        <v>2521</v>
      </c>
      <c r="C5" s="3177"/>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1072</v>
      </c>
      <c r="B1" s="3179"/>
      <c r="C1" s="3180"/>
      <c r="D1" s="3181">
        <f>SUM(I10,I15,I20,I21,I23)</f>
        <v>0</v>
      </c>
      <c r="E1" s="3181"/>
      <c r="F1" s="3181"/>
      <c r="G1" s="3181"/>
      <c r="H1" s="3181"/>
      <c r="I1" s="3182"/>
    </row>
    <row r="2" spans="1:9">
      <c r="A2" s="3183" t="s">
        <v>1073</v>
      </c>
      <c r="B2" s="3184" t="s">
        <v>1074</v>
      </c>
      <c r="C2" s="3184"/>
      <c r="D2" s="1301" t="s">
        <v>1075</v>
      </c>
      <c r="E2" s="1301" t="s">
        <v>1076</v>
      </c>
      <c r="F2" s="1301" t="s">
        <v>1077</v>
      </c>
      <c r="G2" s="1301" t="s">
        <v>1078</v>
      </c>
      <c r="H2" s="1301" t="s">
        <v>1079</v>
      </c>
      <c r="I2" s="1302" t="s">
        <v>1080</v>
      </c>
    </row>
    <row r="3" spans="1:9">
      <c r="A3" s="3183"/>
      <c r="B3" s="3184" t="s">
        <v>1081</v>
      </c>
      <c r="C3" s="3184"/>
      <c r="D3" s="1303"/>
      <c r="E3" s="1301"/>
      <c r="F3" s="1304"/>
      <c r="G3" s="1304"/>
      <c r="H3" s="1305"/>
      <c r="I3" s="1306">
        <f>ROUND(D3*E3*F3*G3*H3/10000,0)</f>
        <v>0</v>
      </c>
    </row>
    <row r="4" spans="1:9">
      <c r="A4" s="3183"/>
      <c r="B4" s="3184" t="s">
        <v>1082</v>
      </c>
      <c r="C4" s="3184"/>
      <c r="D4" s="1303"/>
      <c r="E4" s="1301"/>
      <c r="F4" s="1304"/>
      <c r="G4" s="1304"/>
      <c r="H4" s="1305"/>
      <c r="I4" s="1306">
        <f t="shared" ref="I4:I9" si="0">ROUND(D4*E4*F4*G4*H4/10000,0)</f>
        <v>0</v>
      </c>
    </row>
    <row r="5" spans="1:9">
      <c r="A5" s="3183"/>
      <c r="B5" s="3184" t="s">
        <v>1083</v>
      </c>
      <c r="C5" s="3184"/>
      <c r="D5" s="1303"/>
      <c r="E5" s="1301"/>
      <c r="F5" s="1304"/>
      <c r="G5" s="1304"/>
      <c r="H5" s="1305"/>
      <c r="I5" s="1306">
        <f t="shared" si="0"/>
        <v>0</v>
      </c>
    </row>
    <row r="6" spans="1:9">
      <c r="A6" s="3183"/>
      <c r="B6" s="3184" t="s">
        <v>1084</v>
      </c>
      <c r="C6" s="3184"/>
      <c r="D6" s="1303"/>
      <c r="E6" s="1301"/>
      <c r="F6" s="1304"/>
      <c r="G6" s="1304"/>
      <c r="H6" s="1305"/>
      <c r="I6" s="1306">
        <f t="shared" si="0"/>
        <v>0</v>
      </c>
    </row>
    <row r="7" spans="1:9">
      <c r="A7" s="3183"/>
      <c r="B7" s="3184" t="s">
        <v>1085</v>
      </c>
      <c r="C7" s="3184"/>
      <c r="D7" s="1303"/>
      <c r="E7" s="1301"/>
      <c r="F7" s="1304"/>
      <c r="G7" s="1304"/>
      <c r="H7" s="1305"/>
      <c r="I7" s="1306">
        <f t="shared" si="0"/>
        <v>0</v>
      </c>
    </row>
    <row r="8" spans="1:9">
      <c r="A8" s="3183"/>
      <c r="B8" s="3184" t="s">
        <v>1086</v>
      </c>
      <c r="C8" s="3184"/>
      <c r="D8" s="1303"/>
      <c r="E8" s="1301"/>
      <c r="F8" s="1304"/>
      <c r="G8" s="1304"/>
      <c r="H8" s="1305"/>
      <c r="I8" s="1306">
        <f t="shared" si="0"/>
        <v>0</v>
      </c>
    </row>
    <row r="9" spans="1:9">
      <c r="A9" s="3183"/>
      <c r="B9" s="3184" t="s">
        <v>1087</v>
      </c>
      <c r="C9" s="3184"/>
      <c r="D9" s="1303"/>
      <c r="E9" s="1301"/>
      <c r="F9" s="1304"/>
      <c r="G9" s="1304"/>
      <c r="H9" s="1305"/>
      <c r="I9" s="1306">
        <f t="shared" si="0"/>
        <v>0</v>
      </c>
    </row>
    <row r="10" spans="1:9">
      <c r="A10" s="3183"/>
      <c r="B10" s="3185" t="s">
        <v>1088</v>
      </c>
      <c r="C10" s="3185"/>
      <c r="D10" s="1307"/>
      <c r="E10" s="1307" t="e">
        <f>ROUND(D1*10000/D10/H9,0)</f>
        <v>#DIV/0!</v>
      </c>
      <c r="F10" s="1308"/>
      <c r="G10" s="1308"/>
      <c r="H10" s="1309"/>
      <c r="I10" s="1310">
        <f>SUM(I3:I9)</f>
        <v>0</v>
      </c>
    </row>
    <row r="11" spans="1:9" ht="14.25">
      <c r="A11" s="3183" t="s">
        <v>1089</v>
      </c>
      <c r="B11" s="3184" t="s">
        <v>1090</v>
      </c>
      <c r="C11" s="3184"/>
      <c r="D11" s="1303" t="s">
        <v>1091</v>
      </c>
      <c r="E11" s="1303" t="s">
        <v>1092</v>
      </c>
      <c r="F11" s="1304" t="s">
        <v>1093</v>
      </c>
      <c r="G11" s="1304" t="s">
        <v>1079</v>
      </c>
      <c r="H11" s="1311" t="s">
        <v>1094</v>
      </c>
      <c r="I11" s="1302" t="s">
        <v>1080</v>
      </c>
    </row>
    <row r="12" spans="1:9">
      <c r="A12" s="3183"/>
      <c r="B12" s="3184" t="s">
        <v>1095</v>
      </c>
      <c r="C12" s="3184"/>
      <c r="D12" s="1303"/>
      <c r="E12" s="1303"/>
      <c r="F12" s="1304"/>
      <c r="G12" s="1305"/>
      <c r="H12" s="1312"/>
      <c r="I12" s="1302">
        <f>ROUND(D12*E12*F12*G12/10000,0)</f>
        <v>0</v>
      </c>
    </row>
    <row r="13" spans="1:9">
      <c r="A13" s="3183"/>
      <c r="B13" s="3184" t="s">
        <v>1096</v>
      </c>
      <c r="C13" s="3184"/>
      <c r="D13" s="1303"/>
      <c r="E13" s="1303"/>
      <c r="F13" s="1304"/>
      <c r="G13" s="1305"/>
      <c r="H13" s="1312"/>
      <c r="I13" s="1302">
        <f>ROUND(D13*E13*F13*G13/10000,0)</f>
        <v>0</v>
      </c>
    </row>
    <row r="14" spans="1:9">
      <c r="A14" s="3183"/>
      <c r="B14" s="3184" t="s">
        <v>1097</v>
      </c>
      <c r="C14" s="3184"/>
      <c r="D14" s="1303"/>
      <c r="E14" s="1303"/>
      <c r="F14" s="1304"/>
      <c r="G14" s="1305"/>
      <c r="H14" s="1312"/>
      <c r="I14" s="1302">
        <f>ROUND(D14*E14*F14*G14/10000,0)</f>
        <v>0</v>
      </c>
    </row>
    <row r="15" spans="1:9">
      <c r="A15" s="3183"/>
      <c r="B15" s="3185" t="s">
        <v>1088</v>
      </c>
      <c r="C15" s="3185"/>
      <c r="D15" s="1307"/>
      <c r="E15" s="1307">
        <f>SUM(E12:E14)</f>
        <v>0</v>
      </c>
      <c r="F15" s="1308"/>
      <c r="G15" s="1305"/>
      <c r="H15" s="1312"/>
      <c r="I15" s="1313">
        <f>SUM(I12:I14)</f>
        <v>0</v>
      </c>
    </row>
    <row r="16" spans="1:9" ht="24">
      <c r="A16" s="3183" t="s">
        <v>1098</v>
      </c>
      <c r="B16" s="3184" t="s">
        <v>1099</v>
      </c>
      <c r="C16" s="3184"/>
      <c r="D16" s="1303" t="s">
        <v>1075</v>
      </c>
      <c r="E16" s="1314" t="s">
        <v>1100</v>
      </c>
      <c r="F16" s="1304" t="s">
        <v>1101</v>
      </c>
      <c r="G16" s="1305" t="s">
        <v>1079</v>
      </c>
      <c r="H16" s="1311" t="s">
        <v>1094</v>
      </c>
      <c r="I16" s="1302" t="s">
        <v>1080</v>
      </c>
    </row>
    <row r="17" spans="1:9" ht="14.25">
      <c r="A17" s="3183"/>
      <c r="B17" s="3184" t="s">
        <v>1102</v>
      </c>
      <c r="C17" s="3184"/>
      <c r="D17" s="1303"/>
      <c r="E17" s="1303"/>
      <c r="F17" s="1304"/>
      <c r="G17" s="1305"/>
      <c r="H17" s="1315"/>
      <c r="I17" s="1316">
        <f>ROUND(D17*E17*F17*G17/10000,0)</f>
        <v>0</v>
      </c>
    </row>
    <row r="18" spans="1:9" ht="14.25">
      <c r="A18" s="3183"/>
      <c r="B18" s="3184" t="s">
        <v>1103</v>
      </c>
      <c r="C18" s="3184"/>
      <c r="D18" s="1303"/>
      <c r="E18" s="1303"/>
      <c r="F18" s="1304"/>
      <c r="G18" s="1305"/>
      <c r="H18" s="1315"/>
      <c r="I18" s="1316">
        <f>ROUND(D18*E18*F18*G18/10000,0)</f>
        <v>0</v>
      </c>
    </row>
    <row r="19" spans="1:9" ht="14.25">
      <c r="A19" s="3183"/>
      <c r="B19" s="3184" t="s">
        <v>1104</v>
      </c>
      <c r="C19" s="3184"/>
      <c r="D19" s="1303"/>
      <c r="E19" s="1303"/>
      <c r="F19" s="1304"/>
      <c r="G19" s="1305"/>
      <c r="H19" s="1315"/>
      <c r="I19" s="1316">
        <f>ROUND(D19*E19*F19*G19/10000,0)</f>
        <v>0</v>
      </c>
    </row>
    <row r="20" spans="1:9">
      <c r="A20" s="3183"/>
      <c r="B20" s="3185" t="s">
        <v>1088</v>
      </c>
      <c r="C20" s="3185"/>
      <c r="D20" s="1307">
        <f>SUM(D17:D19)</f>
        <v>0</v>
      </c>
      <c r="E20" s="1307"/>
      <c r="F20" s="1308"/>
      <c r="G20" s="1305"/>
      <c r="H20" s="1312"/>
      <c r="I20" s="1313">
        <f>SUM(I17:I19)</f>
        <v>0</v>
      </c>
    </row>
    <row r="21" spans="1:9">
      <c r="A21" s="3183" t="s">
        <v>1105</v>
      </c>
      <c r="B21" s="3187"/>
      <c r="C21" s="3187"/>
      <c r="D21" s="3187"/>
      <c r="E21" s="3187"/>
      <c r="F21" s="3187"/>
      <c r="G21" s="3187"/>
      <c r="H21" s="1765">
        <v>0.1</v>
      </c>
      <c r="I21" s="1310">
        <f>ROUND(I10*H21,0)</f>
        <v>0</v>
      </c>
    </row>
    <row r="22" spans="1:9" ht="14.25">
      <c r="A22" s="3188" t="s">
        <v>1106</v>
      </c>
      <c r="B22" s="3189"/>
      <c r="C22" s="3190"/>
      <c r="D22" s="1317" t="s">
        <v>1107</v>
      </c>
      <c r="E22" s="1317" t="s">
        <v>1108</v>
      </c>
      <c r="F22" s="1318" t="s">
        <v>1109</v>
      </c>
      <c r="G22" s="1318" t="s">
        <v>1110</v>
      </c>
      <c r="H22" s="1311" t="s">
        <v>1111</v>
      </c>
      <c r="I22" s="1302" t="s">
        <v>1112</v>
      </c>
    </row>
    <row r="23" spans="1:9" ht="14.25" thickBot="1">
      <c r="A23" s="3191"/>
      <c r="B23" s="3192"/>
      <c r="C23" s="3193"/>
      <c r="D23" s="1319"/>
      <c r="E23" s="1319"/>
      <c r="F23" s="1319"/>
      <c r="G23" s="1320"/>
      <c r="H23" s="1321"/>
      <c r="I23" s="1322">
        <f>ROUND(E23*D23*F23*(1-G23)/10000,0)</f>
        <v>0</v>
      </c>
    </row>
    <row r="26" spans="1:9">
      <c r="A26" s="1323" t="s">
        <v>1113</v>
      </c>
      <c r="B26" s="1323"/>
      <c r="C26" s="1323"/>
      <c r="D26" s="1323"/>
      <c r="E26" s="3194">
        <f>C27-C30-C31-C32</f>
        <v>0</v>
      </c>
      <c r="F26" s="3194"/>
      <c r="G26" s="3194"/>
      <c r="H26" s="1737" t="s">
        <v>1335</v>
      </c>
    </row>
    <row r="27" spans="1:9">
      <c r="A27" s="1324">
        <v>1</v>
      </c>
      <c r="B27" s="1325" t="s">
        <v>1114</v>
      </c>
      <c r="C27" s="1325">
        <f>C28+C29</f>
        <v>0</v>
      </c>
      <c r="D27" s="1325"/>
      <c r="E27" s="3195"/>
      <c r="F27" s="3195"/>
      <c r="G27" s="3195"/>
    </row>
    <row r="28" spans="1:9">
      <c r="A28" s="1326" t="s">
        <v>1115</v>
      </c>
      <c r="B28" s="1325" t="s">
        <v>1116</v>
      </c>
      <c r="C28" s="1325"/>
      <c r="D28" s="1325"/>
      <c r="E28" s="3195"/>
      <c r="F28" s="3195"/>
      <c r="G28" s="319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6"/>
      <c r="F32" s="3186"/>
      <c r="G32" s="3186"/>
    </row>
    <row r="33" spans="1:7" hidden="1">
      <c r="A33" s="3196" t="s">
        <v>1125</v>
      </c>
      <c r="B33" s="3197"/>
      <c r="C33" s="3197"/>
      <c r="D33" s="3198"/>
      <c r="E33" s="3194"/>
      <c r="F33" s="3194"/>
      <c r="G33" s="3194"/>
    </row>
    <row r="34" spans="1:7" hidden="1">
      <c r="A34" s="1328">
        <v>1</v>
      </c>
      <c r="B34" s="1325" t="s">
        <v>1126</v>
      </c>
      <c r="C34" s="1325"/>
      <c r="D34" s="1325"/>
      <c r="E34" s="3195"/>
      <c r="F34" s="3195"/>
      <c r="G34" s="3195"/>
    </row>
    <row r="35" spans="1:7" hidden="1">
      <c r="A35" s="1328">
        <v>2</v>
      </c>
      <c r="B35" s="1325" t="s">
        <v>1127</v>
      </c>
      <c r="C35" s="1325"/>
      <c r="D35" s="1325"/>
      <c r="E35" s="3195"/>
      <c r="F35" s="3195"/>
      <c r="G35" s="3195"/>
    </row>
    <row r="36" spans="1:7" hidden="1">
      <c r="A36" s="1328">
        <v>3</v>
      </c>
      <c r="B36" s="1325" t="s">
        <v>1128</v>
      </c>
      <c r="C36" s="1325"/>
      <c r="D36" s="1325"/>
      <c r="E36" s="3195"/>
      <c r="F36" s="3195"/>
      <c r="G36" s="3195"/>
    </row>
    <row r="37" spans="1:7" hidden="1">
      <c r="A37" s="1328">
        <v>4</v>
      </c>
      <c r="B37" s="1325" t="s">
        <v>1129</v>
      </c>
      <c r="C37" s="1325"/>
      <c r="D37" s="1325"/>
      <c r="E37" s="3195"/>
      <c r="F37" s="3195"/>
      <c r="G37" s="3195"/>
    </row>
    <row r="38" spans="1:7" hidden="1">
      <c r="A38" s="3196" t="s">
        <v>1130</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1" zoomScale="90" zoomScaleNormal="90" workbookViewId="0">
      <selection activeCell="E27" sqref="E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417245</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47975</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19" t="s">
        <v>2535</v>
      </c>
      <c r="D4" s="3220"/>
      <c r="E4" s="3221" t="s">
        <v>2536</v>
      </c>
      <c r="F4" s="3222"/>
      <c r="G4" s="3219" t="s">
        <v>2537</v>
      </c>
      <c r="H4" s="3220"/>
      <c r="I4" s="3219" t="s">
        <v>2538</v>
      </c>
      <c r="J4" s="3220"/>
      <c r="K4" s="2594" t="s">
        <v>2539</v>
      </c>
      <c r="L4" s="1130"/>
      <c r="M4" s="1131"/>
      <c r="N4" s="1131"/>
      <c r="O4" s="1131"/>
      <c r="P4" s="3223" t="s">
        <v>2540</v>
      </c>
      <c r="Q4" s="3224"/>
      <c r="R4" s="3204" t="s">
        <v>2536</v>
      </c>
      <c r="S4" s="3205"/>
      <c r="T4" s="3204" t="s">
        <v>2537</v>
      </c>
      <c r="U4" s="3205"/>
      <c r="V4" s="3231" t="s">
        <v>2538</v>
      </c>
      <c r="W4" s="3231"/>
      <c r="X4" s="1813"/>
      <c r="Y4" s="3204" t="s">
        <v>2540</v>
      </c>
      <c r="Z4" s="3205"/>
      <c r="AA4" s="3199" t="s">
        <v>2536</v>
      </c>
      <c r="AB4" s="3199" t="s">
        <v>2537</v>
      </c>
      <c r="AC4" s="3199" t="s">
        <v>2538</v>
      </c>
    </row>
    <row r="5" spans="1:29" ht="15">
      <c r="A5" s="404"/>
      <c r="B5" s="405"/>
      <c r="C5" s="3210" t="s">
        <v>3122</v>
      </c>
      <c r="D5" s="3211"/>
      <c r="E5" s="3208" t="s">
        <v>3123</v>
      </c>
      <c r="F5" s="3209"/>
      <c r="G5" s="3210" t="s">
        <v>3124</v>
      </c>
      <c r="H5" s="3211"/>
      <c r="I5" s="3210" t="s">
        <v>3125</v>
      </c>
      <c r="J5" s="3211"/>
      <c r="K5" s="2595"/>
      <c r="L5" s="1130"/>
      <c r="M5" s="1131"/>
      <c r="N5" s="1131"/>
      <c r="O5" s="1131"/>
      <c r="P5" s="3225"/>
      <c r="Q5" s="3226"/>
      <c r="R5" s="3206"/>
      <c r="S5" s="3207"/>
      <c r="T5" s="3206"/>
      <c r="U5" s="3207"/>
      <c r="V5" s="3231"/>
      <c r="W5" s="3231"/>
      <c r="X5" s="1813"/>
      <c r="Y5" s="3206"/>
      <c r="Z5" s="3207"/>
      <c r="AA5" s="3200"/>
      <c r="AB5" s="3200"/>
      <c r="AC5" s="3200"/>
    </row>
    <row r="6" spans="1:29" ht="15.75" thickBot="1">
      <c r="A6" s="406"/>
      <c r="B6" s="407"/>
      <c r="C6" s="3212" t="str">
        <f>项目基本情况!F10</f>
        <v>北京经济技术开发区河西区X90R1、X90S1地块</v>
      </c>
      <c r="D6" s="3213"/>
      <c r="E6" s="3215" t="s">
        <v>2545</v>
      </c>
      <c r="F6" s="3216"/>
      <c r="G6" s="3217" t="s">
        <v>2545</v>
      </c>
      <c r="H6" s="3213"/>
      <c r="I6" s="3217" t="s">
        <v>2545</v>
      </c>
      <c r="J6" s="3213"/>
      <c r="K6" s="2595" t="s">
        <v>2546</v>
      </c>
      <c r="L6" s="1130"/>
      <c r="M6" s="1131"/>
      <c r="N6" s="1131"/>
      <c r="O6" s="1131"/>
      <c r="P6" s="3227"/>
      <c r="Q6" s="3228"/>
      <c r="R6" s="3206"/>
      <c r="S6" s="3207"/>
      <c r="T6" s="3229"/>
      <c r="U6" s="3230"/>
      <c r="V6" s="3231"/>
      <c r="W6" s="3231"/>
      <c r="X6" s="1813"/>
      <c r="Y6" s="3229"/>
      <c r="Z6" s="3230"/>
      <c r="AA6" s="3201"/>
      <c r="AB6" s="3201"/>
      <c r="AC6" s="3201"/>
    </row>
    <row r="7" spans="1:29" s="117" customFormat="1" ht="15.75"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02" t="s">
        <v>2548</v>
      </c>
      <c r="Q7" s="3232"/>
      <c r="R7" s="770" t="s">
        <v>23</v>
      </c>
      <c r="S7" s="771">
        <f t="shared" ref="S7:S15" si="0">F7</f>
        <v>100</v>
      </c>
      <c r="T7" s="770" t="s">
        <v>23</v>
      </c>
      <c r="U7" s="771">
        <f t="shared" ref="U7:U15" si="1">H7</f>
        <v>100</v>
      </c>
      <c r="V7" s="770" t="s">
        <v>23</v>
      </c>
      <c r="W7" s="771">
        <f t="shared" ref="W7:W15" si="2">J7</f>
        <v>100</v>
      </c>
      <c r="X7" s="772"/>
      <c r="Y7" s="3202" t="s">
        <v>2548</v>
      </c>
      <c r="Z7" s="3203"/>
      <c r="AA7" s="773">
        <f>D7/F7</f>
        <v>1</v>
      </c>
      <c r="AB7" s="773">
        <f>D7/H7</f>
        <v>1</v>
      </c>
      <c r="AC7" s="773">
        <f>D7/J7</f>
        <v>1</v>
      </c>
    </row>
    <row r="8" spans="1:29" s="117" customFormat="1" ht="15.75" thickBot="1">
      <c r="A8" s="408" t="s">
        <v>2549</v>
      </c>
      <c r="B8" s="409"/>
      <c r="C8" s="414" t="s">
        <v>2550</v>
      </c>
      <c r="D8" s="411">
        <v>100</v>
      </c>
      <c r="E8" s="2597" t="s">
        <v>3104</v>
      </c>
      <c r="F8" s="413">
        <f>SUMIF(61:61,E8,62:62)-SUMIF(61:61,C8,62:62)+100</f>
        <v>100</v>
      </c>
      <c r="G8" s="414" t="s">
        <v>3104</v>
      </c>
      <c r="H8" s="411">
        <f>SUMIF(61:61,G8,62:62)-SUMIF(61:61,C8,62:62)+100</f>
        <v>100</v>
      </c>
      <c r="I8" s="2597" t="s">
        <v>3104</v>
      </c>
      <c r="J8" s="411">
        <f>SUMIF(61:61,I8,62:62)-SUMIF(61:61,C8,62:62)+100</f>
        <v>100</v>
      </c>
      <c r="K8" s="2596"/>
      <c r="L8" s="1132"/>
      <c r="M8" s="1133"/>
      <c r="N8" s="1133"/>
      <c r="O8" s="1133"/>
      <c r="P8" s="3202" t="s">
        <v>2551</v>
      </c>
      <c r="Q8" s="3203"/>
      <c r="R8" s="770" t="s">
        <v>23</v>
      </c>
      <c r="S8" s="771">
        <f t="shared" si="0"/>
        <v>100</v>
      </c>
      <c r="T8" s="770" t="s">
        <v>23</v>
      </c>
      <c r="U8" s="771">
        <f t="shared" si="1"/>
        <v>100</v>
      </c>
      <c r="V8" s="770" t="s">
        <v>23</v>
      </c>
      <c r="W8" s="771">
        <f t="shared" si="2"/>
        <v>100</v>
      </c>
      <c r="X8" s="772"/>
      <c r="Y8" s="3202" t="s">
        <v>2551</v>
      </c>
      <c r="Z8" s="3203"/>
      <c r="AA8" s="773">
        <f t="shared" ref="AA8:AA19" si="3">D8/F8</f>
        <v>1</v>
      </c>
      <c r="AB8" s="773">
        <f t="shared" ref="AB8:AB19" si="4">D8/H8</f>
        <v>1</v>
      </c>
      <c r="AC8" s="773">
        <f t="shared" ref="AC8:AC19" si="5">D8/J8</f>
        <v>1</v>
      </c>
    </row>
    <row r="9" spans="1:29" s="117" customFormat="1">
      <c r="A9" s="415" t="s">
        <v>2552</v>
      </c>
      <c r="B9" s="71" t="s">
        <v>2553</v>
      </c>
      <c r="C9" s="2953" t="s">
        <v>3066</v>
      </c>
      <c r="D9" s="135">
        <v>100</v>
      </c>
      <c r="E9" s="417" t="s">
        <v>3065</v>
      </c>
      <c r="F9" s="418">
        <f>SUMIF(63:63,E9,64:64)-SUMIF(63:63,C9,64:64)+100</f>
        <v>100</v>
      </c>
      <c r="G9" s="419" t="s">
        <v>3065</v>
      </c>
      <c r="H9" s="135">
        <f>SUMIF(63:63,G9,64:64)-SUMIF(63:63,C9,64:64)+100</f>
        <v>100</v>
      </c>
      <c r="I9" s="419" t="s">
        <v>3065</v>
      </c>
      <c r="J9" s="135">
        <f>SUMIF(63:63,I9,64:64)-SUMIF(63:63,C9,64:64)+100</f>
        <v>100</v>
      </c>
      <c r="K9" s="2596"/>
      <c r="L9" s="1132"/>
      <c r="M9" s="1133"/>
      <c r="N9" s="1133"/>
      <c r="O9" s="1133"/>
      <c r="P9" s="3218"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426"/>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75" thickBot="1">
      <c r="A11" s="428"/>
      <c r="B11" s="422" t="s">
        <v>2557</v>
      </c>
      <c r="C11" s="2954">
        <v>2</v>
      </c>
      <c r="D11" s="136">
        <v>100</v>
      </c>
      <c r="E11" s="430">
        <v>2.5</v>
      </c>
      <c r="F11" s="425">
        <f>LOOKUP(E11,68:68,69:69)-LOOKUP(C11,68:68,69:69)+100</f>
        <v>98</v>
      </c>
      <c r="G11" s="429">
        <v>2.5</v>
      </c>
      <c r="H11" s="136">
        <f>LOOKUP(G11,68:68,69:69)-LOOKUP(C11,68:68,69:69)+100</f>
        <v>98</v>
      </c>
      <c r="I11" s="429">
        <v>1.8</v>
      </c>
      <c r="J11" s="136">
        <f>LOOKUP(I11,68:68,69:69)-LOOKUP(C11,68:68,69:69)+100</f>
        <v>102</v>
      </c>
      <c r="K11" s="426">
        <v>2</v>
      </c>
      <c r="L11" s="1138"/>
      <c r="M11" s="1131"/>
      <c r="N11" s="1131"/>
      <c r="O11" s="1131"/>
      <c r="P11" s="3218"/>
      <c r="Q11" s="1795" t="str">
        <f t="shared" si="6"/>
        <v>容积率</v>
      </c>
      <c r="R11" s="770" t="s">
        <v>21</v>
      </c>
      <c r="S11" s="771">
        <f t="shared" si="0"/>
        <v>98</v>
      </c>
      <c r="T11" s="770" t="s">
        <v>21</v>
      </c>
      <c r="U11" s="771">
        <f t="shared" si="1"/>
        <v>98</v>
      </c>
      <c r="V11" s="770" t="s">
        <v>21</v>
      </c>
      <c r="W11" s="771">
        <f t="shared" si="2"/>
        <v>102</v>
      </c>
      <c r="X11" s="772"/>
      <c r="Y11" s="3044"/>
      <c r="Z11" s="55" t="str">
        <f t="shared" si="7"/>
        <v>容积率</v>
      </c>
      <c r="AA11" s="773">
        <f t="shared" si="3"/>
        <v>1.0204081632653061</v>
      </c>
      <c r="AB11" s="773">
        <f t="shared" si="4"/>
        <v>1.0204081632653061</v>
      </c>
      <c r="AC11" s="773">
        <f t="shared" si="5"/>
        <v>0.98039215686274506</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8"/>
      <c r="Q12" s="1795">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8"/>
      <c r="Q13" s="1795">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8"/>
      <c r="Q14" s="1795">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99.5">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2559</v>
      </c>
      <c r="Q15" s="1810" t="str">
        <f t="shared" si="6"/>
        <v>居住社区成熟度</v>
      </c>
      <c r="R15" s="774" t="s">
        <v>21</v>
      </c>
      <c r="S15" s="775">
        <f t="shared" si="0"/>
        <v>100</v>
      </c>
      <c r="T15" s="774" t="s">
        <v>21</v>
      </c>
      <c r="U15" s="775">
        <f t="shared" si="1"/>
        <v>100</v>
      </c>
      <c r="V15" s="774" t="s">
        <v>21</v>
      </c>
      <c r="W15" s="775">
        <f t="shared" si="2"/>
        <v>100</v>
      </c>
      <c r="X15" s="1813"/>
      <c r="Y15" s="3238" t="s">
        <v>2559</v>
      </c>
      <c r="Z15" s="1814" t="str">
        <f t="shared" si="7"/>
        <v>居住社区成熟度</v>
      </c>
      <c r="AA15" s="1811">
        <f t="shared" si="3"/>
        <v>1</v>
      </c>
      <c r="AB15" s="1811">
        <f t="shared" si="4"/>
        <v>1</v>
      </c>
      <c r="AC15" s="1811">
        <f t="shared" si="5"/>
        <v>1</v>
      </c>
    </row>
    <row r="16" spans="1:29" ht="15">
      <c r="A16" s="428"/>
      <c r="B16" s="446"/>
      <c r="C16" s="447" t="s">
        <v>3068</v>
      </c>
      <c r="D16" s="448"/>
      <c r="E16" s="2602" t="s">
        <v>3068</v>
      </c>
      <c r="F16" s="448"/>
      <c r="G16" s="2603" t="s">
        <v>3068</v>
      </c>
      <c r="H16" s="450"/>
      <c r="I16" s="2603" t="s">
        <v>3068</v>
      </c>
      <c r="J16" s="448"/>
      <c r="K16" s="2604"/>
      <c r="L16" s="1140"/>
      <c r="M16" s="1131"/>
      <c r="N16" s="1131"/>
      <c r="O16" s="1131"/>
      <c r="P16" s="3246"/>
      <c r="Q16" s="1810"/>
      <c r="R16" s="774"/>
      <c r="S16" s="775"/>
      <c r="T16" s="774"/>
      <c r="U16" s="775"/>
      <c r="V16" s="774"/>
      <c r="W16" s="775"/>
      <c r="X16" s="1813"/>
      <c r="Y16" s="3239"/>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10" t="str">
        <f>B17</f>
        <v>交通便捷度</v>
      </c>
      <c r="R17" s="774" t="s">
        <v>21</v>
      </c>
      <c r="S17" s="775">
        <f>F17</f>
        <v>100</v>
      </c>
      <c r="T17" s="774" t="s">
        <v>21</v>
      </c>
      <c r="U17" s="775">
        <f>H17</f>
        <v>100</v>
      </c>
      <c r="V17" s="774" t="s">
        <v>21</v>
      </c>
      <c r="W17" s="775">
        <f>J17</f>
        <v>100</v>
      </c>
      <c r="X17" s="1813"/>
      <c r="Y17" s="3239"/>
      <c r="Z17" s="1814" t="str">
        <f>Q17</f>
        <v>交通便捷度</v>
      </c>
      <c r="AA17" s="1811">
        <f t="shared" si="3"/>
        <v>1</v>
      </c>
      <c r="AB17" s="1811">
        <f t="shared" si="4"/>
        <v>1</v>
      </c>
      <c r="AC17" s="1811">
        <f t="shared" si="5"/>
        <v>1</v>
      </c>
    </row>
    <row r="18" spans="1:29" ht="15">
      <c r="A18" s="428"/>
      <c r="B18" s="456"/>
      <c r="C18" s="2606" t="s">
        <v>3069</v>
      </c>
      <c r="D18" s="450"/>
      <c r="E18" s="2607" t="s">
        <v>3069</v>
      </c>
      <c r="F18" s="450"/>
      <c r="G18" s="2608" t="s">
        <v>3069</v>
      </c>
      <c r="H18" s="448"/>
      <c r="I18" s="2608" t="s">
        <v>3069</v>
      </c>
      <c r="J18" s="448"/>
      <c r="K18" s="2604"/>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10" t="str">
        <f>B19</f>
        <v>公共配套设施</v>
      </c>
      <c r="R19" s="774" t="s">
        <v>21</v>
      </c>
      <c r="S19" s="775">
        <f>F19</f>
        <v>100</v>
      </c>
      <c r="T19" s="774" t="s">
        <v>21</v>
      </c>
      <c r="U19" s="775">
        <f>H19</f>
        <v>100</v>
      </c>
      <c r="V19" s="774" t="s">
        <v>21</v>
      </c>
      <c r="W19" s="775">
        <f>J19</f>
        <v>100</v>
      </c>
      <c r="X19" s="1813"/>
      <c r="Y19" s="3239"/>
      <c r="Z19" s="1814" t="str">
        <f>Q19</f>
        <v>公共配套设施</v>
      </c>
      <c r="AA19" s="1811">
        <f t="shared" si="3"/>
        <v>1</v>
      </c>
      <c r="AB19" s="1811">
        <f t="shared" si="4"/>
        <v>1</v>
      </c>
      <c r="AC19" s="1811">
        <f t="shared" si="5"/>
        <v>1</v>
      </c>
    </row>
    <row r="20" spans="1:29" ht="15">
      <c r="A20" s="428"/>
      <c r="B20" s="456"/>
      <c r="C20" s="447" t="s">
        <v>3069</v>
      </c>
      <c r="D20" s="448"/>
      <c r="E20" s="2602" t="s">
        <v>3069</v>
      </c>
      <c r="F20" s="448"/>
      <c r="G20" s="2603" t="s">
        <v>3069</v>
      </c>
      <c r="H20" s="448"/>
      <c r="I20" s="2603" t="s">
        <v>3069</v>
      </c>
      <c r="J20" s="448"/>
      <c r="K20" s="2604"/>
      <c r="L20" s="1140"/>
      <c r="M20" s="1131"/>
      <c r="N20" s="1131"/>
      <c r="O20" s="1131"/>
      <c r="P20" s="3246"/>
      <c r="Q20" s="1810"/>
      <c r="R20" s="774"/>
      <c r="S20" s="775"/>
      <c r="T20" s="774"/>
      <c r="U20" s="775"/>
      <c r="V20" s="774"/>
      <c r="W20" s="775"/>
      <c r="X20" s="1813"/>
      <c r="Y20" s="3239"/>
      <c r="Z20" s="1814"/>
      <c r="AA20" s="1811">
        <v>1</v>
      </c>
      <c r="AB20" s="1811">
        <v>1</v>
      </c>
      <c r="AC20" s="1811">
        <v>1</v>
      </c>
    </row>
    <row r="21" spans="1:29" ht="15">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t="s">
        <v>3070</v>
      </c>
      <c r="D22" s="448"/>
      <c r="E22" s="447" t="s">
        <v>3070</v>
      </c>
      <c r="F22" s="448"/>
      <c r="G22" s="2609" t="s">
        <v>3070</v>
      </c>
      <c r="H22" s="448"/>
      <c r="I22" s="447" t="s">
        <v>3070</v>
      </c>
      <c r="J22" s="448"/>
      <c r="K22" s="2610"/>
      <c r="L22" s="1140"/>
      <c r="M22" s="1131"/>
      <c r="N22" s="1131"/>
      <c r="O22" s="1131"/>
      <c r="P22" s="3246"/>
      <c r="Q22" s="1810"/>
      <c r="R22" s="774"/>
      <c r="S22" s="775"/>
      <c r="T22" s="774"/>
      <c r="U22" s="775"/>
      <c r="V22" s="774"/>
      <c r="W22" s="775"/>
      <c r="X22" s="1813"/>
      <c r="Y22" s="3239"/>
      <c r="Z22" s="1814"/>
      <c r="AA22" s="1811">
        <v>1</v>
      </c>
      <c r="AB22" s="1811">
        <v>1</v>
      </c>
      <c r="AC22" s="1811">
        <v>1</v>
      </c>
    </row>
    <row r="23" spans="1:29" ht="114">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10" t="str">
        <f>B23</f>
        <v>自然及人文环境</v>
      </c>
      <c r="R23" s="774" t="s">
        <v>21</v>
      </c>
      <c r="S23" s="775">
        <f>F23</f>
        <v>100</v>
      </c>
      <c r="T23" s="774" t="s">
        <v>21</v>
      </c>
      <c r="U23" s="775">
        <f>H23</f>
        <v>100</v>
      </c>
      <c r="V23" s="774" t="s">
        <v>21</v>
      </c>
      <c r="W23" s="775">
        <f>J23</f>
        <v>100</v>
      </c>
      <c r="X23" s="1813"/>
      <c r="Y23" s="3239"/>
      <c r="Z23" s="1814" t="str">
        <f>Q23</f>
        <v>自然及人文环境</v>
      </c>
      <c r="AA23" s="1811">
        <f>D23/F23</f>
        <v>1</v>
      </c>
      <c r="AB23" s="1811">
        <f>D23/H23</f>
        <v>1</v>
      </c>
      <c r="AC23" s="1811">
        <f>D23/J23</f>
        <v>1</v>
      </c>
    </row>
    <row r="24" spans="1:29" ht="15">
      <c r="A24" s="428"/>
      <c r="B24" s="456"/>
      <c r="C24" s="447" t="s">
        <v>3069</v>
      </c>
      <c r="D24" s="448"/>
      <c r="E24" s="2602" t="s">
        <v>3069</v>
      </c>
      <c r="F24" s="448"/>
      <c r="G24" s="2603" t="s">
        <v>3069</v>
      </c>
      <c r="H24" s="448"/>
      <c r="I24" s="2603" t="s">
        <v>3069</v>
      </c>
      <c r="J24" s="448"/>
      <c r="K24" s="2604"/>
      <c r="L24" s="1140"/>
      <c r="M24" s="1131"/>
      <c r="N24" s="1131"/>
      <c r="O24" s="1131"/>
      <c r="P24" s="3246"/>
      <c r="Q24" s="1810"/>
      <c r="R24" s="774"/>
      <c r="S24" s="775"/>
      <c r="T24" s="774"/>
      <c r="U24" s="775"/>
      <c r="V24" s="774"/>
      <c r="W24" s="775"/>
      <c r="X24" s="1813"/>
      <c r="Y24" s="3239"/>
      <c r="Z24" s="1814"/>
      <c r="AA24" s="1811">
        <v>1</v>
      </c>
      <c r="AB24" s="1811">
        <v>1</v>
      </c>
      <c r="AC24" s="1811">
        <v>1</v>
      </c>
    </row>
    <row r="25" spans="1:29" ht="15"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4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9"/>
      <c r="Z25" s="1814" t="str">
        <f>Q25</f>
        <v>楼层-1</v>
      </c>
      <c r="AA25" s="1811">
        <f t="shared" ref="AA25:AA46" si="15">D25/F25</f>
        <v>1</v>
      </c>
      <c r="AB25" s="1811">
        <f t="shared" ref="AB25:AB46" si="16">D25/H25</f>
        <v>1</v>
      </c>
      <c r="AC25" s="1811">
        <f t="shared" ref="AC25:AC46" si="17">D25/J25</f>
        <v>1</v>
      </c>
    </row>
    <row r="26" spans="1:29" ht="15">
      <c r="A26" s="428"/>
      <c r="B26" s="422" t="s">
        <v>2561</v>
      </c>
      <c r="C26" s="460" t="s">
        <v>3092</v>
      </c>
      <c r="D26" s="435">
        <v>100</v>
      </c>
      <c r="E26" s="2611" t="s">
        <v>3092</v>
      </c>
      <c r="F26" s="435">
        <f>SUMIF(88:88,E26,89:89)-SUMIF(88:88,C26,89:89)+100</f>
        <v>100</v>
      </c>
      <c r="G26" s="2612" t="s">
        <v>3092</v>
      </c>
      <c r="H26" s="435">
        <f>SUMIF(88:88,G26,89:89)-SUMIF(88:88,C26,89:89)+100</f>
        <v>100</v>
      </c>
      <c r="I26" s="2612" t="s">
        <v>3092</v>
      </c>
      <c r="J26" s="435">
        <f>SUMIF(88:88,I26,89:89)-SUMIF(88:88,C26,89:89)+100</f>
        <v>100</v>
      </c>
      <c r="K26" s="426"/>
      <c r="L26" s="1140"/>
      <c r="M26" s="1131"/>
      <c r="N26" s="1131"/>
      <c r="O26" s="1131"/>
      <c r="P26" s="3246"/>
      <c r="Q26" s="1810" t="str">
        <f t="shared" si="11"/>
        <v>朝向</v>
      </c>
      <c r="R26" s="774" t="s">
        <v>21</v>
      </c>
      <c r="S26" s="775">
        <f t="shared" si="12"/>
        <v>100</v>
      </c>
      <c r="T26" s="774" t="s">
        <v>21</v>
      </c>
      <c r="U26" s="775">
        <f t="shared" si="13"/>
        <v>100</v>
      </c>
      <c r="V26" s="774" t="s">
        <v>21</v>
      </c>
      <c r="W26" s="775">
        <f t="shared" si="14"/>
        <v>100</v>
      </c>
      <c r="X26" s="1813"/>
      <c r="Y26" s="3239"/>
      <c r="Z26" s="1814" t="str">
        <f>Q26</f>
        <v>朝向</v>
      </c>
      <c r="AA26" s="1811">
        <f t="shared" si="15"/>
        <v>1</v>
      </c>
      <c r="AB26" s="1811">
        <f t="shared" si="16"/>
        <v>1</v>
      </c>
      <c r="AC26" s="1811">
        <f t="shared" si="17"/>
        <v>1</v>
      </c>
    </row>
    <row r="27" spans="1:29" s="117" customFormat="1" ht="29.25" thickBot="1">
      <c r="A27" s="431"/>
      <c r="B27" s="2957" t="s">
        <v>3094</v>
      </c>
      <c r="C27" s="432" t="str">
        <f>C90</f>
        <v>城市次干道——兴海路</v>
      </c>
      <c r="D27" s="462">
        <v>100</v>
      </c>
      <c r="E27" s="432" t="str">
        <f>E90</f>
        <v>城市次干道——博兴十路</v>
      </c>
      <c r="F27" s="462">
        <f>SUMIF(90:90,E27,91:91)-SUMIF(90:90,C27,91:91)+100</f>
        <v>100</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46"/>
      <c r="Q27" s="1795" t="str">
        <f t="shared" si="11"/>
        <v>临路状况</v>
      </c>
      <c r="R27" s="770" t="s">
        <v>21</v>
      </c>
      <c r="S27" s="771">
        <f t="shared" si="12"/>
        <v>100</v>
      </c>
      <c r="T27" s="770" t="s">
        <v>21</v>
      </c>
      <c r="U27" s="771">
        <f t="shared" si="13"/>
        <v>100</v>
      </c>
      <c r="V27" s="770" t="s">
        <v>21</v>
      </c>
      <c r="W27" s="771">
        <f t="shared" si="14"/>
        <v>100</v>
      </c>
      <c r="X27" s="772"/>
      <c r="Y27" s="3239"/>
      <c r="Z27" s="55" t="str">
        <f>Q27</f>
        <v>临路状况</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46"/>
      <c r="Q28" s="1810">
        <f t="shared" si="11"/>
        <v>111</v>
      </c>
      <c r="R28" s="774" t="s">
        <v>21</v>
      </c>
      <c r="S28" s="775">
        <f t="shared" si="12"/>
        <v>100</v>
      </c>
      <c r="T28" s="774" t="s">
        <v>21</v>
      </c>
      <c r="U28" s="775">
        <f t="shared" si="13"/>
        <v>100</v>
      </c>
      <c r="V28" s="774" t="s">
        <v>21</v>
      </c>
      <c r="W28" s="775">
        <f t="shared" si="14"/>
        <v>100</v>
      </c>
      <c r="X28" s="1813"/>
      <c r="Y28" s="3239"/>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46"/>
      <c r="Q29" s="1810">
        <f t="shared" si="11"/>
        <v>111</v>
      </c>
      <c r="R29" s="774" t="s">
        <v>21</v>
      </c>
      <c r="S29" s="775">
        <f t="shared" si="12"/>
        <v>100</v>
      </c>
      <c r="T29" s="774" t="s">
        <v>21</v>
      </c>
      <c r="U29" s="775">
        <f t="shared" si="13"/>
        <v>100</v>
      </c>
      <c r="V29" s="774" t="s">
        <v>21</v>
      </c>
      <c r="W29" s="775">
        <f t="shared" si="14"/>
        <v>100</v>
      </c>
      <c r="X29" s="1813"/>
      <c r="Y29" s="3239"/>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46"/>
      <c r="Q30" s="1810">
        <f t="shared" si="11"/>
        <v>111</v>
      </c>
      <c r="R30" s="774" t="s">
        <v>21</v>
      </c>
      <c r="S30" s="775">
        <f t="shared" si="12"/>
        <v>100</v>
      </c>
      <c r="T30" s="774" t="s">
        <v>21</v>
      </c>
      <c r="U30" s="775">
        <f t="shared" si="13"/>
        <v>100</v>
      </c>
      <c r="V30" s="774" t="s">
        <v>21</v>
      </c>
      <c r="W30" s="775">
        <f t="shared" si="14"/>
        <v>100</v>
      </c>
      <c r="X30" s="1813"/>
      <c r="Y30" s="3239"/>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46"/>
      <c r="Q31" s="1810">
        <f t="shared" si="11"/>
        <v>111</v>
      </c>
      <c r="R31" s="774" t="s">
        <v>21</v>
      </c>
      <c r="S31" s="775">
        <f t="shared" si="12"/>
        <v>100</v>
      </c>
      <c r="T31" s="774" t="s">
        <v>21</v>
      </c>
      <c r="U31" s="775">
        <f t="shared" si="13"/>
        <v>100</v>
      </c>
      <c r="V31" s="774" t="s">
        <v>21</v>
      </c>
      <c r="W31" s="775">
        <f t="shared" si="14"/>
        <v>100</v>
      </c>
      <c r="X31" s="1813"/>
      <c r="Y31" s="3239"/>
      <c r="Z31" s="1814">
        <f t="shared" si="18"/>
        <v>111</v>
      </c>
      <c r="AA31" s="1811">
        <f t="shared" si="15"/>
        <v>1</v>
      </c>
      <c r="AB31" s="1811">
        <f t="shared" si="16"/>
        <v>1</v>
      </c>
      <c r="AC31" s="1811">
        <f t="shared" si="17"/>
        <v>1</v>
      </c>
    </row>
    <row r="32" spans="1:29" ht="15">
      <c r="A32" s="440" t="s">
        <v>2562</v>
      </c>
      <c r="B32" s="71" t="s">
        <v>2563</v>
      </c>
      <c r="C32" s="2615" t="s">
        <v>3071</v>
      </c>
      <c r="D32" s="467">
        <v>100</v>
      </c>
      <c r="E32" s="2616" t="s">
        <v>3071</v>
      </c>
      <c r="F32" s="461">
        <f>SUMIF(100:100,E32,101:101)-SUMIF(100:100,C32,101:101)+100</f>
        <v>100</v>
      </c>
      <c r="G32" s="2615" t="s">
        <v>3071</v>
      </c>
      <c r="H32" s="467">
        <f>SUMIF(100:100,G32,101:101)-SUMIF(100:100,C32,101:101)+100</f>
        <v>100</v>
      </c>
      <c r="I32" s="2616" t="s">
        <v>3072</v>
      </c>
      <c r="J32" s="435">
        <f>SUMIF(100:100,I32,101:101)-SUMIF(100:100,C32,101:101)+100</f>
        <v>102</v>
      </c>
      <c r="K32" s="426">
        <v>2</v>
      </c>
      <c r="L32" s="1140"/>
      <c r="M32" s="1131"/>
      <c r="N32" s="1131"/>
      <c r="O32" s="1131"/>
      <c r="P32" s="3240" t="s">
        <v>2564</v>
      </c>
      <c r="Q32" s="1810" t="str">
        <f t="shared" si="11"/>
        <v>建筑类型</v>
      </c>
      <c r="R32" s="774" t="s">
        <v>21</v>
      </c>
      <c r="S32" s="775">
        <f t="shared" si="12"/>
        <v>100</v>
      </c>
      <c r="T32" s="774" t="s">
        <v>21</v>
      </c>
      <c r="U32" s="775">
        <f t="shared" si="13"/>
        <v>100</v>
      </c>
      <c r="V32" s="774" t="s">
        <v>21</v>
      </c>
      <c r="W32" s="775">
        <f t="shared" si="14"/>
        <v>102</v>
      </c>
      <c r="X32" s="1813"/>
      <c r="Y32" s="3243" t="s">
        <v>2564</v>
      </c>
      <c r="Z32" s="1814" t="str">
        <f t="shared" si="18"/>
        <v>建筑类型</v>
      </c>
      <c r="AA32" s="1811">
        <f t="shared" si="15"/>
        <v>1</v>
      </c>
      <c r="AB32" s="1811">
        <f t="shared" si="16"/>
        <v>1</v>
      </c>
      <c r="AC32" s="1811">
        <f t="shared" si="17"/>
        <v>0.98039215686274506</v>
      </c>
    </row>
    <row r="33" spans="1:29" s="471" customFormat="1" ht="15">
      <c r="A33" s="468"/>
      <c r="B33" s="422" t="s">
        <v>2565</v>
      </c>
      <c r="C33" s="469">
        <v>86971.4</v>
      </c>
      <c r="D33" s="136">
        <v>100</v>
      </c>
      <c r="E33" s="430">
        <v>112334</v>
      </c>
      <c r="F33" s="425">
        <f>LOOKUP(E33,103:103,104:104)-LOOKUP(C33,103:103,104:104)+100</f>
        <v>100</v>
      </c>
      <c r="G33" s="429">
        <v>95303</v>
      </c>
      <c r="H33" s="136">
        <f>LOOKUP(G33,103:103,104:104)-LOOKUP(C33,103:103,104:104)+100</f>
        <v>100</v>
      </c>
      <c r="I33" s="430">
        <v>165717</v>
      </c>
      <c r="J33" s="136">
        <f>LOOKUP(I33,103:103,104:104)-LOOKUP(C33,103:103,104:104)+100</f>
        <v>100</v>
      </c>
      <c r="K33" s="2599"/>
      <c r="L33" s="1138"/>
      <c r="M33" s="1141"/>
      <c r="N33" s="1141"/>
      <c r="O33" s="1141"/>
      <c r="P33" s="3241"/>
      <c r="Q33" s="776" t="str">
        <f t="shared" si="11"/>
        <v>项目建筑规模</v>
      </c>
      <c r="R33" s="777" t="s">
        <v>21</v>
      </c>
      <c r="S33" s="778">
        <f t="shared" si="12"/>
        <v>100</v>
      </c>
      <c r="T33" s="777" t="s">
        <v>21</v>
      </c>
      <c r="U33" s="778">
        <f t="shared" si="13"/>
        <v>100</v>
      </c>
      <c r="V33" s="777" t="s">
        <v>21</v>
      </c>
      <c r="W33" s="778">
        <f t="shared" si="14"/>
        <v>100</v>
      </c>
      <c r="X33" s="779"/>
      <c r="Y33" s="3243"/>
      <c r="Z33" s="780" t="str">
        <f t="shared" si="18"/>
        <v>项目建筑规模</v>
      </c>
      <c r="AA33" s="1811">
        <f t="shared" si="15"/>
        <v>1</v>
      </c>
      <c r="AB33" s="1811">
        <f t="shared" si="16"/>
        <v>1</v>
      </c>
      <c r="AC33" s="1811">
        <f t="shared" si="17"/>
        <v>1</v>
      </c>
    </row>
    <row r="34" spans="1:29" ht="15">
      <c r="A34" s="472"/>
      <c r="B34" s="422" t="s">
        <v>2566</v>
      </c>
      <c r="C34" s="2617" t="s">
        <v>3089</v>
      </c>
      <c r="D34" s="435">
        <v>100</v>
      </c>
      <c r="E34" s="2618" t="s">
        <v>3089</v>
      </c>
      <c r="F34" s="461">
        <f>SUMIF(105:105,E34,106:106)-SUMIF(105:105,C34,106:106)+100</f>
        <v>100</v>
      </c>
      <c r="G34" s="2617" t="s">
        <v>3089</v>
      </c>
      <c r="H34" s="435">
        <f>SUMIF(105:105,G34,106:106)-SUMIF(105:105,C34,106:106)+100</f>
        <v>100</v>
      </c>
      <c r="I34" s="2618" t="s">
        <v>3089</v>
      </c>
      <c r="J34" s="435">
        <f>SUMIF(105:105,I34,106:106)-SUMIF(105:105,C34,106:106)+100</f>
        <v>100</v>
      </c>
      <c r="K34" s="426"/>
      <c r="L34" s="1140"/>
      <c r="M34" s="1131"/>
      <c r="N34" s="1131"/>
      <c r="O34" s="1131"/>
      <c r="P34" s="3241"/>
      <c r="Q34" s="1810" t="str">
        <f t="shared" si="11"/>
        <v>建筑结构</v>
      </c>
      <c r="R34" s="774" t="s">
        <v>21</v>
      </c>
      <c r="S34" s="775">
        <f t="shared" si="12"/>
        <v>100</v>
      </c>
      <c r="T34" s="774" t="s">
        <v>21</v>
      </c>
      <c r="U34" s="775">
        <f t="shared" si="13"/>
        <v>100</v>
      </c>
      <c r="V34" s="774" t="s">
        <v>21</v>
      </c>
      <c r="W34" s="775">
        <f t="shared" si="14"/>
        <v>100</v>
      </c>
      <c r="X34" s="1813"/>
      <c r="Y34" s="3243"/>
      <c r="Z34" s="1814" t="str">
        <f t="shared" si="18"/>
        <v>建筑结构</v>
      </c>
      <c r="AA34" s="1811">
        <f t="shared" si="15"/>
        <v>1</v>
      </c>
      <c r="AB34" s="1811">
        <f t="shared" si="16"/>
        <v>1</v>
      </c>
      <c r="AC34" s="1811">
        <f t="shared" si="17"/>
        <v>1</v>
      </c>
    </row>
    <row r="35" spans="1:29" ht="15"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41"/>
      <c r="Q35" s="1810" t="str">
        <f t="shared" si="11"/>
        <v>建筑品质</v>
      </c>
      <c r="R35" s="774" t="s">
        <v>21</v>
      </c>
      <c r="S35" s="775">
        <f t="shared" si="12"/>
        <v>100</v>
      </c>
      <c r="T35" s="774" t="s">
        <v>21</v>
      </c>
      <c r="U35" s="775">
        <f t="shared" si="13"/>
        <v>100</v>
      </c>
      <c r="V35" s="774" t="s">
        <v>21</v>
      </c>
      <c r="W35" s="775">
        <f t="shared" si="14"/>
        <v>100</v>
      </c>
      <c r="X35" s="1813"/>
      <c r="Y35" s="3243"/>
      <c r="Z35" s="1814" t="str">
        <f t="shared" si="18"/>
        <v>建筑品质</v>
      </c>
      <c r="AA35" s="1811">
        <f t="shared" si="15"/>
        <v>1</v>
      </c>
      <c r="AB35" s="1811">
        <f t="shared" si="16"/>
        <v>1</v>
      </c>
      <c r="AC35" s="1811">
        <f t="shared" si="17"/>
        <v>1</v>
      </c>
    </row>
    <row r="36" spans="1:29" ht="15">
      <c r="A36" s="472"/>
      <c r="B36" s="422" t="s">
        <v>2568</v>
      </c>
      <c r="C36" s="2611" t="s">
        <v>3074</v>
      </c>
      <c r="D36" s="435">
        <v>100</v>
      </c>
      <c r="E36" s="2612" t="s">
        <v>3074</v>
      </c>
      <c r="F36" s="461">
        <f>SUMIF(109:109,E36,110:110)-SUMIF(109:109,C36,110:110)+100</f>
        <v>100</v>
      </c>
      <c r="G36" s="2611" t="s">
        <v>3074</v>
      </c>
      <c r="H36" s="435">
        <f>SUMIF(109:109,G36,110:110)-SUMIF(109:109,C36,110:110)+100</f>
        <v>100</v>
      </c>
      <c r="I36" s="2612" t="s">
        <v>3074</v>
      </c>
      <c r="J36" s="435">
        <f>SUMIF(109:109,I36,110:110)-SUMIF(109:109,C36,110:110)+100</f>
        <v>100</v>
      </c>
      <c r="K36" s="426"/>
      <c r="L36" s="1140"/>
      <c r="M36" s="1131"/>
      <c r="N36" s="1131"/>
      <c r="O36" s="1131"/>
      <c r="P36" s="3241"/>
      <c r="Q36" s="1810" t="str">
        <f t="shared" si="11"/>
        <v>公共部分装修</v>
      </c>
      <c r="R36" s="774" t="s">
        <v>21</v>
      </c>
      <c r="S36" s="775">
        <f t="shared" si="12"/>
        <v>100</v>
      </c>
      <c r="T36" s="774" t="s">
        <v>21</v>
      </c>
      <c r="U36" s="775">
        <f t="shared" si="13"/>
        <v>100</v>
      </c>
      <c r="V36" s="774" t="s">
        <v>21</v>
      </c>
      <c r="W36" s="775">
        <f t="shared" si="14"/>
        <v>100</v>
      </c>
      <c r="X36" s="1813"/>
      <c r="Y36" s="3243"/>
      <c r="Z36" s="1814" t="str">
        <f t="shared" si="18"/>
        <v>公共部分装修</v>
      </c>
      <c r="AA36" s="1811">
        <f t="shared" si="15"/>
        <v>1</v>
      </c>
      <c r="AB36" s="1811">
        <f t="shared" si="16"/>
        <v>1</v>
      </c>
      <c r="AC36" s="1811">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41"/>
      <c r="Q37" s="1795" t="str">
        <f t="shared" si="11"/>
        <v>成新度</v>
      </c>
      <c r="R37" s="770" t="s">
        <v>21</v>
      </c>
      <c r="S37" s="771">
        <f t="shared" si="12"/>
        <v>100</v>
      </c>
      <c r="T37" s="770" t="s">
        <v>21</v>
      </c>
      <c r="U37" s="771">
        <f t="shared" si="13"/>
        <v>100</v>
      </c>
      <c r="V37" s="770" t="s">
        <v>21</v>
      </c>
      <c r="W37" s="771">
        <f t="shared" si="14"/>
        <v>100</v>
      </c>
      <c r="X37" s="772"/>
      <c r="Y37" s="3243"/>
      <c r="Z37" s="55" t="str">
        <f t="shared" si="18"/>
        <v>成新度</v>
      </c>
      <c r="AA37" s="773">
        <f t="shared" si="15"/>
        <v>1</v>
      </c>
      <c r="AB37" s="773">
        <f t="shared" si="16"/>
        <v>1</v>
      </c>
      <c r="AC37" s="773">
        <f t="shared" si="17"/>
        <v>1</v>
      </c>
    </row>
    <row r="38" spans="1:29" ht="15">
      <c r="A38" s="472"/>
      <c r="B38" s="422" t="s">
        <v>2570</v>
      </c>
      <c r="C38" s="2611" t="s">
        <v>3098</v>
      </c>
      <c r="D38" s="435">
        <v>100</v>
      </c>
      <c r="E38" s="2612" t="s">
        <v>3098</v>
      </c>
      <c r="F38" s="461">
        <f>SUMIF(114:114,E38,115:115)-SUMIF(114:114,C38,115:115)+100</f>
        <v>100</v>
      </c>
      <c r="G38" s="2611" t="s">
        <v>3098</v>
      </c>
      <c r="H38" s="435">
        <f>SUMIF(114:114,G38,115:115)-SUMIF(114:114,C38,115:115)+100</f>
        <v>100</v>
      </c>
      <c r="I38" s="2612" t="s">
        <v>3098</v>
      </c>
      <c r="J38" s="435">
        <f>SUMIF(114:114,I38,115:115)-SUMIF(114:114,C38,115:115)+100</f>
        <v>100</v>
      </c>
      <c r="K38" s="426"/>
      <c r="L38" s="1140"/>
      <c r="M38" s="1131"/>
      <c r="N38" s="1131"/>
      <c r="O38" s="1131"/>
      <c r="P38" s="3241" t="s">
        <v>2564</v>
      </c>
      <c r="Q38" s="1810" t="str">
        <f t="shared" si="11"/>
        <v>物业管理</v>
      </c>
      <c r="R38" s="774" t="s">
        <v>21</v>
      </c>
      <c r="S38" s="775">
        <f t="shared" si="12"/>
        <v>100</v>
      </c>
      <c r="T38" s="774" t="s">
        <v>21</v>
      </c>
      <c r="U38" s="775">
        <f t="shared" si="13"/>
        <v>100</v>
      </c>
      <c r="V38" s="774" t="s">
        <v>21</v>
      </c>
      <c r="W38" s="775">
        <f t="shared" si="14"/>
        <v>100</v>
      </c>
      <c r="X38" s="1813"/>
      <c r="Y38" s="3243" t="s">
        <v>2564</v>
      </c>
      <c r="Z38" s="1814" t="str">
        <f t="shared" si="18"/>
        <v>物业管理</v>
      </c>
      <c r="AA38" s="1811">
        <f t="shared" si="15"/>
        <v>1</v>
      </c>
      <c r="AB38" s="1811">
        <f t="shared" si="16"/>
        <v>1</v>
      </c>
      <c r="AC38" s="1811">
        <f t="shared" si="17"/>
        <v>1</v>
      </c>
    </row>
    <row r="39" spans="1:29" ht="15">
      <c r="A39" s="472"/>
      <c r="B39" s="422" t="s">
        <v>2571</v>
      </c>
      <c r="C39" s="2611" t="s">
        <v>3070</v>
      </c>
      <c r="D39" s="435">
        <v>100</v>
      </c>
      <c r="E39" s="2612" t="s">
        <v>3070</v>
      </c>
      <c r="F39" s="461">
        <f>SUMIF(116:116,E39,117:117)-SUMIF(116:116,C39,117:117)+100</f>
        <v>100</v>
      </c>
      <c r="G39" s="2611" t="s">
        <v>3070</v>
      </c>
      <c r="H39" s="435">
        <f>SUMIF(116:116,G39,117:117)-SUMIF(116:116,C39,117:117)+100</f>
        <v>100</v>
      </c>
      <c r="I39" s="2612" t="s">
        <v>3070</v>
      </c>
      <c r="J39" s="435">
        <f>SUMIF(116:116,I39,117:117)-SUMIF(116:116,C39,117:117)+100</f>
        <v>100</v>
      </c>
      <c r="K39" s="426"/>
      <c r="L39" s="1140"/>
      <c r="M39" s="1131"/>
      <c r="N39" s="1131"/>
      <c r="O39" s="1131"/>
      <c r="P39" s="3241"/>
      <c r="Q39" s="1810" t="str">
        <f t="shared" si="11"/>
        <v>市政基础设施</v>
      </c>
      <c r="R39" s="774" t="s">
        <v>21</v>
      </c>
      <c r="S39" s="775">
        <f t="shared" si="12"/>
        <v>100</v>
      </c>
      <c r="T39" s="774" t="s">
        <v>21</v>
      </c>
      <c r="U39" s="775">
        <f t="shared" si="13"/>
        <v>100</v>
      </c>
      <c r="V39" s="774" t="s">
        <v>21</v>
      </c>
      <c r="W39" s="775">
        <f t="shared" si="14"/>
        <v>100</v>
      </c>
      <c r="X39" s="1813"/>
      <c r="Y39" s="3243"/>
      <c r="Z39" s="1814" t="str">
        <f t="shared" si="18"/>
        <v>市政基础设施</v>
      </c>
      <c r="AA39" s="1811">
        <f t="shared" si="15"/>
        <v>1</v>
      </c>
      <c r="AB39" s="1811">
        <f t="shared" si="16"/>
        <v>1</v>
      </c>
      <c r="AC39" s="1811">
        <f t="shared" si="17"/>
        <v>1</v>
      </c>
    </row>
    <row r="40" spans="1:29" ht="15">
      <c r="A40" s="472"/>
      <c r="B40" s="422" t="s">
        <v>2572</v>
      </c>
      <c r="C40" s="2611" t="s">
        <v>3101</v>
      </c>
      <c r="D40" s="435">
        <v>100</v>
      </c>
      <c r="E40" s="2612" t="s">
        <v>3101</v>
      </c>
      <c r="F40" s="461">
        <f>SUMIF(118:118,E40,119:119)-SUMIF(118:118,C40,119:119)+100</f>
        <v>100</v>
      </c>
      <c r="G40" s="2611" t="s">
        <v>3101</v>
      </c>
      <c r="H40" s="435">
        <f>SUMIF(118:118,G40,119:119)-SUMIF(118:118,C40,119:119)+100</f>
        <v>100</v>
      </c>
      <c r="I40" s="2612" t="s">
        <v>3101</v>
      </c>
      <c r="J40" s="435">
        <f>SUMIF(118:118,I40,119:119)-SUMIF(118:118,C40,119:119)+100</f>
        <v>100</v>
      </c>
      <c r="K40" s="426"/>
      <c r="L40" s="1140"/>
      <c r="M40" s="1131"/>
      <c r="N40" s="1131"/>
      <c r="O40" s="1131"/>
      <c r="P40" s="3241"/>
      <c r="Q40" s="1810" t="str">
        <f t="shared" si="11"/>
        <v>房型</v>
      </c>
      <c r="R40" s="774" t="s">
        <v>21</v>
      </c>
      <c r="S40" s="775">
        <f t="shared" si="12"/>
        <v>100</v>
      </c>
      <c r="T40" s="774" t="s">
        <v>21</v>
      </c>
      <c r="U40" s="775">
        <f t="shared" si="13"/>
        <v>100</v>
      </c>
      <c r="V40" s="774" t="s">
        <v>21</v>
      </c>
      <c r="W40" s="775">
        <f t="shared" si="14"/>
        <v>100</v>
      </c>
      <c r="X40" s="1813"/>
      <c r="Y40" s="3243"/>
      <c r="Z40" s="1814" t="str">
        <f t="shared" si="18"/>
        <v>房型</v>
      </c>
      <c r="AA40" s="1811">
        <f t="shared" si="15"/>
        <v>1</v>
      </c>
      <c r="AB40" s="1811">
        <f t="shared" si="16"/>
        <v>1</v>
      </c>
      <c r="AC40" s="1811">
        <f t="shared" si="17"/>
        <v>1</v>
      </c>
    </row>
    <row r="41" spans="1:29" s="471" customFormat="1" ht="28.5">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1">
        <f t="shared" si="15"/>
        <v>1</v>
      </c>
      <c r="AB41" s="1811">
        <f t="shared" si="16"/>
        <v>1</v>
      </c>
      <c r="AC41" s="1811">
        <f t="shared" si="17"/>
        <v>1</v>
      </c>
    </row>
    <row r="42" spans="1:29" ht="15">
      <c r="A42" s="472"/>
      <c r="B42" s="422" t="s">
        <v>2574</v>
      </c>
      <c r="C42" s="2611" t="s">
        <v>3077</v>
      </c>
      <c r="D42" s="435">
        <v>100</v>
      </c>
      <c r="E42" s="2612" t="s">
        <v>3077</v>
      </c>
      <c r="F42" s="461">
        <f>SUMIF(122:122,E42,123:123)-SUMIF(122:122,C42,123:123)+100</f>
        <v>100</v>
      </c>
      <c r="G42" s="2611" t="s">
        <v>3079</v>
      </c>
      <c r="H42" s="435">
        <f>SUMIF(122:122,G42,123:123)-SUMIF(122:122,C42,123:123)+100</f>
        <v>94</v>
      </c>
      <c r="I42" s="2612" t="s">
        <v>3075</v>
      </c>
      <c r="J42" s="435">
        <f>SUMIF(122:122,I42,123:123)-SUMIF(122:122,C42,123:123)+100</f>
        <v>97</v>
      </c>
      <c r="K42" s="426">
        <v>3</v>
      </c>
      <c r="L42" s="1140"/>
      <c r="M42" s="1131"/>
      <c r="N42" s="1131"/>
      <c r="O42" s="1131"/>
      <c r="P42" s="3241"/>
      <c r="Q42" s="1810" t="str">
        <f t="shared" si="11"/>
        <v>内部装修</v>
      </c>
      <c r="R42" s="774" t="s">
        <v>21</v>
      </c>
      <c r="S42" s="775">
        <f t="shared" si="12"/>
        <v>100</v>
      </c>
      <c r="T42" s="774" t="s">
        <v>21</v>
      </c>
      <c r="U42" s="775">
        <f t="shared" si="13"/>
        <v>94</v>
      </c>
      <c r="V42" s="774" t="s">
        <v>21</v>
      </c>
      <c r="W42" s="775">
        <f t="shared" si="14"/>
        <v>97</v>
      </c>
      <c r="X42" s="1813"/>
      <c r="Y42" s="3243"/>
      <c r="Z42" s="1814" t="str">
        <f t="shared" si="18"/>
        <v>内部装修</v>
      </c>
      <c r="AA42" s="1811">
        <f t="shared" si="15"/>
        <v>1</v>
      </c>
      <c r="AB42" s="1811">
        <f t="shared" si="16"/>
        <v>1.0638297872340425</v>
      </c>
      <c r="AC42" s="1811">
        <f t="shared" si="17"/>
        <v>1.0309278350515463</v>
      </c>
    </row>
    <row r="43" spans="1:29" ht="15"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41"/>
      <c r="Q43" s="1810" t="str">
        <f t="shared" si="11"/>
        <v>内部装修维护情况</v>
      </c>
      <c r="R43" s="774" t="s">
        <v>21</v>
      </c>
      <c r="S43" s="775">
        <f t="shared" si="12"/>
        <v>100</v>
      </c>
      <c r="T43" s="774" t="s">
        <v>21</v>
      </c>
      <c r="U43" s="775">
        <f t="shared" si="13"/>
        <v>100</v>
      </c>
      <c r="V43" s="774" t="s">
        <v>21</v>
      </c>
      <c r="W43" s="775">
        <f t="shared" si="14"/>
        <v>100</v>
      </c>
      <c r="X43" s="1813"/>
      <c r="Y43" s="3243"/>
      <c r="Z43" s="1814" t="str">
        <f t="shared" si="18"/>
        <v>内部装修维护情况</v>
      </c>
      <c r="AA43" s="1811">
        <f t="shared" si="15"/>
        <v>1</v>
      </c>
      <c r="AB43" s="1811">
        <f t="shared" si="16"/>
        <v>1</v>
      </c>
      <c r="AC43" s="1811">
        <f t="shared" si="17"/>
        <v>1</v>
      </c>
    </row>
    <row r="44" spans="1:29" s="117" customFormat="1" ht="15">
      <c r="A44" s="473"/>
      <c r="B44" s="2957" t="s">
        <v>3081</v>
      </c>
      <c r="C44" s="469">
        <v>2021.9</v>
      </c>
      <c r="D44" s="136">
        <v>100</v>
      </c>
      <c r="E44" s="2965">
        <f>F126</f>
        <v>2022.1</v>
      </c>
      <c r="F44" s="425">
        <f>SUMIF(126:126,E44,127:127)-SUMIF(126:126,C44,127:127)+100</f>
        <v>98</v>
      </c>
      <c r="G44" s="2965">
        <f>C126</f>
        <v>2021.1</v>
      </c>
      <c r="H44" s="136">
        <f>SUMIF(126:126,G44,127:127)-SUMIF(126:126,C44,127:127)+100</f>
        <v>100</v>
      </c>
      <c r="I44" s="469">
        <f>D126</f>
        <v>2020.12</v>
      </c>
      <c r="J44" s="136">
        <f>SUMIF(126:126,I44,127:127)-SUMIF(126:126,C44,127:127)+100</f>
        <v>102</v>
      </c>
      <c r="K44" s="2599"/>
      <c r="L44" s="1132"/>
      <c r="M44" s="1133"/>
      <c r="N44" s="1133"/>
      <c r="O44" s="1133"/>
      <c r="P44" s="3241"/>
      <c r="Q44" s="1795" t="str">
        <f t="shared" si="11"/>
        <v>交房时间</v>
      </c>
      <c r="R44" s="770" t="s">
        <v>21</v>
      </c>
      <c r="S44" s="771">
        <f t="shared" si="12"/>
        <v>98</v>
      </c>
      <c r="T44" s="770" t="s">
        <v>21</v>
      </c>
      <c r="U44" s="771">
        <f t="shared" si="13"/>
        <v>100</v>
      </c>
      <c r="V44" s="770" t="s">
        <v>21</v>
      </c>
      <c r="W44" s="771">
        <f t="shared" si="14"/>
        <v>102</v>
      </c>
      <c r="X44" s="772"/>
      <c r="Y44" s="3243"/>
      <c r="Z44" s="55" t="str">
        <f t="shared" si="18"/>
        <v>交房时间</v>
      </c>
      <c r="AA44" s="773">
        <f t="shared" si="15"/>
        <v>1.0204081632653061</v>
      </c>
      <c r="AB44" s="773">
        <f t="shared" si="16"/>
        <v>1</v>
      </c>
      <c r="AC44" s="773">
        <f t="shared" si="17"/>
        <v>0.98039215686274506</v>
      </c>
    </row>
    <row r="45" spans="1:29" ht="15.75" thickBot="1">
      <c r="A45" s="472"/>
      <c r="B45" s="2957" t="s">
        <v>3091</v>
      </c>
      <c r="C45" s="434" t="str">
        <f>C128</f>
        <v>一梯多户</v>
      </c>
      <c r="D45" s="435">
        <v>100</v>
      </c>
      <c r="E45" s="434" t="str">
        <f>C45</f>
        <v>一梯多户</v>
      </c>
      <c r="F45" s="461">
        <f>SUMIF(128:128,E45,129:129)-SUMIF(128:128,C45,129:129)+100</f>
        <v>100</v>
      </c>
      <c r="G45" s="2967" t="s">
        <v>3109</v>
      </c>
      <c r="H45" s="435">
        <f>SUMIF(128:128,G45,129:129)-SUMIF(128:128,C45,129:129)+100</f>
        <v>100</v>
      </c>
      <c r="I45" s="434" t="str">
        <f>C45</f>
        <v>一梯多户</v>
      </c>
      <c r="J45" s="435">
        <f>SUMIF(128:128,I45,129:129)-SUMIF(128:128,C45,129:129)+100</f>
        <v>100</v>
      </c>
      <c r="K45" s="2599"/>
      <c r="L45" s="1140"/>
      <c r="M45" s="1131"/>
      <c r="N45" s="1131"/>
      <c r="O45" s="1131"/>
      <c r="P45" s="3241"/>
      <c r="Q45" s="1810" t="str">
        <f t="shared" si="11"/>
        <v>梯户比</v>
      </c>
      <c r="R45" s="774" t="s">
        <v>21</v>
      </c>
      <c r="S45" s="775">
        <f t="shared" si="12"/>
        <v>100</v>
      </c>
      <c r="T45" s="774" t="s">
        <v>21</v>
      </c>
      <c r="U45" s="775">
        <f t="shared" si="13"/>
        <v>100</v>
      </c>
      <c r="V45" s="774" t="s">
        <v>21</v>
      </c>
      <c r="W45" s="775">
        <f t="shared" si="14"/>
        <v>100</v>
      </c>
      <c r="X45" s="1813"/>
      <c r="Y45" s="3243"/>
      <c r="Z45" s="1814" t="str">
        <f t="shared" si="18"/>
        <v>梯户比</v>
      </c>
      <c r="AA45" s="1811">
        <f t="shared" si="15"/>
        <v>1</v>
      </c>
      <c r="AB45" s="1811">
        <f t="shared" si="16"/>
        <v>1</v>
      </c>
      <c r="AC45" s="1811">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42"/>
      <c r="Q46" s="1810">
        <f t="shared" si="11"/>
        <v>111</v>
      </c>
      <c r="R46" s="774" t="s">
        <v>20</v>
      </c>
      <c r="S46" s="775">
        <f t="shared" si="12"/>
        <v>100</v>
      </c>
      <c r="T46" s="774" t="s">
        <v>20</v>
      </c>
      <c r="U46" s="775">
        <f t="shared" si="13"/>
        <v>100</v>
      </c>
      <c r="V46" s="774" t="s">
        <v>20</v>
      </c>
      <c r="W46" s="775">
        <f t="shared" si="14"/>
        <v>100</v>
      </c>
      <c r="X46" s="1813"/>
      <c r="Y46" s="3244"/>
      <c r="Z46" s="1814">
        <f t="shared" si="18"/>
        <v>111</v>
      </c>
      <c r="AA46" s="1811">
        <f t="shared" si="15"/>
        <v>1</v>
      </c>
      <c r="AB46" s="1811">
        <f t="shared" si="16"/>
        <v>1</v>
      </c>
      <c r="AC46" s="1811">
        <f t="shared" si="17"/>
        <v>1</v>
      </c>
    </row>
    <row r="47" spans="1:29" ht="15">
      <c r="A47" s="479" t="s">
        <v>2576</v>
      </c>
      <c r="B47" s="480"/>
      <c r="C47" s="1407" t="s">
        <v>19</v>
      </c>
      <c r="D47" s="1408"/>
      <c r="E47" s="1409">
        <v>44766</v>
      </c>
      <c r="F47" s="1410"/>
      <c r="G47" s="1411">
        <v>44362</v>
      </c>
      <c r="H47" s="1412"/>
      <c r="I47" s="1409">
        <v>50599</v>
      </c>
      <c r="J47" s="1412"/>
      <c r="K47" s="2619"/>
      <c r="L47" s="1143"/>
      <c r="M47" s="1144"/>
      <c r="N47" s="1131"/>
      <c r="O47" s="1144"/>
      <c r="P47" s="3236" t="str">
        <f>A47</f>
        <v>成交单价（元/平方米）</v>
      </c>
      <c r="Q47" s="3236"/>
      <c r="R47" s="3237">
        <f>E47</f>
        <v>44766</v>
      </c>
      <c r="S47" s="3237"/>
      <c r="T47" s="3237">
        <f>G47</f>
        <v>44362</v>
      </c>
      <c r="U47" s="3237"/>
      <c r="V47" s="3237">
        <f>I47</f>
        <v>50599</v>
      </c>
      <c r="W47" s="3237"/>
      <c r="X47" s="759"/>
      <c r="Y47" s="781"/>
      <c r="Z47" s="759"/>
      <c r="AA47" s="759"/>
      <c r="AB47" s="759"/>
      <c r="AC47" s="759"/>
    </row>
    <row r="48" spans="1:29" ht="15.75" thickBot="1">
      <c r="A48" s="486" t="s">
        <v>2577</v>
      </c>
      <c r="B48" s="487"/>
      <c r="C48" s="1413">
        <f>R49</f>
        <v>47975</v>
      </c>
      <c r="D48" s="1414"/>
      <c r="E48" s="1415">
        <f>R48</f>
        <v>46612</v>
      </c>
      <c r="F48" s="1415"/>
      <c r="G48" s="1413">
        <f>T48</f>
        <v>48157</v>
      </c>
      <c r="H48" s="1414"/>
      <c r="I48" s="1415">
        <f>V48</f>
        <v>49155</v>
      </c>
      <c r="J48" s="1414"/>
      <c r="K48" s="2620"/>
      <c r="L48" s="1143"/>
      <c r="M48" s="1144"/>
      <c r="N48" s="1144"/>
      <c r="O48" s="1144"/>
      <c r="P48" s="3236" t="str">
        <f>A48</f>
        <v>比较价值（元/平方米）</v>
      </c>
      <c r="Q48" s="3236"/>
      <c r="R48" s="3237">
        <f>IF(F1="售价",ROUND(PRODUCT(R47,AA7:AA46),0),ROUND(PRODUCT(R47,AA7:AA46),1))</f>
        <v>46612</v>
      </c>
      <c r="S48" s="3237"/>
      <c r="T48" s="3237">
        <f>IF(F1="售价",ROUND(PRODUCT(T47,AB7:AB46),0),ROUND(PRODUCT(T47,AB7:AB46),1))</f>
        <v>48157</v>
      </c>
      <c r="U48" s="3237"/>
      <c r="V48" s="3237">
        <f>IF(F1="售价",ROUND(PRODUCT(V47,AC7:AC46),0),ROUND(PRODUCT(V47,AC7:AC46),1))</f>
        <v>49155</v>
      </c>
      <c r="W48" s="3237"/>
      <c r="X48" s="759"/>
      <c r="Y48" s="759"/>
      <c r="Z48" s="759"/>
      <c r="AA48" s="759"/>
      <c r="AB48" s="759"/>
      <c r="AC48" s="759"/>
    </row>
    <row r="49" spans="1:29" ht="15.75" thickBot="1">
      <c r="A49" s="492" t="s">
        <v>2578</v>
      </c>
      <c r="B49" s="493"/>
      <c r="C49" s="1416">
        <f>R49</f>
        <v>47975</v>
      </c>
      <c r="D49" s="1417"/>
      <c r="E49" s="1417"/>
      <c r="F49" s="1417"/>
      <c r="G49" s="1417"/>
      <c r="H49" s="1417"/>
      <c r="I49" s="1417"/>
      <c r="J49" s="1417"/>
      <c r="K49" s="2621"/>
      <c r="L49" s="1143"/>
      <c r="M49" s="1144"/>
      <c r="N49" s="1144"/>
      <c r="O49" s="1144"/>
      <c r="P49" s="3233" t="str">
        <f>A49</f>
        <v>估价对象XX用房的比较价值（楼面单价，元/平方米）</v>
      </c>
      <c r="Q49" s="3234"/>
      <c r="R49" s="3235">
        <f>IF(F1="售价",ROUND(AVERAGE(R48:V48),0),ROUND(AVERAGE(R48:V48),1))</f>
        <v>47975</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4.1236652816869945E-2</v>
      </c>
      <c r="F52" s="500" t="str">
        <f>IF(OR(E52&gt;=0.3,E52&lt;=-0.3),"超过30%","")</f>
        <v/>
      </c>
      <c r="G52" s="499">
        <f>IF(G47&lt;G48,G48/G47-1,G47/G48-1)</f>
        <v>8.5546188179072225E-2</v>
      </c>
      <c r="H52" s="500" t="str">
        <f>IF(OR(G52&gt;=0.3,G52&lt;=-0.3),"超过30%","")</f>
        <v/>
      </c>
      <c r="I52" s="499">
        <f>IF(I47&lt;I48,I48/I47-1,I47/I48-1)</f>
        <v>2.9376462211372134E-2</v>
      </c>
      <c r="J52" s="500" t="str">
        <f>IF(OR(I52&gt;=0.3,I52&lt;=-0.3),"超过30%","")</f>
        <v/>
      </c>
      <c r="K52" s="1105"/>
      <c r="L52" s="1106"/>
      <c r="M52" s="1144"/>
      <c r="N52" s="1144"/>
      <c r="O52" s="1144"/>
    </row>
    <row r="53" spans="1:29" ht="13.5" customHeight="1">
      <c r="A53" s="1144"/>
      <c r="B53" s="1144"/>
      <c r="C53" s="497" t="s">
        <v>2580</v>
      </c>
      <c r="D53" s="501"/>
      <c r="E53" s="499">
        <f>IF(E48&lt;G48,G48/E48-1,E48/G48-1)</f>
        <v>3.3145970994593599E-2</v>
      </c>
      <c r="F53" s="500" t="str">
        <f>IF(OR(E53&gt;=0.2,E53&lt;=-0.2),"超过20%","")</f>
        <v/>
      </c>
      <c r="G53" s="499">
        <f>IF(G48&lt;I48,I48/G48-1,G48/I48-1)</f>
        <v>2.0723882301638463E-2</v>
      </c>
      <c r="H53" s="500" t="str">
        <f>IF(OR(G53&gt;=0.2,G53&lt;=-0.2),"超过20%","")</f>
        <v/>
      </c>
      <c r="I53" s="499">
        <f>IF(I48&lt;E48,E48/I48-1,I48/E48-1)</f>
        <v>5.4556766497897646E-2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9.1068932870475017E-3</v>
      </c>
      <c r="F54" s="500" t="str">
        <f>IF(OR(E54&gt;=0.3,E54&lt;=-0.3),"超过30%","")</f>
        <v/>
      </c>
      <c r="G54" s="499">
        <f>IF(G47&lt;I47,I47/G47-1,G47/I47-1)</f>
        <v>0.14059330057256214</v>
      </c>
      <c r="H54" s="500" t="str">
        <f>IF(OR(G54&gt;=0.3,G54&lt;=-0.3),"超过30%","")</f>
        <v/>
      </c>
      <c r="I54" s="499">
        <f>IF(I47&lt;E47,E47/I47-1,I47/E47-1)</f>
        <v>0.1302997810838582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3315" t="s">
        <v>3126</v>
      </c>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0（含）-2</v>
      </c>
      <c r="D67" s="547" t="str">
        <f t="shared" ref="D67:L67" si="21">D68&amp;"（含）"&amp;"-"&amp;E68</f>
        <v>2（含）-2.5</v>
      </c>
      <c r="E67" s="547" t="str">
        <f t="shared" si="21"/>
        <v>2.5（含）-3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2</v>
      </c>
      <c r="E68" s="549">
        <v>2.5</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2956" t="s">
        <v>3093</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27.75" thickTop="1">
      <c r="A90" s="553"/>
      <c r="B90" s="538" t="str">
        <f>B27</f>
        <v>临路状况</v>
      </c>
      <c r="C90" s="2956" t="s">
        <v>3095</v>
      </c>
      <c r="D90" s="2956" t="s">
        <v>3096</v>
      </c>
      <c r="E90" s="2956" t="s">
        <v>3105</v>
      </c>
      <c r="F90" s="554"/>
      <c r="G90" s="554"/>
      <c r="H90" s="555"/>
      <c r="I90" s="555"/>
      <c r="J90" s="555"/>
      <c r="K90" s="555"/>
      <c r="L90" s="556"/>
      <c r="M90" s="557"/>
      <c r="N90" s="1154"/>
      <c r="O90" s="1154"/>
      <c r="P90" s="2629"/>
      <c r="Q90" s="559"/>
    </row>
    <row r="91" spans="1:17" s="471" customFormat="1" ht="15.75" thickBot="1">
      <c r="A91" s="553"/>
      <c r="B91" s="543"/>
      <c r="C91" s="560">
        <v>100</v>
      </c>
      <c r="D91" s="560">
        <v>100</v>
      </c>
      <c r="E91" s="560">
        <v>100</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2955" t="s">
        <v>3107</v>
      </c>
      <c r="D100" s="2955" t="s">
        <v>3108</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15.75" thickTop="1">
      <c r="A102" s="534"/>
      <c r="B102" s="538" t="s">
        <v>2612</v>
      </c>
      <c r="C102" s="578" t="str">
        <f>C103&amp;"(含)"&amp;"-"&amp;D103</f>
        <v>50000(含)-12000</v>
      </c>
      <c r="D102" s="578" t="str">
        <f t="shared" ref="D102:L102" si="27">D103&amp;"(含)"&amp;"-"&amp;E103</f>
        <v>12000(含)-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29"/>
      <c r="Q104" s="559"/>
    </row>
    <row r="105" spans="1:17" ht="15" thickTop="1">
      <c r="A105" s="599"/>
      <c r="B105" s="538" t="s">
        <v>2613</v>
      </c>
      <c r="C105" s="2956" t="s">
        <v>3090</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2956" t="s">
        <v>3097</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2956" t="s">
        <v>3099</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2956" t="s">
        <v>3100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2963" t="s">
        <v>3102</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t="s">
        <v>3073</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2619</v>
      </c>
      <c r="C122" s="2956" t="s">
        <v>3078</v>
      </c>
      <c r="D122" s="2956" t="s">
        <v>3076</v>
      </c>
      <c r="E122" s="2956" t="s">
        <v>3080</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t="str">
        <f>B44</f>
        <v>交房时间</v>
      </c>
      <c r="C126" s="2958">
        <v>2021.1</v>
      </c>
      <c r="D126" s="554">
        <v>2020.12</v>
      </c>
      <c r="E126" s="554"/>
      <c r="F126" s="2958">
        <v>2022.1</v>
      </c>
      <c r="G126" s="554">
        <v>2021.9</v>
      </c>
      <c r="H126" s="555"/>
      <c r="I126" s="555"/>
      <c r="J126" s="555"/>
      <c r="K126" s="555"/>
      <c r="L126" s="556"/>
      <c r="M126" s="557"/>
      <c r="N126" s="1154"/>
      <c r="O126" s="1154"/>
      <c r="P126" s="2629"/>
      <c r="Q126" s="559"/>
    </row>
    <row r="127" spans="1:17" s="471" customFormat="1" ht="15.75" thickBot="1">
      <c r="A127" s="553"/>
      <c r="B127" s="543"/>
      <c r="C127" s="560">
        <v>100</v>
      </c>
      <c r="D127" s="536">
        <v>102</v>
      </c>
      <c r="E127" s="536"/>
      <c r="F127" s="536">
        <v>98</v>
      </c>
      <c r="G127" s="560">
        <v>100</v>
      </c>
      <c r="H127" s="562"/>
      <c r="I127" s="562"/>
      <c r="J127" s="562"/>
      <c r="K127" s="562"/>
      <c r="L127" s="562"/>
      <c r="M127" s="563"/>
      <c r="N127" s="1154"/>
      <c r="O127" s="1154"/>
      <c r="P127" s="2629"/>
      <c r="Q127" s="559"/>
    </row>
    <row r="128" spans="1:17" ht="15" thickTop="1">
      <c r="A128" s="599"/>
      <c r="B128" s="538" t="str">
        <f>B45</f>
        <v>梯户比</v>
      </c>
      <c r="C128" s="2956" t="s">
        <v>3103</v>
      </c>
      <c r="D128" s="554"/>
      <c r="E128" s="554"/>
      <c r="F128" s="554"/>
      <c r="G128" s="583"/>
      <c r="H128" s="583"/>
      <c r="I128" s="583"/>
      <c r="J128" s="583"/>
      <c r="K128" s="584"/>
      <c r="L128" s="585"/>
      <c r="M128" s="586"/>
      <c r="N128" s="1152"/>
      <c r="O128" s="1152"/>
      <c r="P128" s="2628"/>
      <c r="Q128" s="504"/>
    </row>
    <row r="129" spans="1:17" ht="15.75" thickBot="1">
      <c r="A129" s="534"/>
      <c r="B129" s="543"/>
      <c r="C129" s="2964">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31" t="s">
        <v>2647</v>
      </c>
      <c r="AC4" s="3199" t="s">
        <v>2648</v>
      </c>
    </row>
    <row r="5" spans="1:29"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31"/>
      <c r="AC5" s="3200"/>
    </row>
    <row r="6" spans="1:29" ht="15.75" thickBot="1">
      <c r="A6" s="406"/>
      <c r="B6" s="407"/>
      <c r="C6" s="3217" t="s">
        <v>2545</v>
      </c>
      <c r="D6" s="3213"/>
      <c r="E6" s="3215" t="s">
        <v>2545</v>
      </c>
      <c r="F6" s="3216"/>
      <c r="G6" s="3217" t="s">
        <v>2545</v>
      </c>
      <c r="H6" s="3213"/>
      <c r="I6" s="3217" t="s">
        <v>2545</v>
      </c>
      <c r="J6" s="3213"/>
      <c r="K6" s="610" t="s">
        <v>2546</v>
      </c>
      <c r="L6" s="1130"/>
      <c r="M6" s="1131"/>
      <c r="N6" s="1131"/>
      <c r="O6" s="1131"/>
      <c r="P6" s="3227"/>
      <c r="Q6" s="3228"/>
      <c r="R6" s="3206"/>
      <c r="S6" s="3207"/>
      <c r="T6" s="3229"/>
      <c r="U6" s="3230"/>
      <c r="V6" s="3231"/>
      <c r="W6" s="3231"/>
      <c r="X6" s="1813"/>
      <c r="Y6" s="3229"/>
      <c r="Z6" s="3230"/>
      <c r="AA6" s="3201"/>
      <c r="AB6" s="3231"/>
      <c r="AC6" s="3201"/>
    </row>
    <row r="7" spans="1:29" s="117" customFormat="1" ht="15.75"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2" t="s">
        <v>2548</v>
      </c>
      <c r="Q7" s="3232"/>
      <c r="R7" s="770" t="s">
        <v>17</v>
      </c>
      <c r="S7" s="771">
        <f t="shared" ref="S7:S15" si="0">F7</f>
        <v>0</v>
      </c>
      <c r="T7" s="770" t="s">
        <v>17</v>
      </c>
      <c r="U7" s="771">
        <f t="shared" ref="U7:U15" si="1">H7</f>
        <v>0</v>
      </c>
      <c r="V7" s="770" t="s">
        <v>17</v>
      </c>
      <c r="W7" s="771">
        <f t="shared" ref="W7:W15" si="2">J7</f>
        <v>0</v>
      </c>
      <c r="X7" s="772"/>
      <c r="Y7" s="3202" t="s">
        <v>2548</v>
      </c>
      <c r="Z7" s="320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8"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2559</v>
      </c>
      <c r="Q15" s="1810" t="str">
        <f t="shared" si="6"/>
        <v>商业繁华度</v>
      </c>
      <c r="R15" s="774" t="s">
        <v>17</v>
      </c>
      <c r="S15" s="775">
        <f t="shared" si="0"/>
        <v>100</v>
      </c>
      <c r="T15" s="774" t="s">
        <v>17</v>
      </c>
      <c r="U15" s="775">
        <f t="shared" si="1"/>
        <v>100</v>
      </c>
      <c r="V15" s="774" t="s">
        <v>17</v>
      </c>
      <c r="W15" s="775">
        <f t="shared" si="2"/>
        <v>100</v>
      </c>
      <c r="X15" s="1813"/>
      <c r="Y15" s="3238"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1811">
        <v>1</v>
      </c>
    </row>
    <row r="19" spans="1:29" ht="42.75">
      <c r="A19" s="428"/>
      <c r="B19" s="451" t="s">
        <v>2653</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1811">
        <v>1</v>
      </c>
    </row>
    <row r="21" spans="1:29" ht="15">
      <c r="A21" s="428"/>
      <c r="B21" s="1384" t="s">
        <v>2654</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46"/>
      <c r="Q22" s="1810"/>
      <c r="R22" s="774"/>
      <c r="S22" s="775"/>
      <c r="T22" s="774"/>
      <c r="U22" s="775"/>
      <c r="V22" s="774"/>
      <c r="W22" s="775"/>
      <c r="X22" s="1813"/>
      <c r="Y22" s="3239"/>
      <c r="Z22" s="1814"/>
      <c r="AA22" s="1811">
        <v>1</v>
      </c>
      <c r="AB22" s="1811">
        <v>1</v>
      </c>
      <c r="AC22" s="1811">
        <v>1</v>
      </c>
    </row>
    <row r="23" spans="1:29" ht="114">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10" t="str">
        <f>B23</f>
        <v>自然及人文环境</v>
      </c>
      <c r="R23" s="774" t="s">
        <v>17</v>
      </c>
      <c r="S23" s="775">
        <f>F23</f>
        <v>100</v>
      </c>
      <c r="T23" s="774" t="s">
        <v>17</v>
      </c>
      <c r="U23" s="775">
        <f>H23</f>
        <v>100</v>
      </c>
      <c r="V23" s="774" t="s">
        <v>17</v>
      </c>
      <c r="W23" s="775">
        <f>J23</f>
        <v>100</v>
      </c>
      <c r="X23" s="1813"/>
      <c r="Y23" s="3239"/>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10" t="str">
        <f t="shared" ref="Q25:Q46" si="11">B25</f>
        <v>临街状况</v>
      </c>
      <c r="R25" s="774" t="s">
        <v>17</v>
      </c>
      <c r="S25" s="775">
        <f>F25</f>
        <v>100</v>
      </c>
      <c r="T25" s="774" t="s">
        <v>17</v>
      </c>
      <c r="U25" s="775">
        <f>H25</f>
        <v>100</v>
      </c>
      <c r="V25" s="774" t="s">
        <v>17</v>
      </c>
      <c r="W25" s="775">
        <f>J25</f>
        <v>100</v>
      </c>
      <c r="X25" s="1813"/>
      <c r="Y25" s="3239"/>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10" t="str">
        <f t="shared" si="11"/>
        <v>平面位置/可视性</v>
      </c>
      <c r="R26" s="774" t="s">
        <v>17</v>
      </c>
      <c r="S26" s="775">
        <f>F26</f>
        <v>100</v>
      </c>
      <c r="T26" s="774" t="s">
        <v>17</v>
      </c>
      <c r="U26" s="775">
        <f>H26</f>
        <v>100</v>
      </c>
      <c r="V26" s="774" t="s">
        <v>17</v>
      </c>
      <c r="W26" s="775">
        <f>J26</f>
        <v>100</v>
      </c>
      <c r="X26" s="1813"/>
      <c r="Y26" s="3239"/>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46"/>
      <c r="Q27" s="1795" t="str">
        <f t="shared" si="11"/>
        <v>人流量</v>
      </c>
      <c r="R27" s="770" t="s">
        <v>17</v>
      </c>
      <c r="S27" s="771">
        <f>F27</f>
        <v>100</v>
      </c>
      <c r="T27" s="770" t="s">
        <v>17</v>
      </c>
      <c r="U27" s="771">
        <f>H27</f>
        <v>100</v>
      </c>
      <c r="V27" s="770" t="s">
        <v>17</v>
      </c>
      <c r="W27" s="771">
        <f>J27</f>
        <v>100</v>
      </c>
      <c r="X27" s="772"/>
      <c r="Y27" s="3239"/>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10">
        <f t="shared" si="11"/>
        <v>111</v>
      </c>
      <c r="R29" s="774" t="s">
        <v>17</v>
      </c>
      <c r="S29" s="775">
        <f t="shared" si="12"/>
        <v>100</v>
      </c>
      <c r="T29" s="774" t="s">
        <v>17</v>
      </c>
      <c r="U29" s="775">
        <f t="shared" si="13"/>
        <v>100</v>
      </c>
      <c r="V29" s="774" t="s">
        <v>17</v>
      </c>
      <c r="W29" s="775">
        <f t="shared" si="14"/>
        <v>100</v>
      </c>
      <c r="X29" s="1813"/>
      <c r="Y29" s="323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0" t="s">
        <v>2564</v>
      </c>
      <c r="Q32" s="1810" t="str">
        <f t="shared" si="11"/>
        <v>商业类型</v>
      </c>
      <c r="R32" s="774" t="s">
        <v>17</v>
      </c>
      <c r="S32" s="775">
        <f t="shared" si="12"/>
        <v>100</v>
      </c>
      <c r="T32" s="774" t="s">
        <v>17</v>
      </c>
      <c r="U32" s="775">
        <f t="shared" si="13"/>
        <v>100</v>
      </c>
      <c r="V32" s="774" t="s">
        <v>17</v>
      </c>
      <c r="W32" s="775">
        <f t="shared" si="14"/>
        <v>100</v>
      </c>
      <c r="X32" s="1813"/>
      <c r="Y32" s="3243"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41"/>
      <c r="Q34" s="1810" t="str">
        <f t="shared" si="11"/>
        <v>建筑结构</v>
      </c>
      <c r="R34" s="774" t="s">
        <v>17</v>
      </c>
      <c r="S34" s="775">
        <f t="shared" si="12"/>
        <v>100</v>
      </c>
      <c r="T34" s="774" t="s">
        <v>17</v>
      </c>
      <c r="U34" s="775">
        <f t="shared" si="13"/>
        <v>100</v>
      </c>
      <c r="V34" s="774" t="s">
        <v>17</v>
      </c>
      <c r="W34" s="775">
        <f t="shared" si="14"/>
        <v>100</v>
      </c>
      <c r="X34" s="1813"/>
      <c r="Y34" s="3243"/>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41"/>
      <c r="Q35" s="1810" t="str">
        <f t="shared" si="11"/>
        <v>公共部分装修</v>
      </c>
      <c r="R35" s="774" t="s">
        <v>17</v>
      </c>
      <c r="S35" s="775">
        <f t="shared" si="12"/>
        <v>100</v>
      </c>
      <c r="T35" s="774" t="s">
        <v>17</v>
      </c>
      <c r="U35" s="775">
        <f t="shared" si="13"/>
        <v>100</v>
      </c>
      <c r="V35" s="774" t="s">
        <v>17</v>
      </c>
      <c r="W35" s="775">
        <f t="shared" si="14"/>
        <v>100</v>
      </c>
      <c r="X35" s="1813"/>
      <c r="Y35" s="3243"/>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10" t="str">
        <f t="shared" si="11"/>
        <v>成新度</v>
      </c>
      <c r="R36" s="774" t="s">
        <v>17</v>
      </c>
      <c r="S36" s="775" t="e">
        <f t="shared" si="12"/>
        <v>#N/A</v>
      </c>
      <c r="T36" s="774" t="s">
        <v>17</v>
      </c>
      <c r="U36" s="775" t="e">
        <f t="shared" si="13"/>
        <v>#N/A</v>
      </c>
      <c r="V36" s="774" t="s">
        <v>17</v>
      </c>
      <c r="W36" s="775" t="e">
        <f t="shared" si="14"/>
        <v>#N/A</v>
      </c>
      <c r="X36" s="1813"/>
      <c r="Y36" s="3243"/>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41"/>
      <c r="Q37" s="1795"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41" t="s">
        <v>2564</v>
      </c>
      <c r="Q38" s="1810" t="str">
        <f t="shared" si="11"/>
        <v>业态</v>
      </c>
      <c r="R38" s="774" t="s">
        <v>17</v>
      </c>
      <c r="S38" s="775">
        <f t="shared" si="12"/>
        <v>100</v>
      </c>
      <c r="T38" s="774" t="s">
        <v>17</v>
      </c>
      <c r="U38" s="775">
        <f t="shared" si="13"/>
        <v>100</v>
      </c>
      <c r="V38" s="774" t="s">
        <v>17</v>
      </c>
      <c r="W38" s="775">
        <f t="shared" si="14"/>
        <v>100</v>
      </c>
      <c r="X38" s="1813"/>
      <c r="Y38" s="3243"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41"/>
      <c r="Q39" s="1810" t="str">
        <f t="shared" si="11"/>
        <v>层高</v>
      </c>
      <c r="R39" s="774" t="s">
        <v>17</v>
      </c>
      <c r="S39" s="775">
        <f t="shared" si="12"/>
        <v>100</v>
      </c>
      <c r="T39" s="774" t="s">
        <v>17</v>
      </c>
      <c r="U39" s="775">
        <f t="shared" si="13"/>
        <v>100</v>
      </c>
      <c r="V39" s="774" t="s">
        <v>17</v>
      </c>
      <c r="W39" s="775">
        <f t="shared" si="14"/>
        <v>100</v>
      </c>
      <c r="X39" s="1813"/>
      <c r="Y39" s="3243"/>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10" t="str">
        <f t="shared" si="11"/>
        <v>单套建筑面积</v>
      </c>
      <c r="R40" s="774" t="s">
        <v>17</v>
      </c>
      <c r="S40" s="775">
        <f t="shared" si="12"/>
        <v>100</v>
      </c>
      <c r="T40" s="774" t="s">
        <v>17</v>
      </c>
      <c r="U40" s="775">
        <f t="shared" si="13"/>
        <v>100</v>
      </c>
      <c r="V40" s="774" t="s">
        <v>17</v>
      </c>
      <c r="W40" s="775">
        <f t="shared" si="14"/>
        <v>100</v>
      </c>
      <c r="X40" s="1813"/>
      <c r="Y40" s="3243"/>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41"/>
      <c r="Q42" s="1810" t="str">
        <f t="shared" si="11"/>
        <v>内部装修</v>
      </c>
      <c r="R42" s="774" t="s">
        <v>17</v>
      </c>
      <c r="S42" s="775">
        <f t="shared" si="12"/>
        <v>100</v>
      </c>
      <c r="T42" s="774" t="s">
        <v>17</v>
      </c>
      <c r="U42" s="775">
        <f t="shared" si="13"/>
        <v>100</v>
      </c>
      <c r="V42" s="774" t="s">
        <v>17</v>
      </c>
      <c r="W42" s="775">
        <f t="shared" si="14"/>
        <v>100</v>
      </c>
      <c r="X42" s="1813"/>
      <c r="Y42" s="3243"/>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41"/>
      <c r="Q43" s="1810" t="str">
        <f t="shared" si="11"/>
        <v>内部装修维护情况</v>
      </c>
      <c r="R43" s="774" t="s">
        <v>17</v>
      </c>
      <c r="S43" s="775">
        <f t="shared" si="12"/>
        <v>100</v>
      </c>
      <c r="T43" s="774" t="s">
        <v>17</v>
      </c>
      <c r="U43" s="775">
        <f t="shared" si="13"/>
        <v>100</v>
      </c>
      <c r="V43" s="774" t="s">
        <v>17</v>
      </c>
      <c r="W43" s="775">
        <f t="shared" si="14"/>
        <v>100</v>
      </c>
      <c r="X43" s="1813"/>
      <c r="Y43" s="324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5">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10">
        <f t="shared" si="11"/>
        <v>111</v>
      </c>
      <c r="R45" s="774" t="s">
        <v>17</v>
      </c>
      <c r="S45" s="775">
        <f t="shared" si="12"/>
        <v>100</v>
      </c>
      <c r="T45" s="774" t="s">
        <v>17</v>
      </c>
      <c r="U45" s="775">
        <f t="shared" si="13"/>
        <v>100</v>
      </c>
      <c r="V45" s="774" t="s">
        <v>17</v>
      </c>
      <c r="W45" s="775">
        <f t="shared" si="14"/>
        <v>100</v>
      </c>
      <c r="X45" s="1813"/>
      <c r="Y45" s="3243"/>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54" t="s">
        <v>2650</v>
      </c>
      <c r="Q4" s="3255"/>
      <c r="R4" s="3249" t="s">
        <v>2646</v>
      </c>
      <c r="S4" s="3250"/>
      <c r="T4" s="3249" t="s">
        <v>2647</v>
      </c>
      <c r="U4" s="3250"/>
      <c r="V4" s="3258" t="s">
        <v>2648</v>
      </c>
      <c r="W4" s="3258"/>
      <c r="X4" s="2668"/>
      <c r="Y4" s="3249" t="s">
        <v>2650</v>
      </c>
      <c r="Z4" s="3250"/>
      <c r="AA4" s="3248" t="s">
        <v>2646</v>
      </c>
      <c r="AB4" s="3248" t="s">
        <v>2647</v>
      </c>
      <c r="AC4" s="3251" t="s">
        <v>2648</v>
      </c>
    </row>
    <row r="5" spans="1:29" ht="15">
      <c r="A5" s="404"/>
      <c r="B5" s="405"/>
      <c r="C5" s="3214" t="s">
        <v>2541</v>
      </c>
      <c r="D5" s="3211"/>
      <c r="E5" s="3247" t="s">
        <v>2542</v>
      </c>
      <c r="F5" s="3209"/>
      <c r="G5" s="3214" t="s">
        <v>2543</v>
      </c>
      <c r="H5" s="3211"/>
      <c r="I5" s="3214" t="s">
        <v>2544</v>
      </c>
      <c r="J5" s="3211"/>
      <c r="K5" s="610"/>
      <c r="L5" s="1130"/>
      <c r="M5" s="1131"/>
      <c r="N5" s="1131"/>
      <c r="O5" s="1131"/>
      <c r="P5" s="3256"/>
      <c r="Q5" s="3226"/>
      <c r="R5" s="3206"/>
      <c r="S5" s="3207"/>
      <c r="T5" s="3206"/>
      <c r="U5" s="3207"/>
      <c r="V5" s="3231"/>
      <c r="W5" s="3231"/>
      <c r="X5" s="1813"/>
      <c r="Y5" s="3206"/>
      <c r="Z5" s="3207"/>
      <c r="AA5" s="3200"/>
      <c r="AB5" s="3200"/>
      <c r="AC5" s="3252"/>
    </row>
    <row r="6" spans="1:29" ht="15.75" thickBot="1">
      <c r="A6" s="406"/>
      <c r="B6" s="407"/>
      <c r="C6" s="3217" t="s">
        <v>2545</v>
      </c>
      <c r="D6" s="3213"/>
      <c r="E6" s="3215" t="s">
        <v>2545</v>
      </c>
      <c r="F6" s="3216"/>
      <c r="G6" s="3217" t="s">
        <v>2545</v>
      </c>
      <c r="H6" s="3213"/>
      <c r="I6" s="3217" t="s">
        <v>2545</v>
      </c>
      <c r="J6" s="3213"/>
      <c r="K6" s="610" t="s">
        <v>2546</v>
      </c>
      <c r="L6" s="1130"/>
      <c r="M6" s="1131"/>
      <c r="N6" s="1131"/>
      <c r="O6" s="1131"/>
      <c r="P6" s="3257"/>
      <c r="Q6" s="3228"/>
      <c r="R6" s="3206"/>
      <c r="S6" s="3207"/>
      <c r="T6" s="3229"/>
      <c r="U6" s="3230"/>
      <c r="V6" s="3231"/>
      <c r="W6" s="3231"/>
      <c r="X6" s="1813"/>
      <c r="Y6" s="3229"/>
      <c r="Z6" s="3230"/>
      <c r="AA6" s="3201"/>
      <c r="AB6" s="3201"/>
      <c r="AC6" s="3253"/>
    </row>
    <row r="7" spans="1:29" s="117" customFormat="1" ht="15.75"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2548</v>
      </c>
      <c r="Q7" s="3232"/>
      <c r="R7" s="770" t="s">
        <v>17</v>
      </c>
      <c r="S7" s="771">
        <f t="shared" ref="S7:S15" si="0">F7</f>
        <v>0</v>
      </c>
      <c r="T7" s="770" t="s">
        <v>17</v>
      </c>
      <c r="U7" s="771">
        <f t="shared" ref="U7:U15" si="1">H7</f>
        <v>0</v>
      </c>
      <c r="V7" s="770" t="s">
        <v>17</v>
      </c>
      <c r="W7" s="771">
        <f t="shared" ref="W7:W15" si="2">J7</f>
        <v>0</v>
      </c>
      <c r="X7" s="772"/>
      <c r="Y7" s="3202" t="s">
        <v>2548</v>
      </c>
      <c r="Z7" s="3203"/>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2551</v>
      </c>
      <c r="Q8" s="3203"/>
      <c r="R8" s="770" t="s">
        <v>17</v>
      </c>
      <c r="S8" s="771">
        <f t="shared" si="0"/>
        <v>0</v>
      </c>
      <c r="T8" s="770" t="s">
        <v>17</v>
      </c>
      <c r="U8" s="771">
        <f t="shared" si="1"/>
        <v>0</v>
      </c>
      <c r="V8" s="770" t="s">
        <v>17</v>
      </c>
      <c r="W8" s="771">
        <f t="shared" si="2"/>
        <v>0</v>
      </c>
      <c r="X8" s="772"/>
      <c r="Y8" s="3202" t="s">
        <v>2551</v>
      </c>
      <c r="Z8" s="3203"/>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8"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8"/>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8"/>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8"/>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8"/>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2559</v>
      </c>
      <c r="Q15" s="1810" t="str">
        <f t="shared" si="6"/>
        <v>办公集聚程度</v>
      </c>
      <c r="R15" s="774" t="s">
        <v>17</v>
      </c>
      <c r="S15" s="775">
        <f t="shared" si="0"/>
        <v>100</v>
      </c>
      <c r="T15" s="774" t="s">
        <v>17</v>
      </c>
      <c r="U15" s="775">
        <f t="shared" si="1"/>
        <v>100</v>
      </c>
      <c r="V15" s="774" t="s">
        <v>17</v>
      </c>
      <c r="W15" s="775">
        <f t="shared" si="2"/>
        <v>100</v>
      </c>
      <c r="X15" s="1813"/>
      <c r="Y15" s="3238"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46"/>
      <c r="Q16" s="1810"/>
      <c r="R16" s="774"/>
      <c r="S16" s="775"/>
      <c r="T16" s="774"/>
      <c r="U16" s="775"/>
      <c r="V16" s="774"/>
      <c r="W16" s="775"/>
      <c r="X16" s="1813"/>
      <c r="Y16" s="3239"/>
      <c r="Z16" s="1814"/>
      <c r="AA16" s="1811">
        <v>1</v>
      </c>
      <c r="AB16" s="1811">
        <v>1</v>
      </c>
      <c r="AC16" s="2672">
        <v>1</v>
      </c>
    </row>
    <row r="17" spans="1:29" ht="114">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46"/>
      <c r="Q18" s="1810"/>
      <c r="R18" s="774"/>
      <c r="S18" s="775"/>
      <c r="T18" s="774"/>
      <c r="U18" s="775"/>
      <c r="V18" s="774"/>
      <c r="W18" s="775"/>
      <c r="X18" s="1813"/>
      <c r="Y18" s="3239"/>
      <c r="Z18" s="1814"/>
      <c r="AA18" s="1811">
        <v>1</v>
      </c>
      <c r="AB18" s="1811">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46"/>
      <c r="Q20" s="1810"/>
      <c r="R20" s="774"/>
      <c r="S20" s="775"/>
      <c r="T20" s="774"/>
      <c r="U20" s="775"/>
      <c r="V20" s="774"/>
      <c r="W20" s="775"/>
      <c r="X20" s="1813"/>
      <c r="Y20" s="3239"/>
      <c r="Z20" s="1814"/>
      <c r="AA20" s="1811">
        <v>1</v>
      </c>
      <c r="AB20" s="1811">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46"/>
      <c r="Q22" s="1810"/>
      <c r="R22" s="774"/>
      <c r="S22" s="775"/>
      <c r="T22" s="774"/>
      <c r="U22" s="775"/>
      <c r="V22" s="774"/>
      <c r="W22" s="775"/>
      <c r="X22" s="1813"/>
      <c r="Y22" s="3239"/>
      <c r="Z22" s="1814"/>
      <c r="AA22" s="1811">
        <v>1</v>
      </c>
      <c r="AB22" s="1811">
        <v>1</v>
      </c>
      <c r="AC22" s="2672">
        <v>1</v>
      </c>
    </row>
    <row r="23" spans="1:29" ht="99.75">
      <c r="A23" s="428"/>
      <c r="B23" s="631" t="s">
        <v>2689</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46"/>
      <c r="Q24" s="1810"/>
      <c r="R24" s="774"/>
      <c r="S24" s="775"/>
      <c r="T24" s="774"/>
      <c r="U24" s="775"/>
      <c r="V24" s="774"/>
      <c r="W24" s="775"/>
      <c r="X24" s="1813"/>
      <c r="Y24" s="3239"/>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46"/>
      <c r="Q25" s="1810" t="str">
        <f>B25</f>
        <v>毗邻道路的类型与等级</v>
      </c>
      <c r="R25" s="774" t="s">
        <v>17</v>
      </c>
      <c r="S25" s="775">
        <f>F25</f>
        <v>100</v>
      </c>
      <c r="T25" s="774" t="s">
        <v>17</v>
      </c>
      <c r="U25" s="775">
        <f>H25</f>
        <v>100</v>
      </c>
      <c r="V25" s="774" t="s">
        <v>17</v>
      </c>
      <c r="W25" s="775">
        <f>J25</f>
        <v>100</v>
      </c>
      <c r="X25" s="1813"/>
      <c r="Y25" s="3239"/>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46"/>
      <c r="Q26" s="1810"/>
      <c r="R26" s="774"/>
      <c r="S26" s="775"/>
      <c r="T26" s="774"/>
      <c r="U26" s="775"/>
      <c r="V26" s="774"/>
      <c r="W26" s="775"/>
      <c r="X26" s="1813"/>
      <c r="Y26" s="3239"/>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10" t="str">
        <f t="shared" ref="Q27:Q47" si="11">B27</f>
        <v>楼层</v>
      </c>
      <c r="R27" s="774" t="s">
        <v>17</v>
      </c>
      <c r="S27" s="775">
        <f>F27</f>
        <v>100</v>
      </c>
      <c r="T27" s="774" t="s">
        <v>17</v>
      </c>
      <c r="U27" s="775">
        <f>H27</f>
        <v>100</v>
      </c>
      <c r="V27" s="774" t="s">
        <v>17</v>
      </c>
      <c r="W27" s="775">
        <f>J27</f>
        <v>100</v>
      </c>
      <c r="X27" s="1813"/>
      <c r="Y27" s="3239"/>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46"/>
      <c r="Q28" s="1795" t="str">
        <f t="shared" si="11"/>
        <v>朝向</v>
      </c>
      <c r="R28" s="770" t="s">
        <v>17</v>
      </c>
      <c r="S28" s="771">
        <f>F28</f>
        <v>100</v>
      </c>
      <c r="T28" s="770" t="s">
        <v>17</v>
      </c>
      <c r="U28" s="771">
        <f>H28</f>
        <v>100</v>
      </c>
      <c r="V28" s="770" t="s">
        <v>17</v>
      </c>
      <c r="W28" s="771">
        <f>J28</f>
        <v>100</v>
      </c>
      <c r="X28" s="772"/>
      <c r="Y28" s="3239"/>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46"/>
      <c r="Q29" s="1810">
        <f t="shared" si="11"/>
        <v>111</v>
      </c>
      <c r="R29" s="774" t="s">
        <v>17</v>
      </c>
      <c r="S29" s="775">
        <f t="shared" ref="S29:S47" si="12">F29</f>
        <v>100</v>
      </c>
      <c r="T29" s="774" t="s">
        <v>17</v>
      </c>
      <c r="U29" s="775">
        <f t="shared" ref="U29:U47" si="13">H29</f>
        <v>100</v>
      </c>
      <c r="V29" s="774" t="s">
        <v>17</v>
      </c>
      <c r="W29" s="775">
        <f t="shared" ref="W29:W47" si="14">J29</f>
        <v>100</v>
      </c>
      <c r="X29" s="1813"/>
      <c r="Y29" s="3239"/>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46"/>
      <c r="Q30" s="1810">
        <f t="shared" si="11"/>
        <v>111</v>
      </c>
      <c r="R30" s="774" t="s">
        <v>17</v>
      </c>
      <c r="S30" s="775">
        <f t="shared" si="12"/>
        <v>100</v>
      </c>
      <c r="T30" s="774" t="s">
        <v>17</v>
      </c>
      <c r="U30" s="775">
        <f t="shared" si="13"/>
        <v>100</v>
      </c>
      <c r="V30" s="774" t="s">
        <v>17</v>
      </c>
      <c r="W30" s="775">
        <f t="shared" si="14"/>
        <v>100</v>
      </c>
      <c r="X30" s="1813"/>
      <c r="Y30" s="3239"/>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46"/>
      <c r="Q31" s="1810">
        <f t="shared" si="11"/>
        <v>111</v>
      </c>
      <c r="R31" s="774" t="s">
        <v>17</v>
      </c>
      <c r="S31" s="775">
        <f t="shared" si="12"/>
        <v>100</v>
      </c>
      <c r="T31" s="774" t="s">
        <v>17</v>
      </c>
      <c r="U31" s="775">
        <f t="shared" si="13"/>
        <v>100</v>
      </c>
      <c r="V31" s="774" t="s">
        <v>17</v>
      </c>
      <c r="W31" s="775">
        <f t="shared" si="14"/>
        <v>100</v>
      </c>
      <c r="X31" s="1813"/>
      <c r="Y31" s="3239"/>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46"/>
      <c r="Q32" s="1810">
        <f t="shared" si="11"/>
        <v>111</v>
      </c>
      <c r="R32" s="774" t="s">
        <v>17</v>
      </c>
      <c r="S32" s="775">
        <f t="shared" si="12"/>
        <v>100</v>
      </c>
      <c r="T32" s="774" t="s">
        <v>17</v>
      </c>
      <c r="U32" s="775">
        <f t="shared" si="13"/>
        <v>100</v>
      </c>
      <c r="V32" s="774" t="s">
        <v>17</v>
      </c>
      <c r="W32" s="775">
        <f t="shared" si="14"/>
        <v>100</v>
      </c>
      <c r="X32" s="1813"/>
      <c r="Y32" s="3239"/>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0" t="s">
        <v>2564</v>
      </c>
      <c r="Q33" s="1810" t="str">
        <f t="shared" si="11"/>
        <v>建筑类型</v>
      </c>
      <c r="R33" s="774" t="s">
        <v>17</v>
      </c>
      <c r="S33" s="775">
        <f t="shared" si="12"/>
        <v>100</v>
      </c>
      <c r="T33" s="774" t="s">
        <v>17</v>
      </c>
      <c r="U33" s="775">
        <f t="shared" si="13"/>
        <v>100</v>
      </c>
      <c r="V33" s="774" t="s">
        <v>17</v>
      </c>
      <c r="W33" s="775">
        <f t="shared" si="14"/>
        <v>100</v>
      </c>
      <c r="X33" s="1813"/>
      <c r="Y33" s="3243"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10" t="str">
        <f t="shared" si="11"/>
        <v>建筑结构</v>
      </c>
      <c r="R35" s="774" t="s">
        <v>17</v>
      </c>
      <c r="S35" s="775">
        <f t="shared" si="12"/>
        <v>100</v>
      </c>
      <c r="T35" s="774" t="s">
        <v>17</v>
      </c>
      <c r="U35" s="775">
        <f t="shared" si="13"/>
        <v>100</v>
      </c>
      <c r="V35" s="774" t="s">
        <v>17</v>
      </c>
      <c r="W35" s="775">
        <f t="shared" si="14"/>
        <v>100</v>
      </c>
      <c r="X35" s="1813"/>
      <c r="Y35" s="3243"/>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10" t="str">
        <f t="shared" si="11"/>
        <v>公共部分装修</v>
      </c>
      <c r="R36" s="774" t="s">
        <v>17</v>
      </c>
      <c r="S36" s="775">
        <f t="shared" si="12"/>
        <v>100</v>
      </c>
      <c r="T36" s="774" t="s">
        <v>17</v>
      </c>
      <c r="U36" s="775">
        <f t="shared" si="13"/>
        <v>100</v>
      </c>
      <c r="V36" s="774" t="s">
        <v>17</v>
      </c>
      <c r="W36" s="775">
        <f t="shared" si="14"/>
        <v>100</v>
      </c>
      <c r="X36" s="1813"/>
      <c r="Y36" s="3243"/>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10" t="str">
        <f t="shared" si="11"/>
        <v>成新度</v>
      </c>
      <c r="R37" s="774" t="s">
        <v>17</v>
      </c>
      <c r="S37" s="775" t="e">
        <f t="shared" si="12"/>
        <v>#N/A</v>
      </c>
      <c r="T37" s="774" t="s">
        <v>17</v>
      </c>
      <c r="U37" s="775" t="e">
        <f t="shared" si="13"/>
        <v>#N/A</v>
      </c>
      <c r="V37" s="774" t="s">
        <v>17</v>
      </c>
      <c r="W37" s="775" t="e">
        <f t="shared" si="14"/>
        <v>#N/A</v>
      </c>
      <c r="X37" s="1813"/>
      <c r="Y37" s="3243"/>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5"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2564</v>
      </c>
      <c r="Q39" s="1810" t="str">
        <f t="shared" si="11"/>
        <v>物业管理</v>
      </c>
      <c r="R39" s="774" t="s">
        <v>17</v>
      </c>
      <c r="S39" s="775">
        <f t="shared" si="12"/>
        <v>100</v>
      </c>
      <c r="T39" s="774" t="s">
        <v>17</v>
      </c>
      <c r="U39" s="775">
        <f t="shared" si="13"/>
        <v>100</v>
      </c>
      <c r="V39" s="774" t="s">
        <v>17</v>
      </c>
      <c r="W39" s="775">
        <f t="shared" si="14"/>
        <v>100</v>
      </c>
      <c r="X39" s="1813"/>
      <c r="Y39" s="3243"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10" t="str">
        <f t="shared" si="11"/>
        <v>市政基础设施</v>
      </c>
      <c r="R40" s="774" t="s">
        <v>17</v>
      </c>
      <c r="S40" s="775">
        <f t="shared" si="12"/>
        <v>100</v>
      </c>
      <c r="T40" s="774" t="s">
        <v>17</v>
      </c>
      <c r="U40" s="775">
        <f t="shared" si="13"/>
        <v>100</v>
      </c>
      <c r="V40" s="774" t="s">
        <v>17</v>
      </c>
      <c r="W40" s="775">
        <f t="shared" si="14"/>
        <v>100</v>
      </c>
      <c r="X40" s="1813"/>
      <c r="Y40" s="3243"/>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10" t="str">
        <f t="shared" si="11"/>
        <v>层高</v>
      </c>
      <c r="R41" s="774" t="s">
        <v>17</v>
      </c>
      <c r="S41" s="775">
        <f t="shared" si="12"/>
        <v>100</v>
      </c>
      <c r="T41" s="774" t="s">
        <v>17</v>
      </c>
      <c r="U41" s="775">
        <f t="shared" si="13"/>
        <v>100</v>
      </c>
      <c r="V41" s="774" t="s">
        <v>17</v>
      </c>
      <c r="W41" s="775">
        <f t="shared" si="14"/>
        <v>100</v>
      </c>
      <c r="X41" s="1813"/>
      <c r="Y41" s="3243"/>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10" t="str">
        <f t="shared" si="11"/>
        <v>内部装修</v>
      </c>
      <c r="R43" s="774" t="s">
        <v>17</v>
      </c>
      <c r="S43" s="775">
        <f t="shared" si="12"/>
        <v>100</v>
      </c>
      <c r="T43" s="774" t="s">
        <v>17</v>
      </c>
      <c r="U43" s="775">
        <f t="shared" si="13"/>
        <v>100</v>
      </c>
      <c r="V43" s="774" t="s">
        <v>17</v>
      </c>
      <c r="W43" s="775">
        <f t="shared" si="14"/>
        <v>100</v>
      </c>
      <c r="X43" s="1813"/>
      <c r="Y43" s="3243"/>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41"/>
      <c r="Q44" s="1810" t="str">
        <f t="shared" si="11"/>
        <v>内部装修维护情况</v>
      </c>
      <c r="R44" s="774" t="s">
        <v>17</v>
      </c>
      <c r="S44" s="775">
        <f t="shared" si="12"/>
        <v>100</v>
      </c>
      <c r="T44" s="774" t="s">
        <v>17</v>
      </c>
      <c r="U44" s="775">
        <f t="shared" si="13"/>
        <v>100</v>
      </c>
      <c r="V44" s="774" t="s">
        <v>17</v>
      </c>
      <c r="W44" s="775">
        <f t="shared" si="14"/>
        <v>100</v>
      </c>
      <c r="X44" s="1813"/>
      <c r="Y44" s="3243"/>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5">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10">
        <f t="shared" si="11"/>
        <v>111</v>
      </c>
      <c r="R47" s="774" t="s">
        <v>17</v>
      </c>
      <c r="S47" s="775">
        <f t="shared" si="12"/>
        <v>100</v>
      </c>
      <c r="T47" s="774" t="s">
        <v>17</v>
      </c>
      <c r="U47" s="775">
        <f t="shared" si="13"/>
        <v>100</v>
      </c>
      <c r="V47" s="774" t="s">
        <v>17</v>
      </c>
      <c r="W47" s="775">
        <f t="shared" si="14"/>
        <v>100</v>
      </c>
      <c r="X47" s="1813"/>
      <c r="Y47" s="3244"/>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00" t="s">
        <v>2647</v>
      </c>
      <c r="AC4" s="3199" t="s">
        <v>2648</v>
      </c>
    </row>
    <row r="5" spans="1:29"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00"/>
      <c r="AC5" s="3200"/>
    </row>
    <row r="6" spans="1:29" ht="15.75" thickBot="1">
      <c r="A6" s="406"/>
      <c r="B6" s="407"/>
      <c r="C6" s="3217" t="s">
        <v>2545</v>
      </c>
      <c r="D6" s="3213"/>
      <c r="E6" s="3215" t="s">
        <v>2545</v>
      </c>
      <c r="F6" s="3216"/>
      <c r="G6" s="3217" t="s">
        <v>2545</v>
      </c>
      <c r="H6" s="3213"/>
      <c r="I6" s="3217" t="s">
        <v>2545</v>
      </c>
      <c r="J6" s="3213"/>
      <c r="K6" s="610" t="s">
        <v>2546</v>
      </c>
      <c r="L6" s="1130"/>
      <c r="M6" s="1131"/>
      <c r="N6" s="1131"/>
      <c r="O6" s="1131"/>
      <c r="P6" s="3227"/>
      <c r="Q6" s="3228"/>
      <c r="R6" s="3206"/>
      <c r="S6" s="3207"/>
      <c r="T6" s="3229"/>
      <c r="U6" s="3230"/>
      <c r="V6" s="3231"/>
      <c r="W6" s="3231"/>
      <c r="X6" s="1813"/>
      <c r="Y6" s="3229"/>
      <c r="Z6" s="3230"/>
      <c r="AA6" s="3201"/>
      <c r="AB6" s="3201"/>
      <c r="AC6" s="3201"/>
    </row>
    <row r="7" spans="1:29" s="117" customFormat="1" ht="15.75"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2" t="s">
        <v>2548</v>
      </c>
      <c r="Q7" s="3232"/>
      <c r="R7" s="770" t="s">
        <v>17</v>
      </c>
      <c r="S7" s="771">
        <f t="shared" ref="S7:S15" si="0">F7</f>
        <v>0</v>
      </c>
      <c r="T7" s="770" t="s">
        <v>17</v>
      </c>
      <c r="U7" s="771">
        <f t="shared" ref="U7:U15" si="1">H7</f>
        <v>0</v>
      </c>
      <c r="V7" s="770" t="s">
        <v>17</v>
      </c>
      <c r="W7" s="771">
        <f t="shared" ref="W7:W15" si="2">J7</f>
        <v>0</v>
      </c>
      <c r="X7" s="772"/>
      <c r="Y7" s="3202" t="s">
        <v>2548</v>
      </c>
      <c r="Z7" s="320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6"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8" t="s">
        <v>2559</v>
      </c>
      <c r="Q15" s="1810" t="str">
        <f t="shared" si="6"/>
        <v>产业集聚程度</v>
      </c>
      <c r="R15" s="774" t="s">
        <v>17</v>
      </c>
      <c r="S15" s="775">
        <f t="shared" si="0"/>
        <v>100</v>
      </c>
      <c r="T15" s="774" t="s">
        <v>17</v>
      </c>
      <c r="U15" s="775">
        <f t="shared" si="1"/>
        <v>100</v>
      </c>
      <c r="V15" s="774" t="s">
        <v>17</v>
      </c>
      <c r="W15" s="775">
        <f t="shared" si="2"/>
        <v>100</v>
      </c>
      <c r="X15" s="1813"/>
      <c r="Y15" s="3238"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9"/>
      <c r="Q16" s="1810"/>
      <c r="R16" s="774"/>
      <c r="S16" s="775"/>
      <c r="T16" s="774"/>
      <c r="U16" s="775"/>
      <c r="V16" s="774"/>
      <c r="W16" s="775"/>
      <c r="X16" s="1813"/>
      <c r="Y16" s="3239"/>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39"/>
      <c r="Q18" s="1810"/>
      <c r="R18" s="774"/>
      <c r="S18" s="775"/>
      <c r="T18" s="774"/>
      <c r="U18" s="775"/>
      <c r="V18" s="774"/>
      <c r="W18" s="775"/>
      <c r="X18" s="1813"/>
      <c r="Y18" s="3239"/>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9"/>
      <c r="Q19" s="1810" t="str">
        <f>B19</f>
        <v>公共配套设施</v>
      </c>
      <c r="R19" s="774" t="s">
        <v>17</v>
      </c>
      <c r="S19" s="775">
        <f>F19</f>
        <v>100</v>
      </c>
      <c r="T19" s="774" t="s">
        <v>17</v>
      </c>
      <c r="U19" s="775">
        <f>H19</f>
        <v>100</v>
      </c>
      <c r="V19" s="774" t="s">
        <v>17</v>
      </c>
      <c r="W19" s="775">
        <f>J19</f>
        <v>100</v>
      </c>
      <c r="X19" s="1813"/>
      <c r="Y19" s="3239"/>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39"/>
      <c r="Q20" s="1810"/>
      <c r="R20" s="774"/>
      <c r="S20" s="775"/>
      <c r="T20" s="774"/>
      <c r="U20" s="775"/>
      <c r="V20" s="774"/>
      <c r="W20" s="775"/>
      <c r="X20" s="1813"/>
      <c r="Y20" s="3239"/>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9"/>
      <c r="Q21" s="1810" t="str">
        <f>B21</f>
        <v>基础设施水平</v>
      </c>
      <c r="R21" s="774" t="s">
        <v>17</v>
      </c>
      <c r="S21" s="775">
        <f>F21</f>
        <v>100</v>
      </c>
      <c r="T21" s="774" t="s">
        <v>17</v>
      </c>
      <c r="U21" s="775">
        <f>H21</f>
        <v>100</v>
      </c>
      <c r="V21" s="774" t="s">
        <v>17</v>
      </c>
      <c r="W21" s="775">
        <f>J21</f>
        <v>100</v>
      </c>
      <c r="X21" s="1813"/>
      <c r="Y21" s="3239"/>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39"/>
      <c r="Q22" s="1810"/>
      <c r="R22" s="774"/>
      <c r="S22" s="775"/>
      <c r="T22" s="774"/>
      <c r="U22" s="775"/>
      <c r="V22" s="774"/>
      <c r="W22" s="775"/>
      <c r="X22" s="1813"/>
      <c r="Y22" s="3239"/>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9"/>
      <c r="Q23" s="1810" t="str">
        <f>B23</f>
        <v>环境质量</v>
      </c>
      <c r="R23" s="774" t="s">
        <v>17</v>
      </c>
      <c r="S23" s="775">
        <f>F23</f>
        <v>100</v>
      </c>
      <c r="T23" s="774" t="s">
        <v>17</v>
      </c>
      <c r="U23" s="775">
        <f>H23</f>
        <v>100</v>
      </c>
      <c r="V23" s="774" t="s">
        <v>17</v>
      </c>
      <c r="W23" s="775">
        <f>J23</f>
        <v>100</v>
      </c>
      <c r="X23" s="1813"/>
      <c r="Y23" s="3239"/>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39"/>
      <c r="Q24" s="1810"/>
      <c r="R24" s="774"/>
      <c r="S24" s="775"/>
      <c r="T24" s="774"/>
      <c r="U24" s="775"/>
      <c r="V24" s="774"/>
      <c r="W24" s="775"/>
      <c r="X24" s="1813"/>
      <c r="Y24" s="323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9"/>
      <c r="Q25" s="1810">
        <f>B25</f>
        <v>111</v>
      </c>
      <c r="R25" s="774" t="s">
        <v>17</v>
      </c>
      <c r="S25" s="775">
        <f>F25</f>
        <v>100</v>
      </c>
      <c r="T25" s="774" t="s">
        <v>17</v>
      </c>
      <c r="U25" s="775">
        <f>H25</f>
        <v>100</v>
      </c>
      <c r="V25" s="774" t="s">
        <v>17</v>
      </c>
      <c r="W25" s="775">
        <f>J25</f>
        <v>100</v>
      </c>
      <c r="X25" s="1813"/>
      <c r="Y25" s="323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9"/>
      <c r="Q26" s="1810">
        <f t="shared" ref="Q26:Q40" si="11">B26</f>
        <v>111</v>
      </c>
      <c r="R26" s="774" t="s">
        <v>17</v>
      </c>
      <c r="S26" s="775">
        <f>F26</f>
        <v>100</v>
      </c>
      <c r="T26" s="774" t="s">
        <v>17</v>
      </c>
      <c r="U26" s="775">
        <f>H26</f>
        <v>100</v>
      </c>
      <c r="V26" s="774" t="s">
        <v>17</v>
      </c>
      <c r="W26" s="775">
        <f>J26</f>
        <v>100</v>
      </c>
      <c r="X26" s="1813"/>
      <c r="Y26" s="323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9"/>
      <c r="Q27" s="1795">
        <f t="shared" si="11"/>
        <v>111</v>
      </c>
      <c r="R27" s="770" t="s">
        <v>17</v>
      </c>
      <c r="S27" s="771">
        <f>F27</f>
        <v>100</v>
      </c>
      <c r="T27" s="770" t="s">
        <v>17</v>
      </c>
      <c r="U27" s="771">
        <f>H27</f>
        <v>100</v>
      </c>
      <c r="V27" s="770" t="s">
        <v>17</v>
      </c>
      <c r="W27" s="771">
        <f>J27</f>
        <v>100</v>
      </c>
      <c r="X27" s="772"/>
      <c r="Y27" s="323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9"/>
      <c r="Q28" s="1810">
        <f t="shared" si="11"/>
        <v>111</v>
      </c>
      <c r="R28" s="774" t="s">
        <v>17</v>
      </c>
      <c r="S28" s="775">
        <f t="shared" ref="S28:S40" si="12">F28</f>
        <v>100</v>
      </c>
      <c r="T28" s="774" t="s">
        <v>17</v>
      </c>
      <c r="U28" s="775">
        <f t="shared" ref="U28:U40" si="13">H28</f>
        <v>100</v>
      </c>
      <c r="V28" s="774" t="s">
        <v>17</v>
      </c>
      <c r="W28" s="775">
        <f t="shared" ref="W28:W40" si="14">J28</f>
        <v>100</v>
      </c>
      <c r="X28" s="1813"/>
      <c r="Y28" s="3239"/>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3" t="s">
        <v>2564</v>
      </c>
      <c r="Q29" s="1810" t="str">
        <f t="shared" si="11"/>
        <v>建筑类型</v>
      </c>
      <c r="R29" s="774" t="s">
        <v>17</v>
      </c>
      <c r="S29" s="775">
        <f t="shared" si="12"/>
        <v>100</v>
      </c>
      <c r="T29" s="774" t="s">
        <v>17</v>
      </c>
      <c r="U29" s="775">
        <f t="shared" si="13"/>
        <v>100</v>
      </c>
      <c r="V29" s="774" t="s">
        <v>17</v>
      </c>
      <c r="W29" s="775">
        <f t="shared" si="14"/>
        <v>100</v>
      </c>
      <c r="X29" s="1813"/>
      <c r="Y29" s="3243"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3"/>
      <c r="Q31" s="1810" t="str">
        <f t="shared" si="11"/>
        <v>建筑结构</v>
      </c>
      <c r="R31" s="774" t="s">
        <v>17</v>
      </c>
      <c r="S31" s="775">
        <f t="shared" si="12"/>
        <v>100</v>
      </c>
      <c r="T31" s="774" t="s">
        <v>17</v>
      </c>
      <c r="U31" s="775">
        <f t="shared" si="13"/>
        <v>100</v>
      </c>
      <c r="V31" s="774" t="s">
        <v>17</v>
      </c>
      <c r="W31" s="775">
        <f t="shared" si="14"/>
        <v>100</v>
      </c>
      <c r="X31" s="1813"/>
      <c r="Y31" s="3243"/>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3"/>
      <c r="Q32" s="1810" t="str">
        <f t="shared" si="11"/>
        <v>公共部分装修</v>
      </c>
      <c r="R32" s="774" t="s">
        <v>17</v>
      </c>
      <c r="S32" s="775">
        <f t="shared" si="12"/>
        <v>100</v>
      </c>
      <c r="T32" s="774" t="s">
        <v>17</v>
      </c>
      <c r="U32" s="775">
        <f t="shared" si="13"/>
        <v>100</v>
      </c>
      <c r="V32" s="774" t="s">
        <v>17</v>
      </c>
      <c r="W32" s="775">
        <f t="shared" si="14"/>
        <v>100</v>
      </c>
      <c r="X32" s="1813"/>
      <c r="Y32" s="3243"/>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3"/>
      <c r="Q33" s="1810" t="str">
        <f t="shared" si="11"/>
        <v>成新度</v>
      </c>
      <c r="R33" s="774" t="s">
        <v>17</v>
      </c>
      <c r="S33" s="775" t="e">
        <f t="shared" si="12"/>
        <v>#N/A</v>
      </c>
      <c r="T33" s="774" t="s">
        <v>17</v>
      </c>
      <c r="U33" s="775" t="e">
        <f t="shared" si="13"/>
        <v>#N/A</v>
      </c>
      <c r="V33" s="774" t="s">
        <v>17</v>
      </c>
      <c r="W33" s="775" t="e">
        <f t="shared" si="14"/>
        <v>#N/A</v>
      </c>
      <c r="X33" s="1813"/>
      <c r="Y33" s="3243"/>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3"/>
      <c r="Q34" s="1795"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3" t="s">
        <v>2564</v>
      </c>
      <c r="Q35" s="1810" t="str">
        <f t="shared" si="11"/>
        <v>市政基础设施</v>
      </c>
      <c r="R35" s="774" t="s">
        <v>17</v>
      </c>
      <c r="S35" s="775">
        <f t="shared" si="12"/>
        <v>100</v>
      </c>
      <c r="T35" s="774" t="s">
        <v>17</v>
      </c>
      <c r="U35" s="775">
        <f t="shared" si="13"/>
        <v>100</v>
      </c>
      <c r="V35" s="774" t="s">
        <v>17</v>
      </c>
      <c r="W35" s="775">
        <f t="shared" si="14"/>
        <v>100</v>
      </c>
      <c r="X35" s="1813"/>
      <c r="Y35" s="3243"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3"/>
      <c r="Q36" s="1810" t="str">
        <f t="shared" si="11"/>
        <v>内部装修</v>
      </c>
      <c r="R36" s="774" t="s">
        <v>17</v>
      </c>
      <c r="S36" s="775">
        <f t="shared" si="12"/>
        <v>100</v>
      </c>
      <c r="T36" s="774" t="s">
        <v>17</v>
      </c>
      <c r="U36" s="775">
        <f t="shared" si="13"/>
        <v>100</v>
      </c>
      <c r="V36" s="774" t="s">
        <v>17</v>
      </c>
      <c r="W36" s="775">
        <f t="shared" si="14"/>
        <v>100</v>
      </c>
      <c r="X36" s="1813"/>
      <c r="Y36" s="3243"/>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3"/>
      <c r="Q37" s="1810" t="str">
        <f t="shared" si="11"/>
        <v>内部装修状况</v>
      </c>
      <c r="R37" s="774" t="s">
        <v>17</v>
      </c>
      <c r="S37" s="775">
        <f t="shared" si="12"/>
        <v>100</v>
      </c>
      <c r="T37" s="774" t="s">
        <v>17</v>
      </c>
      <c r="U37" s="775">
        <f t="shared" si="13"/>
        <v>100</v>
      </c>
      <c r="V37" s="774" t="s">
        <v>17</v>
      </c>
      <c r="W37" s="775">
        <f t="shared" si="14"/>
        <v>100</v>
      </c>
      <c r="X37" s="1813"/>
      <c r="Y37" s="324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3"/>
      <c r="Q39" s="1810">
        <f t="shared" si="11"/>
        <v>111</v>
      </c>
      <c r="R39" s="774" t="s">
        <v>17</v>
      </c>
      <c r="S39" s="775">
        <f t="shared" si="12"/>
        <v>100</v>
      </c>
      <c r="T39" s="774" t="s">
        <v>17</v>
      </c>
      <c r="U39" s="775">
        <f t="shared" si="13"/>
        <v>100</v>
      </c>
      <c r="V39" s="774" t="s">
        <v>17</v>
      </c>
      <c r="W39" s="775">
        <f t="shared" si="14"/>
        <v>100</v>
      </c>
      <c r="X39" s="1813"/>
      <c r="Y39" s="3243"/>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10">
        <f t="shared" si="11"/>
        <v>111</v>
      </c>
      <c r="R40" s="774" t="s">
        <v>17</v>
      </c>
      <c r="S40" s="775">
        <f t="shared" si="12"/>
        <v>100</v>
      </c>
      <c r="T40" s="774" t="s">
        <v>17</v>
      </c>
      <c r="U40" s="775">
        <f t="shared" si="13"/>
        <v>100</v>
      </c>
      <c r="V40" s="774" t="s">
        <v>17</v>
      </c>
      <c r="W40" s="775">
        <f t="shared" si="14"/>
        <v>100</v>
      </c>
      <c r="X40" s="1813"/>
      <c r="Y40" s="3244"/>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3" t="str">
        <f>A43</f>
        <v>估价对象XX用房的比较价值（楼面单价，元/平方米）</v>
      </c>
      <c r="Q43" s="3234"/>
      <c r="R43" s="3235" t="e">
        <f>IF(F1="售价",ROUND(AVERAGE(R42:V42),0),ROUND(AVERAGE(R42:V42),1))</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北京博大新元房地产开发有限公司：</v>
      </c>
    </row>
    <row r="4" spans="1:1" ht="36">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2020年1月17日（评估专业人员实地查勘之日）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00" t="s">
        <v>2647</v>
      </c>
      <c r="AC4" s="3199" t="s">
        <v>2648</v>
      </c>
    </row>
    <row r="5" spans="1:29"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00"/>
      <c r="AC5" s="3200"/>
    </row>
    <row r="6" spans="1:29" ht="15.75" thickBot="1">
      <c r="A6" s="406"/>
      <c r="B6" s="407"/>
      <c r="C6" s="3217" t="s">
        <v>2545</v>
      </c>
      <c r="D6" s="3213"/>
      <c r="E6" s="3215" t="s">
        <v>2545</v>
      </c>
      <c r="F6" s="3216"/>
      <c r="G6" s="3217" t="s">
        <v>2545</v>
      </c>
      <c r="H6" s="3213"/>
      <c r="I6" s="3217" t="s">
        <v>2545</v>
      </c>
      <c r="J6" s="3213"/>
      <c r="K6" s="610" t="s">
        <v>2546</v>
      </c>
      <c r="L6" s="1130"/>
      <c r="M6" s="1131"/>
      <c r="N6" s="1131"/>
      <c r="O6" s="1131"/>
      <c r="P6" s="3227"/>
      <c r="Q6" s="3228"/>
      <c r="R6" s="3206"/>
      <c r="S6" s="3207"/>
      <c r="T6" s="3229"/>
      <c r="U6" s="3230"/>
      <c r="V6" s="3231"/>
      <c r="W6" s="3231"/>
      <c r="X6" s="1813"/>
      <c r="Y6" s="3229"/>
      <c r="Z6" s="3230"/>
      <c r="AA6" s="3201"/>
      <c r="AB6" s="3201"/>
      <c r="AC6" s="3201"/>
    </row>
    <row r="7" spans="1:29" s="117" customFormat="1" ht="15.75"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2" t="s">
        <v>2548</v>
      </c>
      <c r="Q7" s="3232"/>
      <c r="R7" s="770" t="s">
        <v>17</v>
      </c>
      <c r="S7" s="771">
        <f t="shared" ref="S7:S14" si="0">F7</f>
        <v>0</v>
      </c>
      <c r="T7" s="770" t="s">
        <v>17</v>
      </c>
      <c r="U7" s="771">
        <f t="shared" ref="U7:U14" si="1">H7</f>
        <v>0</v>
      </c>
      <c r="V7" s="770" t="s">
        <v>17</v>
      </c>
      <c r="W7" s="771">
        <f t="shared" ref="W7:W14" si="2">J7</f>
        <v>0</v>
      </c>
      <c r="X7" s="772"/>
      <c r="Y7" s="3202" t="s">
        <v>2548</v>
      </c>
      <c r="Z7" s="320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6" t="s">
        <v>2554</v>
      </c>
      <c r="Q9" s="1795" t="str">
        <f t="shared" ref="Q9:Q14" si="6">B9</f>
        <v>用途</v>
      </c>
      <c r="R9" s="770" t="s">
        <v>17</v>
      </c>
      <c r="S9" s="771">
        <f t="shared" si="0"/>
        <v>100</v>
      </c>
      <c r="T9" s="770" t="s">
        <v>17</v>
      </c>
      <c r="U9" s="771">
        <f t="shared" si="1"/>
        <v>100</v>
      </c>
      <c r="V9" s="770" t="s">
        <v>17</v>
      </c>
      <c r="W9" s="771">
        <f t="shared" si="2"/>
        <v>100</v>
      </c>
      <c r="X9" s="772"/>
      <c r="Y9" s="304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6"/>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6"/>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6"/>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6"/>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28.25">
      <c r="A14" s="401" t="s">
        <v>2558</v>
      </c>
      <c r="B14" s="62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8" t="s">
        <v>2559</v>
      </c>
      <c r="Q14" s="1810" t="str">
        <f t="shared" si="6"/>
        <v>交通便捷度</v>
      </c>
      <c r="R14" s="774" t="s">
        <v>17</v>
      </c>
      <c r="S14" s="775">
        <f t="shared" si="0"/>
        <v>100</v>
      </c>
      <c r="T14" s="774" t="s">
        <v>17</v>
      </c>
      <c r="U14" s="775">
        <f t="shared" si="1"/>
        <v>100</v>
      </c>
      <c r="V14" s="774" t="s">
        <v>17</v>
      </c>
      <c r="W14" s="775">
        <f t="shared" si="2"/>
        <v>100</v>
      </c>
      <c r="X14" s="1813"/>
      <c r="Y14" s="3238"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9"/>
      <c r="Q15" s="1810"/>
      <c r="R15" s="774"/>
      <c r="S15" s="775"/>
      <c r="T15" s="774"/>
      <c r="U15" s="775"/>
      <c r="V15" s="774"/>
      <c r="W15" s="775"/>
      <c r="X15" s="1813"/>
      <c r="Y15" s="3239"/>
      <c r="Z15" s="1814"/>
      <c r="AA15" s="1811">
        <v>1</v>
      </c>
      <c r="AB15" s="1811">
        <v>1</v>
      </c>
      <c r="AC15" s="1811">
        <v>1</v>
      </c>
    </row>
    <row r="16" spans="1:29" ht="42.75">
      <c r="A16" s="404"/>
      <c r="B16" s="631" t="s">
        <v>2687</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39"/>
      <c r="Q17" s="1810"/>
      <c r="R17" s="774"/>
      <c r="S17" s="775"/>
      <c r="T17" s="774"/>
      <c r="U17" s="775"/>
      <c r="V17" s="774"/>
      <c r="W17" s="775"/>
      <c r="X17" s="1813"/>
      <c r="Y17" s="3239"/>
      <c r="Z17" s="1814"/>
      <c r="AA17" s="1811">
        <v>1</v>
      </c>
      <c r="AB17" s="1811">
        <v>1</v>
      </c>
      <c r="AC17" s="1811">
        <v>1</v>
      </c>
    </row>
    <row r="18" spans="1:29" ht="15">
      <c r="A18" s="404"/>
      <c r="B18" s="633" t="s">
        <v>2688</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39"/>
      <c r="Q19" s="1810"/>
      <c r="R19" s="774"/>
      <c r="S19" s="775"/>
      <c r="T19" s="774"/>
      <c r="U19" s="775"/>
      <c r="V19" s="774"/>
      <c r="W19" s="775"/>
      <c r="X19" s="1813"/>
      <c r="Y19" s="3239"/>
      <c r="Z19" s="1814"/>
      <c r="AA19" s="1811">
        <v>1</v>
      </c>
      <c r="AB19" s="1811">
        <v>1</v>
      </c>
      <c r="AC19" s="1811">
        <v>1</v>
      </c>
    </row>
    <row r="20" spans="1:29" ht="114">
      <c r="A20" s="404"/>
      <c r="B20" s="63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9"/>
      <c r="Q21" s="1810"/>
      <c r="R21" s="774"/>
      <c r="S21" s="775"/>
      <c r="T21" s="774"/>
      <c r="U21" s="775"/>
      <c r="V21" s="774"/>
      <c r="W21" s="775"/>
      <c r="X21" s="1813"/>
      <c r="Y21" s="3239"/>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9"/>
      <c r="Q24" s="1810">
        <f t="shared" ref="Q24:Q36"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3"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3"/>
      <c r="Q28" s="1810" t="str">
        <f t="shared" si="11"/>
        <v>公共部分装修</v>
      </c>
      <c r="R28" s="774" t="s">
        <v>17</v>
      </c>
      <c r="S28" s="775">
        <f t="shared" si="12"/>
        <v>100</v>
      </c>
      <c r="T28" s="774" t="s">
        <v>17</v>
      </c>
      <c r="U28" s="775">
        <f t="shared" si="13"/>
        <v>100</v>
      </c>
      <c r="V28" s="774" t="s">
        <v>17</v>
      </c>
      <c r="W28" s="775">
        <f t="shared" si="14"/>
        <v>100</v>
      </c>
      <c r="X28" s="1813"/>
      <c r="Y28" s="3243"/>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3"/>
      <c r="Q29" s="1810" t="str">
        <f t="shared" si="11"/>
        <v>成新率</v>
      </c>
      <c r="R29" s="774" t="s">
        <v>17</v>
      </c>
      <c r="S29" s="775" t="e">
        <f t="shared" si="12"/>
        <v>#N/A</v>
      </c>
      <c r="T29" s="774" t="s">
        <v>17</v>
      </c>
      <c r="U29" s="775" t="e">
        <f t="shared" si="13"/>
        <v>#N/A</v>
      </c>
      <c r="V29" s="774" t="s">
        <v>17</v>
      </c>
      <c r="W29" s="775" t="e">
        <f t="shared" si="14"/>
        <v>#N/A</v>
      </c>
      <c r="X29" s="1813"/>
      <c r="Y29" s="3243"/>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3"/>
      <c r="Q30" s="1810" t="str">
        <f t="shared" si="11"/>
        <v>物业等级</v>
      </c>
      <c r="R30" s="774" t="s">
        <v>17</v>
      </c>
      <c r="S30" s="775">
        <f t="shared" si="12"/>
        <v>100</v>
      </c>
      <c r="T30" s="774" t="s">
        <v>17</v>
      </c>
      <c r="U30" s="775">
        <f t="shared" si="13"/>
        <v>100</v>
      </c>
      <c r="V30" s="774" t="s">
        <v>17</v>
      </c>
      <c r="W30" s="775">
        <f t="shared" si="14"/>
        <v>100</v>
      </c>
      <c r="X30" s="1813"/>
      <c r="Y30" s="3243"/>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3"/>
      <c r="Q31" s="1795"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3" t="s">
        <v>2564</v>
      </c>
      <c r="Q32" s="1810" t="str">
        <f t="shared" si="11"/>
        <v>车位类型</v>
      </c>
      <c r="R32" s="774" t="s">
        <v>17</v>
      </c>
      <c r="S32" s="775">
        <f t="shared" si="12"/>
        <v>100</v>
      </c>
      <c r="T32" s="774" t="s">
        <v>17</v>
      </c>
      <c r="U32" s="775">
        <f t="shared" si="13"/>
        <v>100</v>
      </c>
      <c r="V32" s="774" t="s">
        <v>17</v>
      </c>
      <c r="W32" s="775">
        <f t="shared" si="14"/>
        <v>100</v>
      </c>
      <c r="X32" s="1813"/>
      <c r="Y32" s="3243"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3"/>
      <c r="Q33" s="1810" t="str">
        <f t="shared" si="11"/>
        <v>是否直接入户</v>
      </c>
      <c r="R33" s="774" t="s">
        <v>17</v>
      </c>
      <c r="S33" s="775">
        <f t="shared" si="12"/>
        <v>100</v>
      </c>
      <c r="T33" s="774" t="s">
        <v>17</v>
      </c>
      <c r="U33" s="775">
        <f t="shared" si="13"/>
        <v>100</v>
      </c>
      <c r="V33" s="774" t="s">
        <v>17</v>
      </c>
      <c r="W33" s="775">
        <f t="shared" si="14"/>
        <v>100</v>
      </c>
      <c r="X33" s="1813"/>
      <c r="Y33" s="324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3"/>
      <c r="Q36" s="1810">
        <f t="shared" si="11"/>
        <v>111</v>
      </c>
      <c r="R36" s="774" t="s">
        <v>17</v>
      </c>
      <c r="S36" s="775">
        <f t="shared" si="12"/>
        <v>100</v>
      </c>
      <c r="T36" s="774" t="s">
        <v>17</v>
      </c>
      <c r="U36" s="775">
        <f t="shared" si="13"/>
        <v>100</v>
      </c>
      <c r="V36" s="774" t="s">
        <v>17</v>
      </c>
      <c r="W36" s="775">
        <f t="shared" si="14"/>
        <v>100</v>
      </c>
      <c r="X36" s="1813"/>
      <c r="Y36" s="3243"/>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00" t="s">
        <v>2647</v>
      </c>
      <c r="AC4" s="3199" t="s">
        <v>2648</v>
      </c>
    </row>
    <row r="5" spans="1:29"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00"/>
      <c r="AC5" s="3200"/>
    </row>
    <row r="6" spans="1:29" ht="15.75" thickBot="1">
      <c r="A6" s="406"/>
      <c r="B6" s="407"/>
      <c r="C6" s="3217" t="s">
        <v>2545</v>
      </c>
      <c r="D6" s="3213"/>
      <c r="E6" s="3215" t="s">
        <v>2545</v>
      </c>
      <c r="F6" s="3216"/>
      <c r="G6" s="3217" t="s">
        <v>2545</v>
      </c>
      <c r="H6" s="3213"/>
      <c r="I6" s="3217" t="s">
        <v>2545</v>
      </c>
      <c r="J6" s="3213"/>
      <c r="K6" s="610" t="s">
        <v>2546</v>
      </c>
      <c r="L6" s="1130"/>
      <c r="M6" s="1131"/>
      <c r="N6" s="1131"/>
      <c r="O6" s="1131"/>
      <c r="P6" s="3227"/>
      <c r="Q6" s="3228"/>
      <c r="R6" s="3206"/>
      <c r="S6" s="3207"/>
      <c r="T6" s="3229"/>
      <c r="U6" s="3230"/>
      <c r="V6" s="3231"/>
      <c r="W6" s="3231"/>
      <c r="X6" s="1813"/>
      <c r="Y6" s="3229"/>
      <c r="Z6" s="3230"/>
      <c r="AA6" s="3201"/>
      <c r="AB6" s="3201"/>
      <c r="AC6" s="3201"/>
    </row>
    <row r="7" spans="1:29" s="117" customFormat="1" ht="15.75"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2" t="s">
        <v>2548</v>
      </c>
      <c r="Q7" s="3232"/>
      <c r="R7" s="770" t="s">
        <v>17</v>
      </c>
      <c r="S7" s="771">
        <f t="shared" ref="S7:S14" si="0">F7</f>
        <v>0</v>
      </c>
      <c r="T7" s="770" t="s">
        <v>17</v>
      </c>
      <c r="U7" s="771">
        <f t="shared" ref="U7:U14" si="1">H7</f>
        <v>0</v>
      </c>
      <c r="V7" s="770" t="s">
        <v>17</v>
      </c>
      <c r="W7" s="771">
        <f t="shared" ref="W7:W14" si="2">J7</f>
        <v>0</v>
      </c>
      <c r="X7" s="772"/>
      <c r="Y7" s="3202" t="s">
        <v>2548</v>
      </c>
      <c r="Z7" s="320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6" t="s">
        <v>2554</v>
      </c>
      <c r="Q9" s="1795" t="str">
        <f t="shared" ref="Q9:Q14" si="6">B9</f>
        <v>用途</v>
      </c>
      <c r="R9" s="770" t="s">
        <v>17</v>
      </c>
      <c r="S9" s="771">
        <f t="shared" si="0"/>
        <v>100</v>
      </c>
      <c r="T9" s="770" t="s">
        <v>17</v>
      </c>
      <c r="U9" s="771">
        <f t="shared" si="1"/>
        <v>100</v>
      </c>
      <c r="V9" s="770" t="s">
        <v>17</v>
      </c>
      <c r="W9" s="771">
        <f t="shared" si="2"/>
        <v>100</v>
      </c>
      <c r="X9" s="772"/>
      <c r="Y9" s="304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6"/>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6"/>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28.25">
      <c r="A14" s="440" t="s">
        <v>2558</v>
      </c>
      <c r="B14" s="6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8" t="s">
        <v>2559</v>
      </c>
      <c r="Q14" s="1810" t="str">
        <f t="shared" si="6"/>
        <v>交通便捷度</v>
      </c>
      <c r="R14" s="774" t="s">
        <v>17</v>
      </c>
      <c r="S14" s="775">
        <f t="shared" si="0"/>
        <v>100</v>
      </c>
      <c r="T14" s="774" t="s">
        <v>17</v>
      </c>
      <c r="U14" s="775">
        <f t="shared" si="1"/>
        <v>100</v>
      </c>
      <c r="V14" s="774" t="s">
        <v>17</v>
      </c>
      <c r="W14" s="775">
        <f t="shared" si="2"/>
        <v>100</v>
      </c>
      <c r="X14" s="1813"/>
      <c r="Y14" s="3238"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9"/>
      <c r="Q15" s="1810"/>
      <c r="R15" s="774"/>
      <c r="S15" s="775"/>
      <c r="T15" s="774"/>
      <c r="U15" s="775"/>
      <c r="V15" s="774"/>
      <c r="W15" s="775"/>
      <c r="X15" s="1813"/>
      <c r="Y15" s="3239"/>
      <c r="Z15" s="1814"/>
      <c r="AA15" s="1811">
        <v>1</v>
      </c>
      <c r="AB15" s="1811">
        <v>1</v>
      </c>
      <c r="AC15" s="1811">
        <v>1</v>
      </c>
    </row>
    <row r="16" spans="1:29" ht="42.75">
      <c r="A16" s="428"/>
      <c r="B16" s="451" t="s">
        <v>2687</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9"/>
      <c r="Q16" s="1810" t="str">
        <f>B16</f>
        <v>公共配套设施</v>
      </c>
      <c r="R16" s="774" t="s">
        <v>17</v>
      </c>
      <c r="S16" s="775">
        <f>F16</f>
        <v>100</v>
      </c>
      <c r="T16" s="774" t="s">
        <v>17</v>
      </c>
      <c r="U16" s="775">
        <f>H16</f>
        <v>100</v>
      </c>
      <c r="V16" s="774" t="s">
        <v>17</v>
      </c>
      <c r="W16" s="775">
        <f>J16</f>
        <v>100</v>
      </c>
      <c r="X16" s="1813"/>
      <c r="Y16" s="3239"/>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39"/>
      <c r="Q17" s="1810"/>
      <c r="R17" s="774"/>
      <c r="S17" s="775"/>
      <c r="T17" s="774"/>
      <c r="U17" s="775"/>
      <c r="V17" s="774"/>
      <c r="W17" s="775"/>
      <c r="X17" s="1813"/>
      <c r="Y17" s="3239"/>
      <c r="Z17" s="1814"/>
      <c r="AA17" s="1811">
        <v>1</v>
      </c>
      <c r="AB17" s="1811">
        <v>1</v>
      </c>
      <c r="AC17" s="1811">
        <v>1</v>
      </c>
    </row>
    <row r="18" spans="1:29" ht="15">
      <c r="A18" s="428"/>
      <c r="B18" s="1384" t="s">
        <v>2688</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9"/>
      <c r="Q18" s="1810" t="str">
        <f>B18</f>
        <v>基础设施水平</v>
      </c>
      <c r="R18" s="774" t="s">
        <v>17</v>
      </c>
      <c r="S18" s="775">
        <f>F18</f>
        <v>100</v>
      </c>
      <c r="T18" s="774" t="s">
        <v>17</v>
      </c>
      <c r="U18" s="775">
        <f>H18</f>
        <v>100</v>
      </c>
      <c r="V18" s="774" t="s">
        <v>17</v>
      </c>
      <c r="W18" s="775">
        <f>J18</f>
        <v>100</v>
      </c>
      <c r="X18" s="1813"/>
      <c r="Y18" s="3239"/>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39"/>
      <c r="Q19" s="1810"/>
      <c r="R19" s="774"/>
      <c r="S19" s="775"/>
      <c r="T19" s="774"/>
      <c r="U19" s="775"/>
      <c r="V19" s="774"/>
      <c r="W19" s="775"/>
      <c r="X19" s="1813"/>
      <c r="Y19" s="3239"/>
      <c r="Z19" s="1814"/>
      <c r="AA19" s="1811">
        <v>1</v>
      </c>
      <c r="AB19" s="1811">
        <v>1</v>
      </c>
      <c r="AC19" s="1811">
        <v>1</v>
      </c>
    </row>
    <row r="20" spans="1:29" ht="114">
      <c r="A20" s="428"/>
      <c r="B20" s="45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9"/>
      <c r="Q20" s="1810" t="str">
        <f>B20</f>
        <v>自然及人文环境</v>
      </c>
      <c r="R20" s="774" t="s">
        <v>17</v>
      </c>
      <c r="S20" s="775">
        <f>F20</f>
        <v>100</v>
      </c>
      <c r="T20" s="774" t="s">
        <v>17</v>
      </c>
      <c r="U20" s="775">
        <f>H20</f>
        <v>100</v>
      </c>
      <c r="V20" s="774" t="s">
        <v>17</v>
      </c>
      <c r="W20" s="775">
        <f>J20</f>
        <v>100</v>
      </c>
      <c r="X20" s="1813"/>
      <c r="Y20" s="323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9"/>
      <c r="Q21" s="1810"/>
      <c r="R21" s="774"/>
      <c r="S21" s="775"/>
      <c r="T21" s="774"/>
      <c r="U21" s="775"/>
      <c r="V21" s="774"/>
      <c r="W21" s="775"/>
      <c r="X21" s="1813"/>
      <c r="Y21" s="3239"/>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9"/>
      <c r="Q22" s="1810" t="str">
        <f>B22</f>
        <v>楼层</v>
      </c>
      <c r="R22" s="774" t="s">
        <v>17</v>
      </c>
      <c r="S22" s="775">
        <f>F22</f>
        <v>100</v>
      </c>
      <c r="T22" s="774" t="s">
        <v>17</v>
      </c>
      <c r="U22" s="775">
        <f>H22</f>
        <v>100</v>
      </c>
      <c r="V22" s="774" t="s">
        <v>17</v>
      </c>
      <c r="W22" s="775">
        <f>J22</f>
        <v>100</v>
      </c>
      <c r="X22" s="1813"/>
      <c r="Y22" s="3239"/>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9"/>
      <c r="Q23" s="1810">
        <f>B23</f>
        <v>111</v>
      </c>
      <c r="R23" s="774" t="s">
        <v>17</v>
      </c>
      <c r="S23" s="775">
        <f>F23</f>
        <v>100</v>
      </c>
      <c r="T23" s="774" t="s">
        <v>17</v>
      </c>
      <c r="U23" s="775">
        <f>H23</f>
        <v>100</v>
      </c>
      <c r="V23" s="774" t="s">
        <v>17</v>
      </c>
      <c r="W23" s="775">
        <f>J23</f>
        <v>100</v>
      </c>
      <c r="X23" s="1813"/>
      <c r="Y23" s="3239"/>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9"/>
      <c r="Q24" s="1810">
        <f t="shared" ref="Q24:Q34" si="11">B24</f>
        <v>111</v>
      </c>
      <c r="R24" s="774" t="s">
        <v>17</v>
      </c>
      <c r="S24" s="775">
        <f>F24</f>
        <v>100</v>
      </c>
      <c r="T24" s="774" t="s">
        <v>17</v>
      </c>
      <c r="U24" s="775">
        <f>H24</f>
        <v>100</v>
      </c>
      <c r="V24" s="774" t="s">
        <v>17</v>
      </c>
      <c r="W24" s="775">
        <f>J24</f>
        <v>100</v>
      </c>
      <c r="X24" s="1813"/>
      <c r="Y24" s="3239"/>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39"/>
      <c r="Q25" s="1795">
        <f t="shared" si="11"/>
        <v>111</v>
      </c>
      <c r="R25" s="770" t="s">
        <v>17</v>
      </c>
      <c r="S25" s="771">
        <f>F25</f>
        <v>100</v>
      </c>
      <c r="T25" s="770" t="s">
        <v>17</v>
      </c>
      <c r="U25" s="771">
        <f>H25</f>
        <v>100</v>
      </c>
      <c r="V25" s="770" t="s">
        <v>17</v>
      </c>
      <c r="W25" s="771">
        <f>J25</f>
        <v>100</v>
      </c>
      <c r="X25" s="772"/>
      <c r="Y25" s="3239"/>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3"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3"/>
      <c r="Q28" s="1810" t="str">
        <f t="shared" si="11"/>
        <v>物业等级</v>
      </c>
      <c r="R28" s="774" t="s">
        <v>17</v>
      </c>
      <c r="S28" s="775">
        <f t="shared" si="12"/>
        <v>100</v>
      </c>
      <c r="T28" s="774" t="s">
        <v>17</v>
      </c>
      <c r="U28" s="775">
        <f t="shared" si="13"/>
        <v>100</v>
      </c>
      <c r="V28" s="774" t="s">
        <v>17</v>
      </c>
      <c r="W28" s="775">
        <f t="shared" si="14"/>
        <v>100</v>
      </c>
      <c r="X28" s="1813"/>
      <c r="Y28" s="3243"/>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3"/>
      <c r="Q29" s="1810" t="str">
        <f t="shared" si="11"/>
        <v>有无电梯</v>
      </c>
      <c r="R29" s="774" t="s">
        <v>17</v>
      </c>
      <c r="S29" s="775">
        <f t="shared" si="12"/>
        <v>100</v>
      </c>
      <c r="T29" s="774" t="s">
        <v>17</v>
      </c>
      <c r="U29" s="775">
        <f t="shared" si="13"/>
        <v>100</v>
      </c>
      <c r="V29" s="774" t="s">
        <v>17</v>
      </c>
      <c r="W29" s="775">
        <f t="shared" si="14"/>
        <v>100</v>
      </c>
      <c r="X29" s="1813"/>
      <c r="Y29" s="3243"/>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3"/>
      <c r="Q30" s="1810" t="str">
        <f t="shared" si="11"/>
        <v>建筑面积</v>
      </c>
      <c r="R30" s="774" t="s">
        <v>17</v>
      </c>
      <c r="S30" s="775" t="e">
        <f t="shared" si="12"/>
        <v>#N/A</v>
      </c>
      <c r="T30" s="774" t="s">
        <v>17</v>
      </c>
      <c r="U30" s="775" t="e">
        <f t="shared" si="13"/>
        <v>#N/A</v>
      </c>
      <c r="V30" s="774" t="s">
        <v>17</v>
      </c>
      <c r="W30" s="775" t="e">
        <f t="shared" si="14"/>
        <v>#N/A</v>
      </c>
      <c r="X30" s="1813"/>
      <c r="Y30" s="3243"/>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3"/>
      <c r="Q31" s="1795"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3" t="s">
        <v>2564</v>
      </c>
      <c r="Q32" s="1810">
        <f t="shared" si="11"/>
        <v>111</v>
      </c>
      <c r="R32" s="774" t="s">
        <v>17</v>
      </c>
      <c r="S32" s="775">
        <f t="shared" si="12"/>
        <v>100</v>
      </c>
      <c r="T32" s="774" t="s">
        <v>17</v>
      </c>
      <c r="U32" s="775">
        <f t="shared" si="13"/>
        <v>100</v>
      </c>
      <c r="V32" s="774" t="s">
        <v>17</v>
      </c>
      <c r="W32" s="775">
        <f t="shared" si="14"/>
        <v>100</v>
      </c>
      <c r="X32" s="1813"/>
      <c r="Y32" s="3243"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3"/>
      <c r="Q33" s="1810">
        <f t="shared" si="11"/>
        <v>111</v>
      </c>
      <c r="R33" s="774" t="s">
        <v>17</v>
      </c>
      <c r="S33" s="775">
        <f t="shared" si="12"/>
        <v>100</v>
      </c>
      <c r="T33" s="774" t="s">
        <v>17</v>
      </c>
      <c r="U33" s="775">
        <f t="shared" si="13"/>
        <v>100</v>
      </c>
      <c r="V33" s="774" t="s">
        <v>17</v>
      </c>
      <c r="W33" s="775">
        <f t="shared" si="14"/>
        <v>100</v>
      </c>
      <c r="X33" s="1813"/>
      <c r="Y33" s="3243"/>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3"/>
      <c r="Q34" s="1810">
        <f t="shared" si="11"/>
        <v>111</v>
      </c>
      <c r="R34" s="774" t="s">
        <v>17</v>
      </c>
      <c r="S34" s="775">
        <f t="shared" si="12"/>
        <v>100</v>
      </c>
      <c r="T34" s="774" t="s">
        <v>17</v>
      </c>
      <c r="U34" s="775">
        <f t="shared" si="13"/>
        <v>100</v>
      </c>
      <c r="V34" s="774" t="s">
        <v>17</v>
      </c>
      <c r="W34" s="775">
        <f t="shared" si="14"/>
        <v>100</v>
      </c>
      <c r="X34" s="1813"/>
      <c r="Y34" s="3243"/>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00" t="s">
        <v>2647</v>
      </c>
      <c r="AC4" s="3199" t="s">
        <v>2648</v>
      </c>
    </row>
    <row r="5" spans="1:30"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00"/>
      <c r="AC5" s="3200"/>
    </row>
    <row r="6" spans="1:30" ht="15.75" thickBot="1">
      <c r="A6" s="406"/>
      <c r="B6" s="407"/>
      <c r="C6" s="3217" t="s">
        <v>2545</v>
      </c>
      <c r="D6" s="3213"/>
      <c r="E6" s="3215" t="s">
        <v>2545</v>
      </c>
      <c r="F6" s="3216"/>
      <c r="G6" s="3217" t="s">
        <v>2545</v>
      </c>
      <c r="H6" s="3213"/>
      <c r="I6" s="3217" t="s">
        <v>2545</v>
      </c>
      <c r="J6" s="3213"/>
      <c r="K6" s="610" t="s">
        <v>2546</v>
      </c>
      <c r="L6" s="1130"/>
      <c r="M6" s="1131"/>
      <c r="N6" s="1131"/>
      <c r="O6" s="1131"/>
      <c r="P6" s="3227"/>
      <c r="Q6" s="3228"/>
      <c r="R6" s="3206"/>
      <c r="S6" s="3207"/>
      <c r="T6" s="3229"/>
      <c r="U6" s="3230"/>
      <c r="V6" s="3231"/>
      <c r="W6" s="3231"/>
      <c r="X6" s="1813"/>
      <c r="Y6" s="3229"/>
      <c r="Z6" s="3230"/>
      <c r="AA6" s="3201"/>
      <c r="AB6" s="3201"/>
      <c r="AC6" s="3201"/>
    </row>
    <row r="7" spans="1:30" s="117" customFormat="1" ht="15.75"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2" t="s">
        <v>2548</v>
      </c>
      <c r="Q7" s="3232"/>
      <c r="R7" s="770" t="s">
        <v>17</v>
      </c>
      <c r="S7" s="771">
        <f t="shared" ref="S7:S15" si="0">F7</f>
        <v>0</v>
      </c>
      <c r="T7" s="770" t="s">
        <v>17</v>
      </c>
      <c r="U7" s="771">
        <f t="shared" ref="U7:U15" si="1">H7</f>
        <v>0</v>
      </c>
      <c r="V7" s="770" t="s">
        <v>17</v>
      </c>
      <c r="W7" s="771">
        <f t="shared" ref="W7:W15" si="2">J7</f>
        <v>0</v>
      </c>
      <c r="X7" s="772"/>
      <c r="Y7" s="3202" t="s">
        <v>2548</v>
      </c>
      <c r="Z7" s="320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36"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36"/>
      <c r="Q10" s="1795" t="str">
        <f t="shared" si="6"/>
        <v>土地使用年限（年）</v>
      </c>
      <c r="R10" s="770" t="s">
        <v>17</v>
      </c>
      <c r="S10" s="771" t="e">
        <f t="shared" si="0"/>
        <v>#DIV/0!</v>
      </c>
      <c r="T10" s="770" t="s">
        <v>17</v>
      </c>
      <c r="U10" s="771" t="e">
        <f t="shared" si="1"/>
        <v>#DIV/0!</v>
      </c>
      <c r="V10" s="770" t="s">
        <v>17</v>
      </c>
      <c r="W10" s="771" t="e">
        <f t="shared" si="2"/>
        <v>#DIV/0!</v>
      </c>
      <c r="X10" s="772"/>
      <c r="Y10" s="3044"/>
      <c r="Z10" s="55" t="str">
        <f t="shared" si="7"/>
        <v>土地使用年限（年）</v>
      </c>
      <c r="AA10" s="773" t="e">
        <f t="shared" si="3"/>
        <v>#DIV/0!</v>
      </c>
      <c r="AB10" s="773" t="e">
        <f t="shared" si="4"/>
        <v>#DIV/0!</v>
      </c>
      <c r="AC10" s="773"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6"/>
      <c r="Q12" s="1795"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99.5">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8" t="s">
        <v>2559</v>
      </c>
      <c r="Q15" s="1810" t="str">
        <f t="shared" si="6"/>
        <v>居住社区成熟度</v>
      </c>
      <c r="R15" s="774" t="s">
        <v>17</v>
      </c>
      <c r="S15" s="775">
        <f t="shared" si="0"/>
        <v>100</v>
      </c>
      <c r="T15" s="774" t="s">
        <v>17</v>
      </c>
      <c r="U15" s="775">
        <f t="shared" si="1"/>
        <v>100</v>
      </c>
      <c r="V15" s="774" t="s">
        <v>17</v>
      </c>
      <c r="W15" s="775">
        <f t="shared" si="2"/>
        <v>100</v>
      </c>
      <c r="X15" s="1813"/>
      <c r="Y15" s="3238"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9"/>
      <c r="Q17" s="1810" t="str">
        <f>B17</f>
        <v>商业繁华度</v>
      </c>
      <c r="R17" s="774" t="s">
        <v>17</v>
      </c>
      <c r="S17" s="775">
        <f>F17</f>
        <v>100</v>
      </c>
      <c r="T17" s="774" t="s">
        <v>17</v>
      </c>
      <c r="U17" s="775">
        <f>H17</f>
        <v>100</v>
      </c>
      <c r="V17" s="774" t="s">
        <v>17</v>
      </c>
      <c r="W17" s="775">
        <f>J17</f>
        <v>100</v>
      </c>
      <c r="X17" s="1813"/>
      <c r="Y17" s="3239"/>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9"/>
      <c r="Q19" s="1810" t="str">
        <f>B19</f>
        <v>办公集聚程度</v>
      </c>
      <c r="R19" s="774" t="s">
        <v>17</v>
      </c>
      <c r="S19" s="775">
        <f>F19</f>
        <v>100</v>
      </c>
      <c r="T19" s="774" t="s">
        <v>17</v>
      </c>
      <c r="U19" s="775">
        <f>H19</f>
        <v>100</v>
      </c>
      <c r="V19" s="774" t="s">
        <v>17</v>
      </c>
      <c r="W19" s="775">
        <f>J19</f>
        <v>100</v>
      </c>
      <c r="X19" s="1813"/>
      <c r="Y19" s="3239"/>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39"/>
      <c r="Q20" s="1810"/>
      <c r="R20" s="774"/>
      <c r="S20" s="775"/>
      <c r="T20" s="774"/>
      <c r="U20" s="775"/>
      <c r="V20" s="774"/>
      <c r="W20" s="775"/>
      <c r="X20" s="1813"/>
      <c r="Y20" s="3239"/>
      <c r="Z20" s="1814"/>
      <c r="AA20" s="1811">
        <v>1</v>
      </c>
      <c r="AB20" s="1811">
        <v>1</v>
      </c>
      <c r="AC20" s="1811">
        <v>1</v>
      </c>
    </row>
    <row r="21" spans="1:29" ht="128.25">
      <c r="A21" s="428"/>
      <c r="B21" s="451" t="s">
        <v>2708</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9"/>
      <c r="Q21" s="1810" t="str">
        <f>B21</f>
        <v>交通便捷度</v>
      </c>
      <c r="R21" s="774" t="s">
        <v>17</v>
      </c>
      <c r="S21" s="775">
        <f>F21</f>
        <v>100</v>
      </c>
      <c r="T21" s="774" t="s">
        <v>17</v>
      </c>
      <c r="U21" s="775">
        <f>H21</f>
        <v>100</v>
      </c>
      <c r="V21" s="774" t="s">
        <v>17</v>
      </c>
      <c r="W21" s="775">
        <f>J21</f>
        <v>100</v>
      </c>
      <c r="X21" s="1813"/>
      <c r="Y21" s="3239"/>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9"/>
      <c r="Q23" s="1810" t="str">
        <f t="shared" ref="Q23:Q37" si="8">B23</f>
        <v>区域土地利用方向</v>
      </c>
      <c r="R23" s="774" t="s">
        <v>17</v>
      </c>
      <c r="S23" s="775">
        <f>F23</f>
        <v>100</v>
      </c>
      <c r="T23" s="774" t="s">
        <v>17</v>
      </c>
      <c r="U23" s="775">
        <f>H23</f>
        <v>100</v>
      </c>
      <c r="V23" s="774" t="s">
        <v>17</v>
      </c>
      <c r="W23" s="775">
        <f>J23</f>
        <v>100</v>
      </c>
      <c r="X23" s="1813"/>
      <c r="Y23" s="3239"/>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39"/>
      <c r="Q24" s="1810"/>
      <c r="R24" s="774"/>
      <c r="S24" s="775"/>
      <c r="T24" s="774"/>
      <c r="U24" s="775"/>
      <c r="V24" s="774"/>
      <c r="W24" s="775"/>
      <c r="X24" s="1813"/>
      <c r="Y24" s="3239"/>
      <c r="Z24" s="1814"/>
      <c r="AA24" s="1811"/>
      <c r="AB24" s="1811"/>
      <c r="AC24" s="1811"/>
    </row>
    <row r="25" spans="1:29" ht="114">
      <c r="A25" s="404"/>
      <c r="B25" s="1384" t="s">
        <v>2748</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9"/>
      <c r="Q25" s="1810" t="str">
        <f t="shared" si="8"/>
        <v>自然及人文环境状况</v>
      </c>
      <c r="R25" s="774" t="s">
        <v>17</v>
      </c>
      <c r="S25" s="775">
        <f>F25</f>
        <v>100</v>
      </c>
      <c r="T25" s="774" t="s">
        <v>17</v>
      </c>
      <c r="U25" s="775">
        <f>H25</f>
        <v>100</v>
      </c>
      <c r="V25" s="774" t="s">
        <v>17</v>
      </c>
      <c r="W25" s="775">
        <f>J25</f>
        <v>100</v>
      </c>
      <c r="X25" s="1813"/>
      <c r="Y25" s="3239"/>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39"/>
      <c r="Q26" s="1810"/>
      <c r="R26" s="774"/>
      <c r="S26" s="775"/>
      <c r="T26" s="774"/>
      <c r="U26" s="775"/>
      <c r="V26" s="774"/>
      <c r="W26" s="775"/>
      <c r="X26" s="1813"/>
      <c r="Y26" s="3239"/>
      <c r="Z26" s="1814"/>
      <c r="AA26" s="1811">
        <v>1</v>
      </c>
      <c r="AB26" s="1811">
        <v>1</v>
      </c>
      <c r="AC26" s="1811">
        <v>1</v>
      </c>
    </row>
    <row r="27" spans="1:29" s="117" customFormat="1" ht="42.75">
      <c r="A27" s="649"/>
      <c r="B27" s="1384" t="s">
        <v>2653</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9"/>
      <c r="Q27" s="1795" t="str">
        <f t="shared" si="8"/>
        <v>公共配套设施</v>
      </c>
      <c r="R27" s="770" t="s">
        <v>17</v>
      </c>
      <c r="S27" s="771">
        <f>F27</f>
        <v>100</v>
      </c>
      <c r="T27" s="770" t="s">
        <v>17</v>
      </c>
      <c r="U27" s="771">
        <f>H27</f>
        <v>100</v>
      </c>
      <c r="V27" s="770" t="s">
        <v>17</v>
      </c>
      <c r="W27" s="771">
        <f>J27</f>
        <v>100</v>
      </c>
      <c r="X27" s="772"/>
      <c r="Y27" s="3239"/>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39"/>
      <c r="Q28" s="1795"/>
      <c r="R28" s="770"/>
      <c r="S28" s="771"/>
      <c r="T28" s="770"/>
      <c r="U28" s="771"/>
      <c r="V28" s="770"/>
      <c r="W28" s="771"/>
      <c r="X28" s="772"/>
      <c r="Y28" s="3239"/>
      <c r="Z28" s="55"/>
      <c r="AA28" s="1811">
        <v>1</v>
      </c>
      <c r="AB28" s="1811">
        <v>1</v>
      </c>
      <c r="AC28" s="1811">
        <v>1</v>
      </c>
    </row>
    <row r="29" spans="1:29" s="117" customFormat="1" ht="15">
      <c r="A29" s="649"/>
      <c r="B29" s="1384" t="s">
        <v>2654</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9"/>
      <c r="Q29" s="1795"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39"/>
      <c r="Q30" s="1795"/>
      <c r="R30" s="770"/>
      <c r="S30" s="771"/>
      <c r="T30" s="770"/>
      <c r="U30" s="771"/>
      <c r="V30" s="770"/>
      <c r="W30" s="771"/>
      <c r="X30" s="772"/>
      <c r="Y30" s="3239"/>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9"/>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9"/>
      <c r="Q32" s="1810" t="str">
        <f t="shared" si="8"/>
        <v>毗邻道路的类型与等级</v>
      </c>
      <c r="R32" s="774" t="s">
        <v>17</v>
      </c>
      <c r="S32" s="775">
        <f t="shared" si="10"/>
        <v>100</v>
      </c>
      <c r="T32" s="774" t="s">
        <v>17</v>
      </c>
      <c r="U32" s="775">
        <f t="shared" si="11"/>
        <v>100</v>
      </c>
      <c r="V32" s="774" t="s">
        <v>17</v>
      </c>
      <c r="W32" s="775">
        <f t="shared" si="12"/>
        <v>100</v>
      </c>
      <c r="X32" s="1813"/>
      <c r="Y32" s="3239"/>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39"/>
      <c r="Q33" s="1810"/>
      <c r="R33" s="774"/>
      <c r="S33" s="775"/>
      <c r="T33" s="774"/>
      <c r="U33" s="775"/>
      <c r="V33" s="774"/>
      <c r="W33" s="775"/>
      <c r="X33" s="1813"/>
      <c r="Y33" s="3239"/>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9"/>
      <c r="Q34" s="1810" t="str">
        <f t="shared" si="8"/>
        <v>土地级别</v>
      </c>
      <c r="R34" s="774" t="s">
        <v>17</v>
      </c>
      <c r="S34" s="775">
        <f t="shared" si="10"/>
        <v>100</v>
      </c>
      <c r="T34" s="774" t="s">
        <v>17</v>
      </c>
      <c r="U34" s="775">
        <f t="shared" si="11"/>
        <v>100</v>
      </c>
      <c r="V34" s="774" t="s">
        <v>17</v>
      </c>
      <c r="W34" s="775">
        <f t="shared" si="12"/>
        <v>100</v>
      </c>
      <c r="X34" s="1813"/>
      <c r="Y34" s="323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9"/>
      <c r="Q35" s="1810">
        <f t="shared" si="8"/>
        <v>111</v>
      </c>
      <c r="R35" s="774" t="s">
        <v>17</v>
      </c>
      <c r="S35" s="775">
        <f t="shared" si="10"/>
        <v>100</v>
      </c>
      <c r="T35" s="774" t="s">
        <v>17</v>
      </c>
      <c r="U35" s="775">
        <f t="shared" si="11"/>
        <v>100</v>
      </c>
      <c r="V35" s="774" t="s">
        <v>17</v>
      </c>
      <c r="W35" s="775">
        <f t="shared" si="12"/>
        <v>100</v>
      </c>
      <c r="X35" s="1813"/>
      <c r="Y35" s="323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2564</v>
      </c>
      <c r="Q36" s="1810">
        <f t="shared" si="8"/>
        <v>111</v>
      </c>
      <c r="R36" s="774" t="s">
        <v>17</v>
      </c>
      <c r="S36" s="775">
        <f t="shared" si="10"/>
        <v>100</v>
      </c>
      <c r="T36" s="774" t="s">
        <v>17</v>
      </c>
      <c r="U36" s="775">
        <f t="shared" si="11"/>
        <v>100</v>
      </c>
      <c r="V36" s="774" t="s">
        <v>17</v>
      </c>
      <c r="W36" s="775">
        <f t="shared" si="12"/>
        <v>100</v>
      </c>
      <c r="X36" s="1813"/>
      <c r="Y36" s="3243"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3"/>
      <c r="Q37" s="1810">
        <f t="shared" si="8"/>
        <v>111</v>
      </c>
      <c r="R37" s="777" t="s">
        <v>17</v>
      </c>
      <c r="S37" s="778">
        <f t="shared" si="10"/>
        <v>100</v>
      </c>
      <c r="T37" s="777" t="s">
        <v>17</v>
      </c>
      <c r="U37" s="778">
        <f t="shared" si="11"/>
        <v>100</v>
      </c>
      <c r="V37" s="777" t="s">
        <v>17</v>
      </c>
      <c r="W37" s="778">
        <f t="shared" si="12"/>
        <v>100</v>
      </c>
      <c r="X37" s="779"/>
      <c r="Y37" s="3243"/>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3"/>
      <c r="Q38" s="1810" t="str">
        <f>B38</f>
        <v>宗地面积</v>
      </c>
      <c r="R38" s="774" t="s">
        <v>17</v>
      </c>
      <c r="S38" s="775" t="e">
        <f t="shared" si="10"/>
        <v>#N/A</v>
      </c>
      <c r="T38" s="774" t="s">
        <v>17</v>
      </c>
      <c r="U38" s="775" t="e">
        <f t="shared" si="11"/>
        <v>#N/A</v>
      </c>
      <c r="V38" s="774" t="s">
        <v>17</v>
      </c>
      <c r="W38" s="775" t="e">
        <f t="shared" si="12"/>
        <v>#N/A</v>
      </c>
      <c r="X38" s="1813"/>
      <c r="Y38" s="3243"/>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3"/>
      <c r="Q39" s="1810" t="str">
        <f t="shared" ref="Q39:Q45" si="14">B39</f>
        <v>宗地形状</v>
      </c>
      <c r="R39" s="774" t="s">
        <v>17</v>
      </c>
      <c r="S39" s="775">
        <f t="shared" si="10"/>
        <v>100</v>
      </c>
      <c r="T39" s="774" t="s">
        <v>17</v>
      </c>
      <c r="U39" s="775">
        <f t="shared" si="11"/>
        <v>100</v>
      </c>
      <c r="V39" s="774" t="s">
        <v>17</v>
      </c>
      <c r="W39" s="775">
        <f t="shared" si="12"/>
        <v>100</v>
      </c>
      <c r="X39" s="1813"/>
      <c r="Y39" s="3243"/>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3"/>
      <c r="Q40" s="1810" t="str">
        <f t="shared" si="14"/>
        <v>临街宽度及深度</v>
      </c>
      <c r="R40" s="774" t="s">
        <v>17</v>
      </c>
      <c r="S40" s="775">
        <f t="shared" si="10"/>
        <v>100</v>
      </c>
      <c r="T40" s="774" t="s">
        <v>17</v>
      </c>
      <c r="U40" s="775">
        <f t="shared" si="11"/>
        <v>100</v>
      </c>
      <c r="V40" s="774" t="s">
        <v>17</v>
      </c>
      <c r="W40" s="775">
        <f t="shared" si="12"/>
        <v>100</v>
      </c>
      <c r="X40" s="1813"/>
      <c r="Y40" s="3243"/>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3"/>
      <c r="Q41" s="1810"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3" t="s">
        <v>2564</v>
      </c>
      <c r="Q42" s="1810" t="str">
        <f t="shared" si="14"/>
        <v>工程地质条件</v>
      </c>
      <c r="R42" s="774" t="s">
        <v>17</v>
      </c>
      <c r="S42" s="775">
        <f t="shared" si="10"/>
        <v>100</v>
      </c>
      <c r="T42" s="774" t="s">
        <v>17</v>
      </c>
      <c r="U42" s="775">
        <f t="shared" si="11"/>
        <v>100</v>
      </c>
      <c r="V42" s="774" t="s">
        <v>17</v>
      </c>
      <c r="W42" s="775">
        <f t="shared" si="12"/>
        <v>100</v>
      </c>
      <c r="X42" s="1813"/>
      <c r="Y42" s="3243"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3"/>
      <c r="Q43" s="1810">
        <f t="shared" si="14"/>
        <v>111</v>
      </c>
      <c r="R43" s="774" t="s">
        <v>17</v>
      </c>
      <c r="S43" s="775">
        <f t="shared" si="10"/>
        <v>100</v>
      </c>
      <c r="T43" s="774" t="s">
        <v>17</v>
      </c>
      <c r="U43" s="775">
        <f t="shared" si="11"/>
        <v>100</v>
      </c>
      <c r="V43" s="774" t="s">
        <v>17</v>
      </c>
      <c r="W43" s="775">
        <f t="shared" si="12"/>
        <v>100</v>
      </c>
      <c r="X43" s="1813"/>
      <c r="Y43" s="324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3"/>
      <c r="Q44" s="1810">
        <f t="shared" si="14"/>
        <v>111</v>
      </c>
      <c r="R44" s="774" t="s">
        <v>17</v>
      </c>
      <c r="S44" s="775">
        <f t="shared" si="10"/>
        <v>100</v>
      </c>
      <c r="T44" s="774" t="s">
        <v>17</v>
      </c>
      <c r="U44" s="775">
        <f t="shared" si="11"/>
        <v>100</v>
      </c>
      <c r="V44" s="774" t="s">
        <v>17</v>
      </c>
      <c r="W44" s="775">
        <f t="shared" si="12"/>
        <v>100</v>
      </c>
      <c r="X44" s="1813"/>
      <c r="Y44" s="3243"/>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3"/>
      <c r="Q45" s="1810">
        <f t="shared" si="14"/>
        <v>111</v>
      </c>
      <c r="R45" s="777" t="s">
        <v>17</v>
      </c>
      <c r="S45" s="778">
        <f t="shared" si="10"/>
        <v>100</v>
      </c>
      <c r="T45" s="777" t="s">
        <v>17</v>
      </c>
      <c r="U45" s="778">
        <f t="shared" si="11"/>
        <v>100</v>
      </c>
      <c r="V45" s="777" t="s">
        <v>17</v>
      </c>
      <c r="W45" s="778">
        <f t="shared" si="12"/>
        <v>100</v>
      </c>
      <c r="X45" s="779"/>
      <c r="Y45" s="3243"/>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6" t="str">
        <f>A47</f>
        <v>比较价值（元/平方米）</v>
      </c>
      <c r="Q47" s="3236"/>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3" t="str">
        <f>A48</f>
        <v>估价对象XX用房的比较价值（楼面单价，元/平方米）</v>
      </c>
      <c r="Q48" s="3234"/>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219" t="s">
        <v>2763</v>
      </c>
      <c r="H55" s="3266"/>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86971.4</v>
      </c>
      <c r="F56" s="1103" t="e">
        <f t="shared" ref="F56:F65" si="15">ROUND(B56*E56/10000,0)</f>
        <v>#DIV/0!</v>
      </c>
      <c r="G56" s="3218"/>
      <c r="H56" s="3236"/>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9" t="s">
        <v>2645</v>
      </c>
      <c r="D4" s="3220"/>
      <c r="E4" s="3221" t="s">
        <v>2646</v>
      </c>
      <c r="F4" s="3222"/>
      <c r="G4" s="3219" t="s">
        <v>2647</v>
      </c>
      <c r="H4" s="3220"/>
      <c r="I4" s="3219" t="s">
        <v>2648</v>
      </c>
      <c r="J4" s="3220"/>
      <c r="K4" s="610" t="s">
        <v>2649</v>
      </c>
      <c r="L4" s="1130"/>
      <c r="M4" s="1131"/>
      <c r="N4" s="1131"/>
      <c r="O4" s="1131"/>
      <c r="P4" s="3223" t="s">
        <v>2650</v>
      </c>
      <c r="Q4" s="3224"/>
      <c r="R4" s="3204" t="s">
        <v>2646</v>
      </c>
      <c r="S4" s="3205"/>
      <c r="T4" s="3204" t="s">
        <v>2647</v>
      </c>
      <c r="U4" s="3205"/>
      <c r="V4" s="3231" t="s">
        <v>2648</v>
      </c>
      <c r="W4" s="3231"/>
      <c r="X4" s="1813"/>
      <c r="Y4" s="3204" t="s">
        <v>2650</v>
      </c>
      <c r="Z4" s="3205"/>
      <c r="AA4" s="3199" t="s">
        <v>2646</v>
      </c>
      <c r="AB4" s="3200" t="s">
        <v>2647</v>
      </c>
      <c r="AC4" s="3199" t="s">
        <v>2648</v>
      </c>
    </row>
    <row r="5" spans="1:29" ht="15">
      <c r="A5" s="404"/>
      <c r="B5" s="405"/>
      <c r="C5" s="3214" t="s">
        <v>2541</v>
      </c>
      <c r="D5" s="3211"/>
      <c r="E5" s="3247" t="s">
        <v>2542</v>
      </c>
      <c r="F5" s="3209"/>
      <c r="G5" s="3214" t="s">
        <v>2543</v>
      </c>
      <c r="H5" s="3211"/>
      <c r="I5" s="3214" t="s">
        <v>2544</v>
      </c>
      <c r="J5" s="3211"/>
      <c r="K5" s="610"/>
      <c r="L5" s="1130"/>
      <c r="M5" s="1131"/>
      <c r="N5" s="1131"/>
      <c r="O5" s="1131"/>
      <c r="P5" s="3225"/>
      <c r="Q5" s="3226"/>
      <c r="R5" s="3206"/>
      <c r="S5" s="3207"/>
      <c r="T5" s="3206"/>
      <c r="U5" s="3207"/>
      <c r="V5" s="3231"/>
      <c r="W5" s="3231"/>
      <c r="X5" s="1813"/>
      <c r="Y5" s="3206"/>
      <c r="Z5" s="3207"/>
      <c r="AA5" s="3200"/>
      <c r="AB5" s="3200"/>
      <c r="AC5" s="3200"/>
    </row>
    <row r="6" spans="1:29" ht="15.75" thickBot="1">
      <c r="A6" s="406"/>
      <c r="B6" s="407"/>
      <c r="C6" s="3268" t="s">
        <v>2796</v>
      </c>
      <c r="D6" s="3269"/>
      <c r="E6" s="3270" t="s">
        <v>2796</v>
      </c>
      <c r="F6" s="3271"/>
      <c r="G6" s="3268" t="s">
        <v>2796</v>
      </c>
      <c r="H6" s="3269"/>
      <c r="I6" s="3268" t="s">
        <v>2796</v>
      </c>
      <c r="J6" s="3269"/>
      <c r="K6" s="610" t="s">
        <v>2546</v>
      </c>
      <c r="L6" s="1130"/>
      <c r="M6" s="1131"/>
      <c r="N6" s="1131"/>
      <c r="O6" s="1131"/>
      <c r="P6" s="3227"/>
      <c r="Q6" s="3228"/>
      <c r="R6" s="3206"/>
      <c r="S6" s="3207"/>
      <c r="T6" s="3229"/>
      <c r="U6" s="3230"/>
      <c r="V6" s="3231"/>
      <c r="W6" s="3231"/>
      <c r="X6" s="1813"/>
      <c r="Y6" s="3229"/>
      <c r="Z6" s="3230"/>
      <c r="AA6" s="3201"/>
      <c r="AB6" s="3201"/>
      <c r="AC6" s="3201"/>
    </row>
    <row r="7" spans="1:29" s="117" customFormat="1" ht="15.75"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2" t="s">
        <v>2548</v>
      </c>
      <c r="Q7" s="3232"/>
      <c r="R7" s="770" t="s">
        <v>17</v>
      </c>
      <c r="S7" s="771">
        <f t="shared" ref="S7:S15" si="0">F7</f>
        <v>0</v>
      </c>
      <c r="T7" s="770" t="s">
        <v>17</v>
      </c>
      <c r="U7" s="771">
        <f t="shared" ref="U7:U15" si="1">H7</f>
        <v>0</v>
      </c>
      <c r="V7" s="770" t="s">
        <v>17</v>
      </c>
      <c r="W7" s="771">
        <f t="shared" ref="W7:W15" si="2">J7</f>
        <v>0</v>
      </c>
      <c r="X7" s="772"/>
      <c r="Y7" s="3202" t="s">
        <v>2548</v>
      </c>
      <c r="Z7" s="320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2" t="s">
        <v>2551</v>
      </c>
      <c r="Q8" s="3203"/>
      <c r="R8" s="770" t="s">
        <v>17</v>
      </c>
      <c r="S8" s="771">
        <f t="shared" si="0"/>
        <v>0</v>
      </c>
      <c r="T8" s="770" t="s">
        <v>17</v>
      </c>
      <c r="U8" s="771">
        <f t="shared" si="1"/>
        <v>0</v>
      </c>
      <c r="V8" s="770" t="s">
        <v>17</v>
      </c>
      <c r="W8" s="771">
        <f t="shared" si="2"/>
        <v>0</v>
      </c>
      <c r="X8" s="772"/>
      <c r="Y8" s="3202" t="s">
        <v>2551</v>
      </c>
      <c r="Z8" s="3203"/>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36" t="s">
        <v>2554</v>
      </c>
      <c r="Q9" s="1795" t="str">
        <f t="shared" ref="Q9:Q15" si="6">B9</f>
        <v>用途</v>
      </c>
      <c r="R9" s="770" t="s">
        <v>17</v>
      </c>
      <c r="S9" s="771">
        <f t="shared" si="0"/>
        <v>100</v>
      </c>
      <c r="T9" s="770" t="s">
        <v>17</v>
      </c>
      <c r="U9" s="771">
        <f t="shared" si="1"/>
        <v>100</v>
      </c>
      <c r="V9" s="770" t="s">
        <v>17</v>
      </c>
      <c r="W9" s="771">
        <f t="shared" si="2"/>
        <v>100</v>
      </c>
      <c r="X9" s="772"/>
      <c r="Y9" s="304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36"/>
      <c r="Q10" s="1795" t="str">
        <f t="shared" si="6"/>
        <v>土地使用年限（年）</v>
      </c>
      <c r="R10" s="770" t="s">
        <v>17</v>
      </c>
      <c r="S10" s="771" t="e">
        <f t="shared" si="0"/>
        <v>#DIV/0!</v>
      </c>
      <c r="T10" s="770" t="s">
        <v>17</v>
      </c>
      <c r="U10" s="771" t="e">
        <f t="shared" si="1"/>
        <v>#DIV/0!</v>
      </c>
      <c r="V10" s="770" t="s">
        <v>17</v>
      </c>
      <c r="W10" s="771" t="e">
        <f t="shared" si="2"/>
        <v>#DIV/0!</v>
      </c>
      <c r="X10" s="772"/>
      <c r="Y10" s="3044"/>
      <c r="Z10" s="55" t="str">
        <f t="shared" si="7"/>
        <v>土地使用年限（年）</v>
      </c>
      <c r="AA10" s="773" t="e">
        <f t="shared" si="3"/>
        <v>#DIV/0!</v>
      </c>
      <c r="AB10" s="773" t="e">
        <f t="shared" si="4"/>
        <v>#DIV/0!</v>
      </c>
      <c r="AC10" s="773"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6"/>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6"/>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6"/>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6"/>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8" t="s">
        <v>2559</v>
      </c>
      <c r="Q15" s="1810" t="str">
        <f t="shared" si="6"/>
        <v>产业集聚程度</v>
      </c>
      <c r="R15" s="774" t="s">
        <v>17</v>
      </c>
      <c r="S15" s="775">
        <f t="shared" si="0"/>
        <v>100</v>
      </c>
      <c r="T15" s="774" t="s">
        <v>17</v>
      </c>
      <c r="U15" s="775">
        <f t="shared" si="1"/>
        <v>100</v>
      </c>
      <c r="V15" s="774" t="s">
        <v>17</v>
      </c>
      <c r="W15" s="775">
        <f t="shared" si="2"/>
        <v>100</v>
      </c>
      <c r="X15" s="1813"/>
      <c r="Y15" s="3238"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39"/>
      <c r="Q16" s="1810"/>
      <c r="R16" s="774"/>
      <c r="S16" s="775"/>
      <c r="T16" s="774"/>
      <c r="U16" s="775"/>
      <c r="V16" s="774"/>
      <c r="W16" s="775"/>
      <c r="X16" s="1813"/>
      <c r="Y16" s="3239"/>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9"/>
      <c r="Q17" s="1810" t="str">
        <f>B17</f>
        <v>交通便捷度</v>
      </c>
      <c r="R17" s="774" t="s">
        <v>17</v>
      </c>
      <c r="S17" s="775">
        <f>F17</f>
        <v>100</v>
      </c>
      <c r="T17" s="774" t="s">
        <v>17</v>
      </c>
      <c r="U17" s="775">
        <f>H17</f>
        <v>100</v>
      </c>
      <c r="V17" s="774" t="s">
        <v>17</v>
      </c>
      <c r="W17" s="775">
        <f>J17</f>
        <v>100</v>
      </c>
      <c r="X17" s="1813"/>
      <c r="Y17" s="3239"/>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39"/>
      <c r="Q18" s="1810"/>
      <c r="R18" s="774"/>
      <c r="S18" s="775"/>
      <c r="T18" s="774"/>
      <c r="U18" s="775"/>
      <c r="V18" s="774"/>
      <c r="W18" s="775"/>
      <c r="X18" s="1813"/>
      <c r="Y18" s="3239"/>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9"/>
      <c r="Q19" s="1810" t="str">
        <f t="shared" ref="Q19:Q33" si="8">B19</f>
        <v>区域土地利用方向</v>
      </c>
      <c r="R19" s="774" t="s">
        <v>17</v>
      </c>
      <c r="S19" s="775">
        <f>F19</f>
        <v>100</v>
      </c>
      <c r="T19" s="774" t="s">
        <v>17</v>
      </c>
      <c r="U19" s="775">
        <f>H19</f>
        <v>100</v>
      </c>
      <c r="V19" s="774" t="s">
        <v>17</v>
      </c>
      <c r="W19" s="775">
        <f>J19</f>
        <v>100</v>
      </c>
      <c r="X19" s="1813"/>
      <c r="Y19" s="3239"/>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39"/>
      <c r="Q20" s="1810"/>
      <c r="R20" s="774"/>
      <c r="S20" s="775"/>
      <c r="T20" s="774"/>
      <c r="U20" s="775"/>
      <c r="V20" s="774"/>
      <c r="W20" s="775"/>
      <c r="X20" s="1813"/>
      <c r="Y20" s="3239"/>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9"/>
      <c r="Q21" s="1810" t="str">
        <f t="shared" si="8"/>
        <v>环境状况</v>
      </c>
      <c r="R21" s="774" t="s">
        <v>17</v>
      </c>
      <c r="S21" s="775">
        <f>F21</f>
        <v>100</v>
      </c>
      <c r="T21" s="774" t="s">
        <v>17</v>
      </c>
      <c r="U21" s="775">
        <f>H21</f>
        <v>100</v>
      </c>
      <c r="V21" s="774" t="s">
        <v>17</v>
      </c>
      <c r="W21" s="775">
        <f>J21</f>
        <v>100</v>
      </c>
      <c r="X21" s="1813"/>
      <c r="Y21" s="3239"/>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39"/>
      <c r="Q22" s="1810"/>
      <c r="R22" s="774"/>
      <c r="S22" s="775"/>
      <c r="T22" s="774"/>
      <c r="U22" s="775"/>
      <c r="V22" s="774"/>
      <c r="W22" s="775"/>
      <c r="X22" s="1813"/>
      <c r="Y22" s="3239"/>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9"/>
      <c r="Q23" s="1795" t="str">
        <f t="shared" si="8"/>
        <v>公共配套设施</v>
      </c>
      <c r="R23" s="770" t="s">
        <v>17</v>
      </c>
      <c r="S23" s="771">
        <f>F23</f>
        <v>100</v>
      </c>
      <c r="T23" s="770" t="s">
        <v>17</v>
      </c>
      <c r="U23" s="771">
        <f>H23</f>
        <v>100</v>
      </c>
      <c r="V23" s="770" t="s">
        <v>17</v>
      </c>
      <c r="W23" s="771">
        <f>J23</f>
        <v>100</v>
      </c>
      <c r="X23" s="772"/>
      <c r="Y23" s="3239"/>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39"/>
      <c r="Q24" s="1795"/>
      <c r="R24" s="770"/>
      <c r="S24" s="771"/>
      <c r="T24" s="770"/>
      <c r="U24" s="771"/>
      <c r="V24" s="770"/>
      <c r="W24" s="771"/>
      <c r="X24" s="772"/>
      <c r="Y24" s="3239"/>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9"/>
      <c r="Q25" s="1795"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39"/>
      <c r="Q26" s="1795"/>
      <c r="R26" s="770"/>
      <c r="S26" s="771"/>
      <c r="T26" s="770"/>
      <c r="U26" s="771"/>
      <c r="V26" s="770"/>
      <c r="W26" s="771"/>
      <c r="X26" s="772"/>
      <c r="Y26" s="323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9"/>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9"/>
      <c r="Q28" s="1810" t="str">
        <f t="shared" si="8"/>
        <v>毗邻道路的类型与等级</v>
      </c>
      <c r="R28" s="774" t="s">
        <v>17</v>
      </c>
      <c r="S28" s="775">
        <f t="shared" si="10"/>
        <v>100</v>
      </c>
      <c r="T28" s="774" t="s">
        <v>17</v>
      </c>
      <c r="U28" s="775">
        <f t="shared" si="11"/>
        <v>100</v>
      </c>
      <c r="V28" s="774" t="s">
        <v>17</v>
      </c>
      <c r="W28" s="775">
        <f t="shared" si="12"/>
        <v>100</v>
      </c>
      <c r="X28" s="1813"/>
      <c r="Y28" s="3239"/>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39"/>
      <c r="Q29" s="1810"/>
      <c r="R29" s="774"/>
      <c r="S29" s="775"/>
      <c r="T29" s="774"/>
      <c r="U29" s="775"/>
      <c r="V29" s="774"/>
      <c r="W29" s="775"/>
      <c r="X29" s="1813"/>
      <c r="Y29" s="3239"/>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9"/>
      <c r="Q30" s="1810" t="str">
        <f t="shared" si="8"/>
        <v>土地级别</v>
      </c>
      <c r="R30" s="774" t="s">
        <v>17</v>
      </c>
      <c r="S30" s="775">
        <f t="shared" si="10"/>
        <v>100</v>
      </c>
      <c r="T30" s="774" t="s">
        <v>17</v>
      </c>
      <c r="U30" s="775">
        <f t="shared" si="11"/>
        <v>100</v>
      </c>
      <c r="V30" s="774" t="s">
        <v>17</v>
      </c>
      <c r="W30" s="775">
        <f t="shared" si="12"/>
        <v>100</v>
      </c>
      <c r="X30" s="1813"/>
      <c r="Y30" s="3239"/>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9"/>
      <c r="Q31" s="1810">
        <f t="shared" si="8"/>
        <v>111</v>
      </c>
      <c r="R31" s="774" t="s">
        <v>17</v>
      </c>
      <c r="S31" s="775">
        <f t="shared" si="10"/>
        <v>100</v>
      </c>
      <c r="T31" s="774" t="s">
        <v>17</v>
      </c>
      <c r="U31" s="775">
        <f t="shared" si="11"/>
        <v>100</v>
      </c>
      <c r="V31" s="774" t="s">
        <v>17</v>
      </c>
      <c r="W31" s="775">
        <f t="shared" si="12"/>
        <v>100</v>
      </c>
      <c r="X31" s="1813"/>
      <c r="Y31" s="3239"/>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2564</v>
      </c>
      <c r="Q32" s="1810">
        <f t="shared" si="8"/>
        <v>111</v>
      </c>
      <c r="R32" s="774" t="s">
        <v>17</v>
      </c>
      <c r="S32" s="775">
        <f t="shared" si="10"/>
        <v>100</v>
      </c>
      <c r="T32" s="774" t="s">
        <v>17</v>
      </c>
      <c r="U32" s="775">
        <f t="shared" si="11"/>
        <v>100</v>
      </c>
      <c r="V32" s="774" t="s">
        <v>17</v>
      </c>
      <c r="W32" s="775">
        <f t="shared" si="12"/>
        <v>100</v>
      </c>
      <c r="X32" s="1813"/>
      <c r="Y32" s="3243"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3"/>
      <c r="Q33" s="1810">
        <f t="shared" si="8"/>
        <v>111</v>
      </c>
      <c r="R33" s="777" t="s">
        <v>17</v>
      </c>
      <c r="S33" s="778">
        <f t="shared" si="10"/>
        <v>100</v>
      </c>
      <c r="T33" s="777" t="s">
        <v>17</v>
      </c>
      <c r="U33" s="778">
        <f t="shared" si="11"/>
        <v>100</v>
      </c>
      <c r="V33" s="777" t="s">
        <v>17</v>
      </c>
      <c r="W33" s="778">
        <f t="shared" si="12"/>
        <v>100</v>
      </c>
      <c r="X33" s="779"/>
      <c r="Y33" s="3243"/>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3"/>
      <c r="Q34" s="1810" t="str">
        <f>B34</f>
        <v>宗地面积</v>
      </c>
      <c r="R34" s="774" t="s">
        <v>17</v>
      </c>
      <c r="S34" s="775" t="e">
        <f t="shared" si="10"/>
        <v>#N/A</v>
      </c>
      <c r="T34" s="774" t="s">
        <v>17</v>
      </c>
      <c r="U34" s="775" t="e">
        <f t="shared" si="11"/>
        <v>#N/A</v>
      </c>
      <c r="V34" s="774" t="s">
        <v>17</v>
      </c>
      <c r="W34" s="775" t="e">
        <f t="shared" si="12"/>
        <v>#N/A</v>
      </c>
      <c r="X34" s="1813"/>
      <c r="Y34" s="3243"/>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3"/>
      <c r="Q35" s="1810" t="str">
        <f t="shared" ref="Q35:Q40" si="14">B35</f>
        <v>宗地形状</v>
      </c>
      <c r="R35" s="774" t="s">
        <v>17</v>
      </c>
      <c r="S35" s="775">
        <f t="shared" si="10"/>
        <v>100</v>
      </c>
      <c r="T35" s="774" t="s">
        <v>17</v>
      </c>
      <c r="U35" s="775">
        <f t="shared" si="11"/>
        <v>100</v>
      </c>
      <c r="V35" s="774" t="s">
        <v>17</v>
      </c>
      <c r="W35" s="775">
        <f t="shared" si="12"/>
        <v>100</v>
      </c>
      <c r="X35" s="1813"/>
      <c r="Y35" s="3243"/>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3"/>
      <c r="Q36" s="1810"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3" t="s">
        <v>2564</v>
      </c>
      <c r="Q37" s="1810" t="str">
        <f t="shared" si="14"/>
        <v>工程地质条件</v>
      </c>
      <c r="R37" s="774" t="s">
        <v>17</v>
      </c>
      <c r="S37" s="775">
        <f t="shared" si="10"/>
        <v>100</v>
      </c>
      <c r="T37" s="774" t="s">
        <v>17</v>
      </c>
      <c r="U37" s="775">
        <f t="shared" si="11"/>
        <v>100</v>
      </c>
      <c r="V37" s="774" t="s">
        <v>17</v>
      </c>
      <c r="W37" s="775">
        <f t="shared" si="12"/>
        <v>100</v>
      </c>
      <c r="X37" s="1813"/>
      <c r="Y37" s="3243"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3"/>
      <c r="Q38" s="1810">
        <f t="shared" si="14"/>
        <v>111</v>
      </c>
      <c r="R38" s="774" t="s">
        <v>17</v>
      </c>
      <c r="S38" s="775">
        <f t="shared" si="10"/>
        <v>100</v>
      </c>
      <c r="T38" s="774" t="s">
        <v>17</v>
      </c>
      <c r="U38" s="775">
        <f t="shared" si="11"/>
        <v>100</v>
      </c>
      <c r="V38" s="774" t="s">
        <v>17</v>
      </c>
      <c r="W38" s="775">
        <f t="shared" si="12"/>
        <v>100</v>
      </c>
      <c r="X38" s="1813"/>
      <c r="Y38" s="324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3"/>
      <c r="Q39" s="1810">
        <f t="shared" si="14"/>
        <v>111</v>
      </c>
      <c r="R39" s="774" t="s">
        <v>17</v>
      </c>
      <c r="S39" s="775">
        <f t="shared" si="10"/>
        <v>100</v>
      </c>
      <c r="T39" s="774" t="s">
        <v>17</v>
      </c>
      <c r="U39" s="775">
        <f t="shared" si="11"/>
        <v>100</v>
      </c>
      <c r="V39" s="774" t="s">
        <v>17</v>
      </c>
      <c r="W39" s="775">
        <f t="shared" si="12"/>
        <v>100</v>
      </c>
      <c r="X39" s="1813"/>
      <c r="Y39" s="3243"/>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3"/>
      <c r="Q40" s="1810">
        <f t="shared" si="14"/>
        <v>111</v>
      </c>
      <c r="R40" s="777" t="s">
        <v>17</v>
      </c>
      <c r="S40" s="778">
        <f t="shared" si="10"/>
        <v>100</v>
      </c>
      <c r="T40" s="777" t="s">
        <v>17</v>
      </c>
      <c r="U40" s="778">
        <f t="shared" si="11"/>
        <v>100</v>
      </c>
      <c r="V40" s="777" t="s">
        <v>17</v>
      </c>
      <c r="W40" s="778">
        <f t="shared" si="12"/>
        <v>100</v>
      </c>
      <c r="X40" s="779"/>
      <c r="Y40" s="3243"/>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6" t="str">
        <f>A42</f>
        <v>比较价值（元/平方米）</v>
      </c>
      <c r="Q42" s="3236"/>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3" t="str">
        <f>A43</f>
        <v>估价对象XX用房的比较价值（楼面单价，元/平方米）</v>
      </c>
      <c r="Q43" s="3234"/>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219" t="s">
        <v>2763</v>
      </c>
      <c r="H50" s="3266"/>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86971.4</v>
      </c>
      <c r="F51" s="691" t="e">
        <f t="shared" ref="F51:F60" si="15">ROUND(B51*E51/10000,0)</f>
        <v>#DIV/0!</v>
      </c>
      <c r="G51" s="3218"/>
      <c r="H51" s="3236"/>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1.99</v>
      </c>
      <c r="H3" s="198" t="s">
        <v>2821</v>
      </c>
      <c r="I3" s="944"/>
      <c r="J3" s="2723" t="s">
        <v>2822</v>
      </c>
      <c r="K3" s="1370"/>
      <c r="L3" s="2724"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8"/>
      <c r="B4" s="3289"/>
      <c r="C4" s="3289"/>
      <c r="D4" s="3290"/>
      <c r="E4" s="3290"/>
      <c r="F4" s="3290"/>
      <c r="G4" s="3290"/>
      <c r="H4" s="3290"/>
      <c r="I4" s="3290"/>
      <c r="J4" s="3291"/>
      <c r="K4" s="1370"/>
      <c r="L4" s="2724"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2825</v>
      </c>
      <c r="C5" s="917" t="e">
        <f>ROUND(IF(E2="商业",C6*C7+C16,(IF(E2="住宅",C6*C12+C16,C6+C16))),0)</f>
        <v>#DIV/0!</v>
      </c>
      <c r="D5" s="1787" t="e">
        <f>ROUND(C6+C16,0)</f>
        <v>#DIV/0!</v>
      </c>
      <c r="E5" s="1787"/>
      <c r="F5" s="2729"/>
      <c r="G5" s="2730"/>
      <c r="H5" s="2730"/>
      <c r="I5" s="2730"/>
      <c r="J5" s="2731"/>
      <c r="K5" s="2732"/>
      <c r="L5" s="2724"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2"/>
      <c r="L6" s="2724"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72" t="str">
        <f>IF(E2="商业",IF(C8="不临58条商业街","",2),"")</f>
        <v/>
      </c>
      <c r="B7" s="2743" t="s">
        <v>2831</v>
      </c>
      <c r="C7" s="919" t="e">
        <f>IF(C8="不临58条商业街",1,ROUND(1+(1.6*E8+1.2*E9+0.8*E10+0.4*E11)*C9,4))</f>
        <v>#DIV/0!</v>
      </c>
      <c r="D7" s="2744" t="s">
        <v>2832</v>
      </c>
      <c r="E7" s="945"/>
      <c r="F7" s="2745"/>
      <c r="G7" s="2746"/>
      <c r="H7" s="2746"/>
      <c r="I7" s="2746"/>
      <c r="J7" s="2747"/>
      <c r="K7" s="1842"/>
      <c r="L7" s="2724"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1.99</v>
      </c>
      <c r="AA7" s="1606"/>
      <c r="AB7" s="1606"/>
      <c r="AC7" s="1607"/>
      <c r="AD7" s="1608"/>
      <c r="AE7" s="1608"/>
      <c r="AF7" s="1608"/>
      <c r="AG7" s="1608"/>
      <c r="AH7" s="1608"/>
      <c r="AI7" s="1608"/>
      <c r="AJ7" s="1609"/>
    </row>
    <row r="8" spans="1:36" ht="15">
      <c r="A8" s="3292"/>
      <c r="B8" s="198" t="s">
        <v>2836</v>
      </c>
      <c r="C8" s="2748"/>
      <c r="D8" s="920" t="s">
        <v>139</v>
      </c>
      <c r="E8" s="921" t="e">
        <f>ROUND(C11/E7,4)</f>
        <v>#DIV/0!</v>
      </c>
      <c r="F8" s="2749" t="s">
        <v>2837</v>
      </c>
      <c r="G8" s="2750"/>
      <c r="H8" s="2750"/>
      <c r="I8" s="2750"/>
      <c r="J8" s="2751"/>
      <c r="K8" s="1370"/>
      <c r="L8" s="2724"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5" t="s">
        <v>2839</v>
      </c>
      <c r="X8" s="328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92"/>
      <c r="B9" s="198" t="s">
        <v>2852</v>
      </c>
      <c r="C9" s="922">
        <f>SUMIF(修正!C59:C119,C8,修正!E59:E119)</f>
        <v>0</v>
      </c>
      <c r="D9" s="200" t="s">
        <v>140</v>
      </c>
      <c r="E9" s="200" t="e">
        <f>ROUND(C11/E7,4)</f>
        <v>#DIV/0!</v>
      </c>
      <c r="F9" s="2749" t="s">
        <v>2853</v>
      </c>
      <c r="G9" s="2750"/>
      <c r="H9" s="2750"/>
      <c r="I9" s="2750"/>
      <c r="J9" s="2751"/>
      <c r="K9" s="1370"/>
      <c r="L9" s="2724"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2"/>
      <c r="B10" s="198" t="s">
        <v>2857</v>
      </c>
      <c r="C10" s="200">
        <f>SUMIF(修正!C59:C119,C8,修正!F59:F119)</f>
        <v>0</v>
      </c>
      <c r="D10" s="200" t="s">
        <v>141</v>
      </c>
      <c r="E10" s="200" t="e">
        <f>ROUND(C11/E7,4)</f>
        <v>#DIV/0!</v>
      </c>
      <c r="F10" s="2749" t="s">
        <v>2858</v>
      </c>
      <c r="G10" s="2750"/>
      <c r="H10" s="2750"/>
      <c r="I10" s="2750"/>
      <c r="J10" s="2751"/>
      <c r="K10" s="1370"/>
      <c r="L10" s="2724"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2"/>
      <c r="B11" s="2752" t="s">
        <v>2860</v>
      </c>
      <c r="C11" s="923">
        <f>C10/4</f>
        <v>0</v>
      </c>
      <c r="D11" s="923" t="s">
        <v>142</v>
      </c>
      <c r="E11" s="923" t="e">
        <f>ROUND(C11/E7,4)</f>
        <v>#DIV/0!</v>
      </c>
      <c r="F11" s="2753" t="s">
        <v>2861</v>
      </c>
      <c r="G11" s="2754"/>
      <c r="H11" s="2754"/>
      <c r="I11" s="2754"/>
      <c r="J11" s="2755"/>
      <c r="K11" s="1370"/>
      <c r="L11" s="2724"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7" t="s">
        <v>2863</v>
      </c>
      <c r="X11" s="1614" t="s">
        <v>2864</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72" t="s">
        <v>2865</v>
      </c>
      <c r="B12" s="2756" t="s">
        <v>2866</v>
      </c>
      <c r="C12" s="919">
        <f>ROUND(C15*D15*E15*F15*G15*H15*I15*J15,4)</f>
        <v>1</v>
      </c>
      <c r="D12" s="2757" t="s">
        <v>2867</v>
      </c>
      <c r="E12" s="2758"/>
      <c r="F12" s="2758"/>
      <c r="G12" s="2759"/>
      <c r="H12" s="2759"/>
      <c r="I12" s="2759"/>
      <c r="J12" s="2760"/>
      <c r="K12" s="1370"/>
      <c r="L12" s="2761"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3"/>
      <c r="B13" s="2762" t="s">
        <v>2870</v>
      </c>
      <c r="C13" s="2763" t="s">
        <v>2871</v>
      </c>
      <c r="D13" s="1808" t="s">
        <v>2872</v>
      </c>
      <c r="E13" s="1808" t="s">
        <v>2873</v>
      </c>
      <c r="F13" s="30" t="s">
        <v>2874</v>
      </c>
      <c r="G13" s="2764" t="s">
        <v>2875</v>
      </c>
      <c r="H13" s="2764" t="s">
        <v>2875</v>
      </c>
      <c r="I13" s="2764" t="s">
        <v>2875</v>
      </c>
      <c r="J13" s="2765" t="s">
        <v>2875</v>
      </c>
      <c r="K13" s="1370"/>
      <c r="L13" s="1370"/>
      <c r="M13" s="1370"/>
      <c r="N13" s="1370"/>
      <c r="O13" s="1370"/>
      <c r="P13" s="1370"/>
      <c r="Q13" s="1370"/>
      <c r="R13" s="1602">
        <v>12</v>
      </c>
      <c r="S13" s="1603"/>
      <c r="T13" s="1602" t="e">
        <f t="shared" si="0"/>
        <v>#DIV/0!</v>
      </c>
      <c r="U13" s="1603"/>
      <c r="V13" s="1602" t="e">
        <f t="shared" si="1"/>
        <v>#DIV/0!</v>
      </c>
      <c r="W13" s="3287"/>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293"/>
      <c r="B14" s="2766"/>
      <c r="C14" s="2767"/>
      <c r="D14" s="2768"/>
      <c r="E14" s="2768"/>
      <c r="F14" s="2769"/>
      <c r="G14" s="2770" t="s">
        <v>2876</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4"/>
      <c r="B15" s="2774"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2" t="s">
        <v>2882</v>
      </c>
      <c r="B16" s="2743" t="s">
        <v>2883</v>
      </c>
      <c r="C16" s="2930" t="e">
        <f>ROUND(IF(F17="与级别开发程度一致",0,(G17-E17)/C17),0)</f>
        <v>#DIV/0!</v>
      </c>
      <c r="D16" s="3283" t="s">
        <v>2887</v>
      </c>
      <c r="E16" s="3284"/>
      <c r="F16" s="3283" t="s">
        <v>2884</v>
      </c>
      <c r="G16" s="3284"/>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3"/>
      <c r="B17" s="2941" t="s">
        <v>2886</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2889</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2890</v>
      </c>
      <c r="C19" s="924" t="e">
        <f>ROUND(IF(H19="按公示增长率计算",SUMPRODUCT((地价!A3:A29=YEAR(G19)&amp;"-"&amp;ROUNDUP(MONTH(G19)/3,0))*(地价!X2:AB2=E2)*(地价!X3:AB29)),IF(H19="地价指数",M20/M19,(1+I19)^O19)),4)</f>
        <v>#VALUE!</v>
      </c>
      <c r="D19" s="2787" t="s">
        <v>2891</v>
      </c>
      <c r="E19" s="925">
        <v>41640</v>
      </c>
      <c r="F19" s="2787" t="s">
        <v>2892</v>
      </c>
      <c r="G19" s="926">
        <f>'数据-取费表'!B2</f>
        <v>43847</v>
      </c>
      <c r="H19" s="2788"/>
      <c r="I19" s="927" t="str">
        <f>IF(H19="季度增幅（自定义）",SUMIF(N21:N24,E2,O21:O24),"")</f>
        <v/>
      </c>
      <c r="J19" s="2785"/>
      <c r="K19" s="1377"/>
      <c r="L19" s="2789" t="s">
        <v>2893</v>
      </c>
      <c r="M19" s="1734">
        <f>ROUND(SUMIF(地价!B2:F2,E2,地价!B29:F29),0)</f>
        <v>0</v>
      </c>
      <c r="N19" s="2790"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2895</v>
      </c>
      <c r="C20" s="929" t="e">
        <f>ROUND(POWER(1+G20,J20-I20)*(POWER(1+G20,I20)-1)/(POWER(1+G20,J20)-1),4)</f>
        <v>#DIV/0!</v>
      </c>
      <c r="D20" s="2796" t="s">
        <v>2896</v>
      </c>
      <c r="E20" s="1768">
        <f ca="1">存贷款利率!D4/100</f>
        <v>4.3499999999999997E-2</v>
      </c>
      <c r="F20" s="2796" t="s">
        <v>2888</v>
      </c>
      <c r="G20" s="934">
        <f>SUMIF(M26:P26,E2,M28:P28)</f>
        <v>0</v>
      </c>
      <c r="H20" s="2796" t="s">
        <v>2897</v>
      </c>
      <c r="I20" s="935" t="e">
        <f>SUMIF('数据-取费表'!C6:C15,E2,'数据-取费表'!F6:F15)/COUNTIF('数据-取费表'!C6:C15,E2)</f>
        <v>#DIV/0!</v>
      </c>
      <c r="J20" s="936">
        <f>IF(E2="住宅",70,IF(E2="商业",40,50))</f>
        <v>50</v>
      </c>
      <c r="K20" s="1377"/>
      <c r="L20" s="2797" t="s">
        <v>2898</v>
      </c>
      <c r="M20" s="1735">
        <f>ROUND(SUMPRODUCT((地价!A4:A29=YEAR(G19)&amp;"-"&amp;ROUNDUP(MONTH(G19)/3,0))*(地价!B2:F2=E2)*(地价!B4:F29)),0)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06" t="s">
        <v>2905</v>
      </c>
      <c r="C22" s="1810" t="s">
        <v>2906</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2911</v>
      </c>
      <c r="C24" s="924">
        <f>SUMIF(A45:A88,E2,B45:B88)</f>
        <v>0</v>
      </c>
      <c r="D24" s="2784"/>
      <c r="E24" s="2813"/>
      <c r="F24" s="2813"/>
      <c r="G24" s="2813"/>
      <c r="H24" s="2813"/>
      <c r="I24" s="2813"/>
      <c r="J24" s="2814"/>
      <c r="K24" s="1377"/>
      <c r="N24" s="2815"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2913</v>
      </c>
      <c r="C25" s="930"/>
      <c r="D25" s="2746"/>
      <c r="E25" s="2746"/>
      <c r="F25" s="2817"/>
      <c r="G25" s="2746"/>
      <c r="H25" s="2746"/>
      <c r="I25" s="2746"/>
      <c r="J25" s="2747"/>
      <c r="K25" s="1370"/>
      <c r="N25" s="2818"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2915</v>
      </c>
      <c r="C26" s="206" t="e">
        <f>E29+SUM(E33:E39)</f>
        <v>#DIV/0!</v>
      </c>
      <c r="D26" s="2820"/>
      <c r="E26" s="2771"/>
      <c r="F26" s="2821"/>
      <c r="G26" s="2771"/>
      <c r="H26" s="2771"/>
      <c r="I26" s="2771"/>
      <c r="J26" s="2822"/>
      <c r="K26" s="1370"/>
      <c r="L26" s="2775" t="s">
        <v>2813</v>
      </c>
      <c r="M26" s="920" t="s">
        <v>2878</v>
      </c>
      <c r="N26" s="920" t="s">
        <v>2879</v>
      </c>
      <c r="O26" s="920" t="s">
        <v>2880</v>
      </c>
      <c r="P26" s="2776" t="s">
        <v>2881</v>
      </c>
      <c r="R26" s="1376"/>
      <c r="S26" s="1376"/>
      <c r="T26" s="1371"/>
      <c r="U26" s="1371"/>
      <c r="V26" s="1371"/>
      <c r="W26" s="1370"/>
      <c r="X26" s="1370"/>
      <c r="Y26" s="1370"/>
      <c r="Z26" s="1377"/>
      <c r="AA26" s="1378"/>
      <c r="AB26" s="1378"/>
      <c r="AC26" s="1378"/>
      <c r="AD26" s="1378"/>
    </row>
    <row r="27" spans="1:37" ht="15.75" thickBot="1">
      <c r="A27" s="2819"/>
      <c r="B27" s="2823" t="s">
        <v>2916</v>
      </c>
      <c r="C27" s="931" t="e">
        <f>E30+SUM(I33:I39)</f>
        <v>#DIV/0!</v>
      </c>
      <c r="D27" s="2824"/>
      <c r="E27" s="2825"/>
      <c r="F27" s="2826"/>
      <c r="G27" s="2825"/>
      <c r="H27" s="2825"/>
      <c r="I27" s="2825"/>
      <c r="J27" s="2827"/>
      <c r="K27" s="1370"/>
      <c r="L27" s="2779"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2917</v>
      </c>
      <c r="C28" s="2830" t="s">
        <v>2918</v>
      </c>
      <c r="D28" s="2830" t="s">
        <v>2919</v>
      </c>
      <c r="E28" s="2831" t="s">
        <v>2920</v>
      </c>
      <c r="F28" s="2832"/>
      <c r="G28" s="2759"/>
      <c r="H28" s="2759"/>
      <c r="I28" s="2759"/>
      <c r="J28" s="2760"/>
      <c r="K28" s="1370"/>
      <c r="L28" s="2780"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80"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82"/>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2937</v>
      </c>
      <c r="M38" s="2856">
        <v>0.25</v>
      </c>
      <c r="N38" s="1370"/>
      <c r="O38" s="1370"/>
      <c r="P38" s="1370"/>
      <c r="Q38" s="1370"/>
      <c r="R38" s="1370"/>
      <c r="S38" s="1370"/>
      <c r="T38" s="1370"/>
      <c r="U38" s="1370"/>
      <c r="V38" s="1370"/>
      <c r="W38" s="1370"/>
      <c r="X38" s="1370"/>
      <c r="Y38" s="1370"/>
      <c r="Z38" s="1371"/>
    </row>
    <row r="39" spans="1:37" ht="13.5"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2881</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t="e">
        <f>ROUND(POWER(1+E41,H41-G41)*(POWER(1+E41,G41)-1)/(POWER(1+E41,H41)-1),4)</f>
        <v>#DIV/0!</v>
      </c>
      <c r="D41" s="200" t="s">
        <v>2888</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2941</v>
      </c>
      <c r="B47" s="1809" t="s">
        <v>2942</v>
      </c>
      <c r="C47" s="1809" t="s">
        <v>2943</v>
      </c>
      <c r="D47" s="1809" t="s">
        <v>2944</v>
      </c>
      <c r="E47" s="819" t="s">
        <v>2945</v>
      </c>
      <c r="F47" s="2869" t="s">
        <v>2946</v>
      </c>
      <c r="G47" s="1809" t="s">
        <v>754</v>
      </c>
      <c r="H47" s="2870"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2950</v>
      </c>
      <c r="B49" s="2872" t="str">
        <f>估价对象房地状况!C18</f>
        <v>估价对象周边有开发区3路、快速直达专线181路、578路多条公交线路，距地铁8号线（瀛海站）约4公里，综合评价交通便捷度一般。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2952</v>
      </c>
      <c r="B51" s="2873" t="s">
        <v>2953</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t="str">
        <f>估价对象房地状况!C24</f>
        <v>城市次干道——兴海路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2955</v>
      </c>
      <c r="B53" s="2874" t="s">
        <v>2956</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2957</v>
      </c>
      <c r="B54" s="1725"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2958</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6" t="s">
        <v>2959</v>
      </c>
      <c r="B56" s="2877" t="str">
        <f>估价对象房地状况!C20</f>
        <v>区域自然环境：体育公园、南海子公园、凉水河；人文环境：北京电子科技职业学院(亦庄校区)；综合评价环境状况一般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2941</v>
      </c>
      <c r="B58" s="1809"/>
      <c r="C58" s="1809" t="s">
        <v>2943</v>
      </c>
      <c r="D58" s="1809" t="s">
        <v>2944</v>
      </c>
      <c r="E58" s="819" t="s">
        <v>2945</v>
      </c>
      <c r="F58" s="2869" t="s">
        <v>2961</v>
      </c>
      <c r="G58" s="1809" t="s">
        <v>754</v>
      </c>
      <c r="H58" s="2870"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2950</v>
      </c>
      <c r="B60" s="2872" t="str">
        <f>估价对象房地状况!C18</f>
        <v>估价对象周边有开发区3路、快速直达专线181路、578路多条公交线路，距地铁8号线（瀛海站）约4公里，综合评价交通便捷度一般。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2952</v>
      </c>
      <c r="B62" s="2873" t="s">
        <v>2953</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t="str">
        <f>估价对象房地状况!C24</f>
        <v>城市次干道——兴海路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2955</v>
      </c>
      <c r="B64" s="2874" t="s">
        <v>2956</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2957</v>
      </c>
      <c r="B65" s="1725"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2958</v>
      </c>
      <c r="B66" s="1725"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6" t="s">
        <v>2959</v>
      </c>
      <c r="B67" s="2878" t="str">
        <f>估价对象房地状况!C20</f>
        <v>区域自然环境：体育公园、南海子公园、凉水河；人文环境：北京电子科技职业学院(亦庄校区)；综合评价环境状况一般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2941</v>
      </c>
      <c r="B69" s="1809"/>
      <c r="C69" s="1809" t="s">
        <v>2943</v>
      </c>
      <c r="D69" s="1809" t="s">
        <v>2944</v>
      </c>
      <c r="E69" s="819" t="s">
        <v>2945</v>
      </c>
      <c r="F69" s="2869" t="s">
        <v>2961</v>
      </c>
      <c r="G69" s="1809" t="s">
        <v>754</v>
      </c>
      <c r="H69" s="2870"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114.75">
      <c r="A70" s="2868" t="s">
        <v>2964</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8" t="s">
        <v>2950</v>
      </c>
      <c r="B71" s="2872" t="str">
        <f>估价对象房地状况!C18</f>
        <v>估价对象周边有开发区3路、快速直达专线181路、578路多条公交线路，距地铁8号线（瀛海站）约4公里，综合评价交通便捷度一般。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2965</v>
      </c>
      <c r="B73" s="2872" t="str">
        <f>估价对象房地状况!C24</f>
        <v>城市次干道——兴海路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2957</v>
      </c>
      <c r="B74" s="1725" t="str">
        <f>估价对象房地状况!C21</f>
        <v>估价对象所在区域公共配套设施齐备情况一般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2958</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2955</v>
      </c>
      <c r="B76" s="2874" t="s">
        <v>2956</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63.75">
      <c r="A77" s="2868" t="s">
        <v>2959</v>
      </c>
      <c r="B77" s="2871" t="str">
        <f>估价对象房地状况!C20</f>
        <v>区域自然环境：体育公园、南海子公园、凉水河；人文环境：北京电子科技职业学院(亦庄校区)；综合评价环境状况一般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2966</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2967</v>
      </c>
      <c r="B79" s="2865">
        <f>1+E81</f>
        <v>1</v>
      </c>
      <c r="C79" s="814"/>
      <c r="D79" s="814"/>
      <c r="E79" s="815"/>
      <c r="F79" s="2867"/>
      <c r="G79" s="6"/>
      <c r="H79" s="6"/>
      <c r="I79" s="6"/>
      <c r="J79" s="7"/>
      <c r="K79" s="7"/>
      <c r="L79" s="7"/>
      <c r="M79" s="7"/>
      <c r="N79" s="7"/>
      <c r="Z79" s="2718"/>
      <c r="AA79" s="2786"/>
      <c r="AG79" s="1372"/>
      <c r="AK79" s="2786"/>
    </row>
    <row r="80" spans="1:37" ht="24.75">
      <c r="A80" s="2868" t="s">
        <v>2941</v>
      </c>
      <c r="B80" s="1809"/>
      <c r="C80" s="1809" t="s">
        <v>2943</v>
      </c>
      <c r="D80" s="1809" t="s">
        <v>2944</v>
      </c>
      <c r="E80" s="819" t="s">
        <v>2945</v>
      </c>
      <c r="F80" s="2869" t="s">
        <v>2961</v>
      </c>
      <c r="G80" s="1809" t="s">
        <v>754</v>
      </c>
      <c r="H80" s="2870" t="s">
        <v>2947</v>
      </c>
      <c r="I80" s="1809" t="s">
        <v>2948</v>
      </c>
      <c r="J80" s="603" t="s">
        <v>2596</v>
      </c>
      <c r="K80" s="603" t="s">
        <v>2597</v>
      </c>
      <c r="L80" s="603" t="s">
        <v>2598</v>
      </c>
      <c r="M80" s="603" t="s">
        <v>2599</v>
      </c>
      <c r="N80" s="603" t="s">
        <v>2600</v>
      </c>
      <c r="Z80" s="2718"/>
      <c r="AA80" s="2786"/>
      <c r="AG80" s="1372"/>
      <c r="AK80" s="2786"/>
    </row>
    <row r="81" spans="1:37" ht="38.25">
      <c r="A81" s="2868" t="s">
        <v>2968</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2950</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2965</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2957</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2958</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2955</v>
      </c>
      <c r="B87" s="2874" t="s">
        <v>2969</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2970</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74" t="s">
        <v>2971</v>
      </c>
      <c r="B90" s="3274"/>
      <c r="C90" s="3274"/>
      <c r="D90" s="3274"/>
      <c r="E90" s="3274"/>
      <c r="F90" s="3274"/>
      <c r="G90" s="3274"/>
      <c r="H90" s="3274"/>
      <c r="I90" s="3274"/>
      <c r="J90" s="3274"/>
      <c r="K90" s="2882"/>
      <c r="L90" s="2882"/>
      <c r="M90" s="2882"/>
      <c r="N90" s="2882"/>
    </row>
    <row r="91" spans="1:37">
      <c r="A91" s="3276" t="s">
        <v>2972</v>
      </c>
      <c r="B91" s="3276" t="s">
        <v>2973</v>
      </c>
      <c r="C91" s="2836" t="s">
        <v>2974</v>
      </c>
      <c r="D91" s="2837"/>
      <c r="E91" s="2837"/>
      <c r="F91" s="2837"/>
      <c r="G91" s="2837"/>
      <c r="H91" s="2837"/>
      <c r="I91" s="2837"/>
      <c r="J91" s="2883"/>
      <c r="K91" s="2884"/>
      <c r="L91" s="2884"/>
      <c r="M91" s="2884"/>
      <c r="N91" s="2884"/>
    </row>
    <row r="92" spans="1:37">
      <c r="A92" s="3276"/>
      <c r="B92" s="327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7"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8"/>
      <c r="B99" s="2885" t="s">
        <v>2856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7" t="s">
        <v>2976</v>
      </c>
      <c r="B101" s="2889" t="s">
        <v>2977</v>
      </c>
      <c r="C101" s="2890">
        <f>$G$3</f>
        <v>1.99</v>
      </c>
      <c r="D101" s="2890">
        <f t="shared" ref="D101:N101" si="31">$G$3</f>
        <v>1.99</v>
      </c>
      <c r="E101" s="2890">
        <f t="shared" si="31"/>
        <v>1.99</v>
      </c>
      <c r="F101" s="2890">
        <f t="shared" si="31"/>
        <v>1.99</v>
      </c>
      <c r="G101" s="2890">
        <f t="shared" si="31"/>
        <v>1.99</v>
      </c>
      <c r="H101" s="2890">
        <f t="shared" si="31"/>
        <v>1.99</v>
      </c>
      <c r="I101" s="2890">
        <f t="shared" si="31"/>
        <v>1.99</v>
      </c>
      <c r="J101" s="2890">
        <f t="shared" si="31"/>
        <v>1.99</v>
      </c>
      <c r="K101" s="2890">
        <f t="shared" si="31"/>
        <v>1.99</v>
      </c>
      <c r="L101" s="2890">
        <f t="shared" si="31"/>
        <v>1.99</v>
      </c>
      <c r="M101" s="2890">
        <f t="shared" si="31"/>
        <v>1.99</v>
      </c>
      <c r="N101" s="2890">
        <f t="shared" si="31"/>
        <v>1.99</v>
      </c>
    </row>
    <row r="102" spans="1:14">
      <c r="A102" s="3278"/>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78"/>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78"/>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78"/>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78"/>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78"/>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78"/>
      <c r="B108" s="3103"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9"/>
      <c r="B109" s="3104"/>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c r="A110" s="3275" t="s">
        <v>2979</v>
      </c>
      <c r="B110" s="3275"/>
      <c r="C110" s="3275"/>
      <c r="D110" s="3275"/>
      <c r="E110" s="3275"/>
      <c r="F110" s="3275"/>
      <c r="G110" s="3275"/>
      <c r="H110" s="3275"/>
      <c r="I110" s="3275"/>
      <c r="J110" s="3275"/>
      <c r="K110" s="2891"/>
      <c r="L110" s="2891"/>
      <c r="M110" s="2891"/>
      <c r="N110" s="2891"/>
    </row>
    <row r="112" spans="1:14" ht="13.5" thickBot="1"/>
    <row r="113" spans="1:13" ht="25.5" thickBot="1">
      <c r="A113" s="903" t="s">
        <v>2980</v>
      </c>
      <c r="B113" s="1287">
        <f>G3</f>
        <v>1.99</v>
      </c>
      <c r="C113" s="904" t="s">
        <v>2981</v>
      </c>
      <c r="D113" s="905">
        <f>SUMPRODUCT((A115:A118=F113)*(B114:M114=H113)*B115:M118)</f>
        <v>0</v>
      </c>
      <c r="E113" s="2722" t="s">
        <v>2813</v>
      </c>
      <c r="F113" s="2893">
        <f>E2</f>
        <v>0</v>
      </c>
      <c r="G113" s="2722" t="s">
        <v>2814</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2878</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2879</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2880</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2881</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0" t="s">
        <v>2994</v>
      </c>
      <c r="B2" s="2901" t="e">
        <f ca="1">SUMIF(B6:B13,"&lt;&gt;#ref!",B6:B13)</f>
        <v>#DIV/0!</v>
      </c>
      <c r="C2" s="2900" t="s">
        <v>2995</v>
      </c>
      <c r="D2" s="2900" t="s">
        <v>2996</v>
      </c>
      <c r="E2" s="2901">
        <f ca="1">SUMIF(E6:E13,"&lt;&gt;#ref!",E6:E13)</f>
        <v>0</v>
      </c>
    </row>
    <row r="3" spans="1:5" ht="15.75">
      <c r="A3" s="2900" t="s">
        <v>2997</v>
      </c>
      <c r="B3" s="2901" t="e">
        <f ca="1">ROUND(B2*10000/E2,0)</f>
        <v>#DIV/0!</v>
      </c>
      <c r="C3" s="2900" t="s">
        <v>3003</v>
      </c>
      <c r="D3" s="2902"/>
      <c r="E3" s="2902"/>
    </row>
    <row r="4" spans="1:5" ht="15.75">
      <c r="A4" s="2903"/>
      <c r="B4" s="2902"/>
      <c r="C4" s="2902"/>
      <c r="D4" s="2902"/>
      <c r="E4" s="2902"/>
    </row>
    <row r="5" spans="1:5" ht="28.5">
      <c r="A5" s="2904" t="s">
        <v>2998</v>
      </c>
      <c r="B5" s="2900" t="s">
        <v>2999</v>
      </c>
      <c r="C5" s="2901"/>
      <c r="D5" s="2902"/>
      <c r="E5" s="2900" t="s">
        <v>3000</v>
      </c>
    </row>
    <row r="6" spans="1:5" ht="15.75">
      <c r="A6" s="2905" t="s">
        <v>3001</v>
      </c>
      <c r="B6" s="2901" t="e">
        <f ca="1">SUMIF(INDIRECT("'"&amp;A6&amp;"'"&amp;"!A:A"),"总价",INDIRECT("'"&amp;A6&amp;"'"&amp;"!B:B"))</f>
        <v>#DIV/0!</v>
      </c>
      <c r="C6" s="2900" t="s">
        <v>2995</v>
      </c>
      <c r="D6" s="2902"/>
      <c r="E6" s="2573">
        <f ca="1">SUMIF(INDIRECT("'"&amp;A6&amp;"'"&amp;"!C:C"),"建筑面积",INDIRECT("'"&amp;A6&amp;"'"&amp;"!D:D"))</f>
        <v>0</v>
      </c>
    </row>
    <row r="7" spans="1:5" ht="15.75">
      <c r="A7" s="2905"/>
      <c r="B7" s="2901" t="e">
        <f ca="1">SUMIF(INDIRECT("'"&amp;A7&amp;"'"&amp;"!A:A"),"总价",INDIRECT("'"&amp;A7&amp;"'"&amp;"!B:B"))</f>
        <v>#REF!</v>
      </c>
      <c r="C7" s="2900" t="s">
        <v>2995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2995</v>
      </c>
      <c r="D8" s="2902"/>
      <c r="E8" s="2573" t="e">
        <f t="shared" ca="1" si="0"/>
        <v>#REF!</v>
      </c>
    </row>
    <row r="9" spans="1:5" ht="15.75">
      <c r="A9" s="2905"/>
      <c r="B9" s="2901" t="e">
        <f t="shared" ca="1" si="1"/>
        <v>#REF!</v>
      </c>
      <c r="C9" s="2900" t="s">
        <v>2995</v>
      </c>
      <c r="D9" s="2902"/>
      <c r="E9" s="2573" t="e">
        <f t="shared" ca="1" si="0"/>
        <v>#REF!</v>
      </c>
    </row>
    <row r="10" spans="1:5" ht="15.75">
      <c r="A10" s="2905"/>
      <c r="B10" s="2901" t="e">
        <f t="shared" ca="1" si="1"/>
        <v>#REF!</v>
      </c>
      <c r="C10" s="2900" t="s">
        <v>2995</v>
      </c>
      <c r="D10" s="2902"/>
      <c r="E10" s="2573" t="e">
        <f t="shared" ca="1" si="0"/>
        <v>#REF!</v>
      </c>
    </row>
    <row r="11" spans="1:5" ht="15.75">
      <c r="A11" s="2905"/>
      <c r="B11" s="2901" t="e">
        <f t="shared" ca="1" si="1"/>
        <v>#REF!</v>
      </c>
      <c r="C11" s="2900" t="s">
        <v>2995</v>
      </c>
      <c r="D11" s="2902"/>
      <c r="E11" s="2573" t="e">
        <f t="shared" ca="1" si="0"/>
        <v>#REF!</v>
      </c>
    </row>
    <row r="12" spans="1:5" ht="15.75">
      <c r="A12" s="2905"/>
      <c r="B12" s="2901" t="e">
        <f t="shared" ca="1" si="1"/>
        <v>#REF!</v>
      </c>
      <c r="C12" s="2900" t="s">
        <v>2995</v>
      </c>
      <c r="D12" s="2902"/>
      <c r="E12" s="2573" t="e">
        <f t="shared" ca="1" si="0"/>
        <v>#REF!</v>
      </c>
    </row>
    <row r="13" spans="1:5" ht="15.75">
      <c r="A13" s="2905"/>
      <c r="B13" s="2901" t="e">
        <f t="shared" ca="1" si="1"/>
        <v>#REF!</v>
      </c>
      <c r="C13" s="2900" t="s">
        <v>2995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1145</v>
      </c>
      <c r="C1" s="3301"/>
      <c r="D1" s="3301"/>
      <c r="E1" s="3301"/>
      <c r="F1" s="3301"/>
      <c r="G1" s="3297" t="s">
        <v>1146</v>
      </c>
      <c r="H1" s="3297"/>
      <c r="I1" s="3297"/>
      <c r="J1" s="3297"/>
      <c r="K1" s="3297"/>
      <c r="L1" s="3297"/>
      <c r="N1" s="3297" t="s">
        <v>1147</v>
      </c>
      <c r="O1" s="3297"/>
      <c r="P1" s="3297"/>
      <c r="Q1" s="3297"/>
      <c r="R1" s="1446"/>
      <c r="S1" s="3297" t="s">
        <v>1148</v>
      </c>
      <c r="T1" s="3297"/>
      <c r="U1" s="3297"/>
      <c r="V1" s="3297"/>
      <c r="X1" s="3296" t="s">
        <v>1149</v>
      </c>
      <c r="Y1" s="3297"/>
      <c r="Z1" s="3297"/>
      <c r="AA1" s="3297"/>
      <c r="AB1" s="3297"/>
      <c r="AD1" s="3296" t="s">
        <v>1150</v>
      </c>
      <c r="AE1" s="3297"/>
      <c r="AF1" s="3297"/>
      <c r="AG1" s="3297"/>
      <c r="AH1" s="329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3037</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9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0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0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0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0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0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0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0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0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0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0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0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0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0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0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0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0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0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8" t="s">
        <v>3005</v>
      </c>
      <c r="D1" s="3309"/>
      <c r="E1" s="3309"/>
      <c r="F1" s="3309"/>
      <c r="G1" s="3309"/>
      <c r="H1" s="3309"/>
      <c r="I1" s="3309"/>
      <c r="J1" s="3309"/>
      <c r="K1" s="3309"/>
      <c r="L1" s="3309"/>
      <c r="M1" s="3309"/>
      <c r="N1" s="3309"/>
      <c r="O1" s="3309"/>
      <c r="P1" s="3309"/>
      <c r="Q1" s="3309"/>
      <c r="R1" s="3309"/>
      <c r="S1" s="331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09" t="s">
        <v>3018</v>
      </c>
      <c r="E20" s="1793"/>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84" t="s">
        <v>33</v>
      </c>
      <c r="D22" s="3085"/>
      <c r="E22" s="3085"/>
      <c r="F22" s="3085"/>
      <c r="G22" s="3085"/>
      <c r="H22" s="3085"/>
      <c r="I22" s="3085"/>
      <c r="J22" s="3085"/>
      <c r="K22" s="3085"/>
      <c r="L22" s="3085"/>
      <c r="M22" s="3085"/>
      <c r="N22" s="3085"/>
      <c r="O22" s="3085"/>
      <c r="P22" s="3085"/>
      <c r="Q22" s="330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估价结果一览表（市场价值不需“结果表-1”）</v>
      </c>
      <c r="B3" s="2984"/>
      <c r="C3" s="2984"/>
      <c r="D3" s="2984"/>
      <c r="E3" s="2984"/>
    </row>
    <row r="4" spans="1:5" ht="19.5" thickBot="1">
      <c r="A4" s="1960"/>
      <c r="B4" s="2982" t="s">
        <v>1624</v>
      </c>
      <c r="C4" s="2982"/>
      <c r="D4" s="2982"/>
      <c r="E4" s="1960"/>
    </row>
    <row r="5" spans="1:5" ht="16.5" thickTop="1">
      <c r="A5" s="1958"/>
      <c r="B5" s="2980" t="s">
        <v>1616</v>
      </c>
      <c r="C5" s="1961" t="s">
        <v>1617</v>
      </c>
      <c r="D5" s="1040">
        <f ca="1">结果表!H101</f>
        <v>417245</v>
      </c>
      <c r="E5" s="1958"/>
    </row>
    <row r="6" spans="1:5" ht="15.75">
      <c r="A6" s="1958"/>
      <c r="B6" s="2980"/>
      <c r="C6" s="1961" t="s">
        <v>1618</v>
      </c>
      <c r="D6" s="1040" t="str">
        <f ca="1">NUMBERSTRING(INT(D5*10000),2)&amp;"元整"</f>
        <v>肆拾壹亿柒仟贰佰肆拾伍万元整</v>
      </c>
      <c r="E6" s="1958"/>
    </row>
    <row r="7" spans="1:5" ht="15.75">
      <c r="A7" s="1958"/>
      <c r="B7" s="2985"/>
      <c r="C7" s="1962" t="s">
        <v>1619</v>
      </c>
      <c r="D7" s="1041" t="e">
        <f ca="1">结果表!H102</f>
        <v>#DIV/0!</v>
      </c>
      <c r="E7" s="1958"/>
    </row>
    <row r="8" spans="1:5" ht="15.75">
      <c r="A8" s="1958"/>
      <c r="B8" s="2986" t="str">
        <f>结果表!E103</f>
        <v>2.估价师知悉的法定优先受偿款</v>
      </c>
      <c r="C8" s="1963" t="s">
        <v>1620</v>
      </c>
      <c r="D8" s="1041">
        <f>结果表!H103</f>
        <v>0</v>
      </c>
      <c r="E8" s="1958"/>
    </row>
    <row r="9" spans="1:5" ht="15.75">
      <c r="A9" s="1958"/>
      <c r="B9" s="298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9" t="str">
        <f>结果表!E107</f>
        <v>3.房地产抵押价值</v>
      </c>
      <c r="C13" s="1966" t="s">
        <v>1617</v>
      </c>
      <c r="D13" s="1043">
        <f ca="1">结果表!H107</f>
        <v>417245</v>
      </c>
      <c r="E13" s="1958"/>
    </row>
    <row r="14" spans="1:5" ht="15.75">
      <c r="A14" s="1958"/>
      <c r="B14" s="2980"/>
      <c r="C14" s="1961" t="s">
        <v>1618</v>
      </c>
      <c r="D14" s="1040" t="str">
        <f ca="1">NUMBERSTRING(INT(D13*10000),2)&amp;"元整"</f>
        <v>肆拾壹亿柒仟贰佰肆拾伍万元整</v>
      </c>
      <c r="E14" s="1958"/>
    </row>
    <row r="15" spans="1:5" ht="15">
      <c r="A15" s="1958"/>
      <c r="B15" s="2985"/>
      <c r="C15" s="1962" t="s">
        <v>1628</v>
      </c>
      <c r="D15" s="1052">
        <f ca="1">结果表!H108</f>
        <v>47975</v>
      </c>
      <c r="E15" s="1958"/>
    </row>
    <row r="16" spans="1:5" ht="15">
      <c r="A16" s="1958"/>
      <c r="B16" s="2986" t="str">
        <f>结果表!E109</f>
        <v>——</v>
      </c>
      <c r="C16" s="1966" t="s">
        <v>1629</v>
      </c>
      <c r="D16" s="1967" t="str">
        <f>结果表!H109</f>
        <v>——</v>
      </c>
      <c r="E16" s="1958"/>
    </row>
    <row r="17" spans="1:5" ht="15.75">
      <c r="A17" s="1958"/>
      <c r="B17" s="2987"/>
      <c r="C17" s="1961" t="s">
        <v>1630</v>
      </c>
      <c r="D17" s="1040" t="e">
        <f>NUMBERSTRING(INT(D16*10000),2)&amp;"元整"</f>
        <v>#VALUE!</v>
      </c>
      <c r="E17" s="1958"/>
    </row>
    <row r="18" spans="1:5" ht="15">
      <c r="A18" s="1958"/>
      <c r="B18" s="2988"/>
      <c r="C18" s="1962" t="s">
        <v>1619</v>
      </c>
      <c r="D18" s="1052" t="str">
        <f>结果表!H110</f>
        <v>——</v>
      </c>
      <c r="E18" s="1958"/>
    </row>
    <row r="19" spans="1:5" ht="15.75">
      <c r="A19" s="1958"/>
      <c r="B19" s="2979" t="str">
        <f>结果表!E111</f>
        <v>——</v>
      </c>
      <c r="C19" s="1966" t="s">
        <v>1617</v>
      </c>
      <c r="D19" s="1041" t="str">
        <f>结果表!H111</f>
        <v>——</v>
      </c>
      <c r="E19" s="1958"/>
    </row>
    <row r="20" spans="1:5" ht="15.75">
      <c r="A20" s="1958"/>
      <c r="B20" s="2980"/>
      <c r="C20" s="1961" t="s">
        <v>1630</v>
      </c>
      <c r="D20" s="1040" t="e">
        <f>NUMBERSTRING(INT(D19*10000),2)&amp;"元整"</f>
        <v>#VALUE!</v>
      </c>
      <c r="E20" s="1958"/>
    </row>
    <row r="21" spans="1:5" ht="15.75" thickBot="1">
      <c r="A21" s="1958"/>
      <c r="B21" s="298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1054</v>
      </c>
      <c r="C25" s="1355" t="e">
        <f ca="1">ROUND(IF('数据-取费表'!B22&lt;=1,C20*F22*'数据-取费表'!B23/2,C20*(POWER((1+F22),'数据-取费表'!B23/2)-1)),0)</f>
        <v>#VALUE!</v>
      </c>
      <c r="D25" s="282"/>
      <c r="E25" s="285"/>
      <c r="F25" s="283"/>
      <c r="G25" s="286" t="s">
        <v>110</v>
      </c>
    </row>
    <row r="26" spans="1:7" s="258" customFormat="1">
      <c r="A26" s="951" t="s">
        <v>795</v>
      </c>
      <c r="B26" s="259" t="s">
        <v>1056</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69" t="s">
        <v>121</v>
      </c>
    </row>
    <row r="43" spans="1:7" ht="13.5" customHeight="1">
      <c r="A43" s="951" t="s">
        <v>792</v>
      </c>
      <c r="B43" s="259" t="s">
        <v>1060</v>
      </c>
      <c r="C43" s="282" t="e">
        <f ca="1">ROUND(IF('数据-取费表'!B22&lt;=1,C39*F22*'数据-取费表'!B21/2,C39*(POWER((1+F22),'数据-取费表'!B21/2)-1)),0)</f>
        <v>#VALUE!</v>
      </c>
      <c r="D43" s="282"/>
      <c r="E43" s="282"/>
      <c r="F43" s="283"/>
      <c r="G43" s="3170"/>
    </row>
    <row r="44" spans="1:7" ht="13.5" customHeight="1">
      <c r="A44" s="951" t="s">
        <v>793</v>
      </c>
      <c r="B44" s="259" t="s">
        <v>1062</v>
      </c>
      <c r="C44" s="282" t="e">
        <f ca="1">ROUND(IF('数据-取费表'!B22&lt;=1,C40*F22*'数据-取费表'!B21/2,C40*(POWER((1+F22),'数据-取费表'!B21/2)-1)),4)</f>
        <v>#VALUE!</v>
      </c>
      <c r="D44" s="282"/>
      <c r="E44" s="282"/>
      <c r="F44" s="283"/>
      <c r="G44" s="3171"/>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867</v>
      </c>
      <c r="B1" s="331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8"/>
  <sheetViews>
    <sheetView topLeftCell="A13" workbookViewId="0">
      <selection activeCell="A54" sqref="A54"/>
    </sheetView>
  </sheetViews>
  <sheetFormatPr defaultRowHeight="13.5"/>
  <sheetData>
    <row r="28" spans="8:8">
      <c r="H28" s="2966" t="s">
        <v>3106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估价结果一览表</v>
      </c>
      <c r="B1" s="2989"/>
      <c r="C1" s="2989"/>
      <c r="D1" s="2989"/>
      <c r="E1" s="2989"/>
      <c r="F1" s="2989"/>
      <c r="G1" s="2989"/>
      <c r="H1" s="2989"/>
      <c r="I1" s="2989"/>
    </row>
    <row r="2" spans="1:9" ht="30" customHeight="1" thickTop="1">
      <c r="A2" s="2990" t="s">
        <v>1635</v>
      </c>
      <c r="B2" s="2990" t="s">
        <v>1636</v>
      </c>
      <c r="C2" s="2990" t="s">
        <v>1637</v>
      </c>
      <c r="D2" s="2990" t="str">
        <f>结果表!D116</f>
        <v>出让国有建设用地使用权价值</v>
      </c>
      <c r="E2" s="2990"/>
      <c r="F2" s="2990" t="str">
        <f>结果表!F116</f>
        <v>在建建筑物价值</v>
      </c>
      <c r="G2" s="2990"/>
      <c r="H2" s="2990" t="str">
        <f>IF(项目基本情况!B9="房地产市场价值","房地产市场价值","房地产价值")</f>
        <v>房地产市场价值</v>
      </c>
      <c r="I2" s="2990"/>
    </row>
    <row r="3" spans="1:9" ht="15">
      <c r="A3" s="2991"/>
      <c r="B3" s="2991"/>
      <c r="C3" s="2991"/>
      <c r="D3" s="1044" t="s">
        <v>1632</v>
      </c>
      <c r="E3" s="1044" t="s">
        <v>1638</v>
      </c>
      <c r="F3" s="1044" t="s">
        <v>1632</v>
      </c>
      <c r="G3" s="1044" t="s">
        <v>1633</v>
      </c>
      <c r="H3" s="1044" t="s">
        <v>1632</v>
      </c>
      <c r="I3" s="1044" t="s">
        <v>1633</v>
      </c>
    </row>
    <row r="4" spans="1:9" ht="60">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417245</v>
      </c>
      <c r="I4" s="1044" t="e">
        <f ca="1">结果表!I118</f>
        <v>#DIV/0!</v>
      </c>
    </row>
    <row r="5" spans="1:9" ht="30" customHeight="1">
      <c r="A5" s="2991" t="s">
        <v>1634</v>
      </c>
      <c r="B5" s="2991"/>
      <c r="C5" s="2991"/>
      <c r="D5" s="2992" t="e">
        <f ca="1">结果表!D119</f>
        <v>#REF!</v>
      </c>
      <c r="E5" s="2992"/>
      <c r="F5" s="2992" t="e">
        <f ca="1">结果表!F119</f>
        <v>#REF!</v>
      </c>
      <c r="G5" s="2992"/>
      <c r="H5" s="2992" t="str">
        <f ca="1">结果表!H119</f>
        <v>肆拾壹亿柒仟贰佰肆拾伍万元整</v>
      </c>
      <c r="I5" s="2992"/>
    </row>
    <row r="6" spans="1:9" ht="15.75">
      <c r="A6" s="2993" t="str">
        <f>结果表!A120</f>
        <v/>
      </c>
      <c r="B6" s="2993"/>
      <c r="C6" s="2993"/>
      <c r="D6" s="2993">
        <f>结果表!D120</f>
        <v>0</v>
      </c>
      <c r="E6" s="2993"/>
      <c r="F6" s="2993"/>
      <c r="G6" s="2993"/>
      <c r="H6" s="2993"/>
      <c r="I6" s="2993"/>
    </row>
    <row r="7" spans="1:9" ht="15">
      <c r="A7" s="2991" t="s">
        <v>1634</v>
      </c>
      <c r="B7" s="2991"/>
      <c r="C7" s="2991"/>
      <c r="D7" s="2994" t="str">
        <f>结果表!D121</f>
        <v>零元整</v>
      </c>
      <c r="E7" s="2995"/>
      <c r="F7" s="2995"/>
      <c r="G7" s="2995"/>
      <c r="H7" s="2995"/>
      <c r="I7" s="2996"/>
    </row>
    <row r="8" spans="1:9" ht="15.75">
      <c r="A8" s="2993" t="str">
        <f>结果表!A122</f>
        <v/>
      </c>
      <c r="B8" s="2993"/>
      <c r="C8" s="2993"/>
      <c r="D8" s="2993">
        <f ca="1">结果表!D122</f>
        <v>417245</v>
      </c>
      <c r="E8" s="2993"/>
      <c r="F8" s="2993"/>
      <c r="G8" s="2993"/>
      <c r="H8" s="2993"/>
      <c r="I8" s="2993"/>
    </row>
    <row r="9" spans="1:9" ht="15">
      <c r="A9" s="2991" t="s">
        <v>1634</v>
      </c>
      <c r="B9" s="2991"/>
      <c r="C9" s="2991"/>
      <c r="D9" s="2992" t="str">
        <f ca="1">结果表!D123</f>
        <v>肆拾壹亿柒仟贰佰肆拾伍万元整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1634</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1634</v>
      </c>
      <c r="B13" s="2997"/>
      <c r="C13" s="2997"/>
      <c r="D13" s="2998" t="e">
        <f>结果表!D127</f>
        <v>#VALUE!</v>
      </c>
      <c r="E13" s="2998"/>
      <c r="F13" s="2998"/>
      <c r="G13" s="2998"/>
      <c r="H13" s="2998"/>
      <c r="I13" s="2998"/>
    </row>
    <row r="14" spans="1:9" ht="15" thickTop="1">
      <c r="A14" s="2999" t="s">
        <v>1639</v>
      </c>
      <c r="B14" s="2999"/>
      <c r="C14" s="2999"/>
      <c r="D14" s="2999"/>
      <c r="E14" s="2999"/>
      <c r="F14" s="2999"/>
      <c r="G14" s="2999"/>
      <c r="H14" s="2999"/>
      <c r="I14" s="299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0" t="s">
        <v>1656</v>
      </c>
      <c r="B1" s="3000"/>
      <c r="C1" s="3000"/>
      <c r="D1" s="3000"/>
    </row>
    <row r="2" spans="1:4" ht="18">
      <c r="A2" s="3001" t="s">
        <v>1640</v>
      </c>
      <c r="B2" s="3001"/>
      <c r="C2" s="3001"/>
      <c r="D2" s="3001"/>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01" t="s">
        <v>1646</v>
      </c>
      <c r="B6" s="3001"/>
      <c r="C6" s="3001"/>
      <c r="D6" s="300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2" t="s">
        <v>1649</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4"/>
      <c r="C12" s="3004"/>
      <c r="D12" s="3004"/>
    </row>
    <row r="13" spans="1:4" ht="30" customHeight="1">
      <c r="A13" s="3003" t="str">
        <f>IF(项目基本情况!B8="抵押","3.抵押双方在办理抵押登记手续时，应使用本公司出具的正式《房地产评估报告》，特提醒报告使用者注意。","——")</f>
        <v>——</v>
      </c>
      <c r="B13" s="3004"/>
      <c r="C13" s="3004"/>
      <c r="D13" s="3004"/>
    </row>
    <row r="14" spans="1:4" ht="15.75" customHeight="1">
      <c r="A14" s="3003" t="str">
        <f>IF(项目基本情况!B8="抵押","4.本次评估估价师所知悉的法定优先受偿款情况说明如下：","——")</f>
        <v>——</v>
      </c>
      <c r="B14" s="3004"/>
      <c r="C14" s="3004"/>
      <c r="D14" s="3004"/>
    </row>
    <row r="15" spans="1:4" ht="42" customHeight="1">
      <c r="A15" s="3003" t="str">
        <f>IF(项目基本情况!B8="抵押","（1）"&amp;CONCATENATE(项目基本情况!L20,项目基本情况!L21,项目基本情况!L22),"——")</f>
        <v>——</v>
      </c>
      <c r="B15" s="3003"/>
      <c r="C15" s="3003"/>
      <c r="D15" s="3003"/>
    </row>
    <row r="16" spans="1:4" ht="30" customHeight="1">
      <c r="A16" s="3006" t="s">
        <v>1650</v>
      </c>
      <c r="B16" s="3006"/>
      <c r="C16" s="3006"/>
      <c r="D16" s="3006"/>
    </row>
    <row r="17" spans="1:4" ht="144" customHeight="1">
      <c r="A17" s="3006" t="s">
        <v>1651</v>
      </c>
      <c r="B17" s="3006"/>
      <c r="C17" s="3006"/>
      <c r="D17" s="3006"/>
    </row>
    <row r="18" spans="1:4" ht="15.75" customHeight="1">
      <c r="A18" s="3003" t="str">
        <f>IF(项目基本情况!B8="抵押",结果表!K120,"——")</f>
        <v>——</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1652</v>
      </c>
      <c r="B22" s="3008"/>
      <c r="C22" s="3008"/>
      <c r="D22" s="300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4" t="s">
        <v>1663</v>
      </c>
      <c r="B15" s="3009" t="s">
        <v>136</v>
      </c>
      <c r="C15" s="3010"/>
    </row>
    <row r="16" spans="1:7" ht="13.5">
      <c r="A16" s="3015"/>
      <c r="B16" s="3009" t="s">
        <v>69</v>
      </c>
      <c r="C16" s="3010"/>
    </row>
    <row r="17" spans="1:3" ht="13.5">
      <c r="A17" s="3015"/>
      <c r="B17" s="3012" t="s">
        <v>1664</v>
      </c>
      <c r="C17" s="1999" t="s">
        <v>1663</v>
      </c>
    </row>
    <row r="18" spans="1:3" ht="13.5">
      <c r="A18" s="3015"/>
      <c r="B18" s="3012"/>
      <c r="C18" s="1999" t="s">
        <v>1665</v>
      </c>
    </row>
    <row r="19" spans="1:3" ht="13.5">
      <c r="A19" s="3015"/>
      <c r="B19" s="3012"/>
      <c r="C19" s="1999" t="s">
        <v>1666</v>
      </c>
    </row>
    <row r="20" spans="1:3" ht="13.5">
      <c r="A20" s="3016"/>
      <c r="B20" s="3011" t="s">
        <v>1667</v>
      </c>
      <c r="C20" s="3010"/>
    </row>
    <row r="21" spans="1:3" ht="13.5">
      <c r="A21" s="2000" t="s">
        <v>1668</v>
      </c>
      <c r="B21" s="2001"/>
      <c r="C21" s="2002"/>
    </row>
    <row r="22" spans="1:3" ht="13.5">
      <c r="A22" s="3013" t="s">
        <v>1669</v>
      </c>
      <c r="B22" s="3011" t="s">
        <v>1670</v>
      </c>
      <c r="C22" s="3010"/>
    </row>
    <row r="23" spans="1:3" ht="13.5">
      <c r="A23" s="3013"/>
      <c r="B23" s="3011" t="s">
        <v>1671</v>
      </c>
      <c r="C23" s="3010"/>
    </row>
    <row r="24" spans="1:3" ht="13.5">
      <c r="A24" s="3013"/>
      <c r="B24" s="3011" t="s">
        <v>1672</v>
      </c>
      <c r="C24" s="3010"/>
    </row>
    <row r="25" spans="1:3" ht="13.5">
      <c r="A25" s="3013"/>
      <c r="B25" s="3012" t="s">
        <v>1673</v>
      </c>
      <c r="C25" s="1999" t="s">
        <v>1674</v>
      </c>
    </row>
    <row r="26" spans="1:3" ht="13.5">
      <c r="A26" s="3013"/>
      <c r="B26" s="3012"/>
      <c r="C26" s="1999" t="s">
        <v>1675</v>
      </c>
    </row>
    <row r="27" spans="1:3" ht="13.5">
      <c r="A27" s="3013"/>
      <c r="B27" s="3012"/>
      <c r="C27" s="1999" t="s">
        <v>1676</v>
      </c>
    </row>
    <row r="28" spans="1:3" ht="13.5">
      <c r="A28" s="3013"/>
      <c r="B28" s="3012"/>
      <c r="C28" s="1999" t="s">
        <v>1677</v>
      </c>
    </row>
    <row r="29" spans="1:3" ht="13.5">
      <c r="A29" s="3013"/>
      <c r="B29" s="3012"/>
      <c r="C29" s="1999" t="s">
        <v>1678</v>
      </c>
    </row>
    <row r="30" spans="1:3" ht="13.5">
      <c r="A30" s="3013"/>
      <c r="B30" s="3012"/>
      <c r="C30" s="1999" t="s">
        <v>1679</v>
      </c>
    </row>
    <row r="31" spans="1:3" ht="13.5">
      <c r="A31" s="3013"/>
      <c r="B31" s="3012"/>
      <c r="C31" s="1999" t="s">
        <v>1680</v>
      </c>
    </row>
    <row r="32" spans="1:3" ht="13.5">
      <c r="A32" s="3013"/>
      <c r="B32" s="3012"/>
      <c r="C32" s="1999" t="s">
        <v>1681</v>
      </c>
    </row>
    <row r="33" spans="1:3" ht="13.5">
      <c r="A33" s="3013"/>
      <c r="B33" s="301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43880</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3045</v>
      </c>
      <c r="B14" s="1022">
        <f ca="1">IF(C14&lt;B2,"已过期",1120040230)</f>
        <v>1120040230</v>
      </c>
      <c r="C14" s="2346">
        <v>44864</v>
      </c>
      <c r="D14" s="2349" t="s">
        <v>3045</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3052</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17" t="s">
        <v>842</v>
      </c>
      <c r="B25" s="3017"/>
      <c r="C25" s="3017"/>
      <c r="D25" s="3017"/>
      <c r="E25" s="3017"/>
      <c r="F25" s="3017"/>
      <c r="G25" s="3017"/>
    </row>
    <row r="26" spans="1:7" s="1025" customFormat="1" ht="24" customHeight="1">
      <c r="A26" s="3018" t="s">
        <v>843</v>
      </c>
      <c r="B26" s="3018"/>
      <c r="C26" s="3019"/>
      <c r="D26" s="3020" t="s">
        <v>844</v>
      </c>
      <c r="E26" s="3018"/>
      <c r="F26" s="3018"/>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cp:lastModifiedBy>
  <cp:lastPrinted>2017-03-01T09:15:43Z</cp:lastPrinted>
  <dcterms:created xsi:type="dcterms:W3CDTF">2015-07-13T07:17:23Z</dcterms:created>
  <dcterms:modified xsi:type="dcterms:W3CDTF">2020-02-19T08:45:55Z</dcterms:modified>
</cp:coreProperties>
</file>