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询价\南口镇前洼村-武哥\"/>
    </mc:Choice>
  </mc:AlternateContent>
  <xr:revisionPtr revIDLastSave="0" documentId="13_ncr:1_{DB1EE6D5-CD7F-4D43-A976-C19AC4281E4E}" xr6:coauthVersionLast="47" xr6:coauthVersionMax="47" xr10:uidLastSave="{00000000-0000-0000-0000-000000000000}"/>
  <bookViews>
    <workbookView xWindow="-108" yWindow="-108" windowWidth="23256" windowHeight="12576"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表" sheetId="9" r:id="rId19"/>
    <sheet name="比较法-商业" sheetId="33" state="hidden" r:id="rId20"/>
    <sheet name="基准地价修正" sheetId="43"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工业" sheetId="40" state="hidden" r:id="rId31"/>
    <sheet name="基准地价（汇总）" sheetId="76" state="hidden"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1">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3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4">'[2]数据-汇总表'!$C$17:$C$26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33" i="43" l="1"/>
  <c r="N6" i="1"/>
  <c r="W22" i="1"/>
  <c r="W21" i="1"/>
  <c r="U21" i="1"/>
  <c r="U20" i="1" l="1"/>
  <c r="U3" i="43"/>
  <c r="U2" i="43"/>
  <c r="I47" i="33"/>
  <c r="G47" i="33"/>
  <c r="J49" i="15"/>
  <c r="D42" i="43"/>
  <c r="D4" i="31" l="1"/>
  <c r="E4" i="31" s="1"/>
  <c r="F4" i="31" s="1"/>
  <c r="B24" i="31"/>
  <c r="B25" i="31" s="1"/>
  <c r="A25" i="31"/>
  <c r="A24" i="31"/>
  <c r="F105" i="34" l="1"/>
  <c r="G105" i="34" s="1"/>
  <c r="D105" i="34"/>
  <c r="C105" i="34" s="1"/>
  <c r="I67" i="34"/>
  <c r="H67" i="34" s="1"/>
  <c r="G67" i="34" s="1"/>
  <c r="F67" i="34" s="1"/>
  <c r="E67" i="34" s="1"/>
  <c r="D67" i="34" s="1"/>
  <c r="C67" i="34" s="1"/>
  <c r="J49" i="67" l="1"/>
  <c r="B21" i="1" l="1"/>
  <c r="N19" i="1"/>
  <c r="C60" i="78"/>
  <c r="D60" i="78" s="1"/>
  <c r="D53" i="78"/>
  <c r="D52" i="78"/>
  <c r="B51" i="78"/>
  <c r="B56" i="78" s="1"/>
  <c r="N21" i="1" l="1"/>
  <c r="C37" i="34"/>
  <c r="D51" i="78"/>
  <c r="B55" i="78"/>
  <c r="D55" i="78" s="1"/>
  <c r="C51" i="78"/>
  <c r="C56" i="78" s="1"/>
  <c r="C58" i="78" s="1"/>
  <c r="B62" i="78"/>
  <c r="B54" i="78"/>
  <c r="D54" i="78" s="1"/>
  <c r="D56" i="78" s="1"/>
  <c r="Y6" i="1" l="1"/>
  <c r="I37" i="34"/>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D29" i="71"/>
  <c r="O28" i="71"/>
  <c r="C28" i="71" s="1"/>
  <c r="N28" i="71"/>
  <c r="B28" i="71" s="1"/>
  <c r="B27" i="71" s="1"/>
  <c r="B26" i="71" s="1"/>
  <c r="B30" i="71"/>
  <c r="B31" i="71" s="1"/>
  <c r="B32" i="71" s="1"/>
  <c r="S32" i="71" s="1"/>
  <c r="B39" i="71"/>
  <c r="B40" i="71" s="1"/>
  <c r="S40" i="71" s="1"/>
  <c r="E34" i="71"/>
  <c r="E35" i="71" s="1"/>
  <c r="AA30" i="71"/>
  <c r="P28" i="71"/>
  <c r="E28" i="71" s="1"/>
  <c r="U68" i="71"/>
  <c r="E67" i="71"/>
  <c r="P67" i="71" s="1"/>
  <c r="Q28" i="71"/>
  <c r="C63" i="71"/>
  <c r="C64" i="71" s="1"/>
  <c r="D62" i="7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R47" i="31"/>
  <c r="S47" i="31" s="1"/>
  <c r="R48" i="31"/>
  <c r="S48" i="31" s="1"/>
  <c r="R49" i="31"/>
  <c r="R50" i="31"/>
  <c r="S50" i="31" s="1"/>
  <c r="R51" i="31"/>
  <c r="S51" i="31" s="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8" i="31"/>
  <c r="S330" i="31"/>
  <c r="S274" i="31"/>
  <c r="S253" i="31"/>
  <c r="S249" i="31"/>
  <c r="S245" i="31"/>
  <c r="S241" i="31"/>
  <c r="S237" i="31"/>
  <c r="S233" i="31"/>
  <c r="S229" i="31"/>
  <c r="S225" i="31"/>
  <c r="S429" i="31"/>
  <c r="S425" i="31"/>
  <c r="S221" i="31"/>
  <c r="S217" i="31"/>
  <c r="S213" i="31"/>
  <c r="S209" i="31"/>
  <c r="S205" i="31"/>
  <c r="S202" i="31"/>
  <c r="S201" i="31"/>
  <c r="S197" i="31"/>
  <c r="S193" i="31"/>
  <c r="S189" i="31"/>
  <c r="S185" i="31"/>
  <c r="S181" i="31"/>
  <c r="S177" i="31"/>
  <c r="S173" i="31"/>
  <c r="S169" i="31"/>
  <c r="S165" i="31"/>
  <c r="S162"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4" i="31"/>
  <c r="S53" i="31"/>
  <c r="S49" i="31"/>
  <c r="S46" i="31"/>
  <c r="S45" i="31"/>
  <c r="S41" i="31"/>
  <c r="S37" i="31"/>
  <c r="S33" i="31"/>
  <c r="S77" i="31"/>
  <c r="S73" i="31"/>
  <c r="S69" i="31"/>
  <c r="S65" i="31"/>
  <c r="S61" i="31"/>
  <c r="S57" i="31"/>
  <c r="S97" i="31"/>
  <c r="S93" i="31"/>
  <c r="S89" i="31"/>
  <c r="S85" i="31"/>
  <c r="S81" i="31"/>
  <c r="S29" i="31"/>
  <c r="S98" i="31"/>
  <c r="S101" i="31"/>
  <c r="S105" i="31"/>
  <c r="S106" i="31"/>
  <c r="S109" i="31"/>
  <c r="S445"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E114" i="34" s="1"/>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H13" i="40" s="1"/>
  <c r="U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AB14" i="39" s="1"/>
  <c r="B83" i="39"/>
  <c r="H13" i="39" s="1"/>
  <c r="U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B75" i="35"/>
  <c r="J24" i="35" s="1"/>
  <c r="AC24" i="35" s="1"/>
  <c r="B73" i="35"/>
  <c r="B57" i="35"/>
  <c r="F11" i="35" s="1"/>
  <c r="S11" i="35" s="1"/>
  <c r="B61" i="35"/>
  <c r="H13" i="35" s="1"/>
  <c r="U13" i="35" s="1"/>
  <c r="B59" i="35"/>
  <c r="F12" i="35" s="1"/>
  <c r="B131" i="34"/>
  <c r="F47" i="34" s="1"/>
  <c r="B129" i="34"/>
  <c r="F46" i="34" s="1"/>
  <c r="S46" i="34" s="1"/>
  <c r="B127" i="34"/>
  <c r="H45" i="34" s="1"/>
  <c r="U45" i="34" s="1"/>
  <c r="B99" i="34"/>
  <c r="F32" i="34" s="1"/>
  <c r="B97" i="34"/>
  <c r="J31" i="34" s="1"/>
  <c r="B95" i="34"/>
  <c r="J30" i="34" s="1"/>
  <c r="B93" i="34"/>
  <c r="F29" i="34" s="1"/>
  <c r="S29" i="34" s="1"/>
  <c r="B75" i="34"/>
  <c r="F14" i="34" s="1"/>
  <c r="B73" i="34"/>
  <c r="F13" i="34" s="1"/>
  <c r="B71" i="34"/>
  <c r="J12" i="34" s="1"/>
  <c r="W12" i="34" s="1"/>
  <c r="B130" i="33"/>
  <c r="F46" i="33" s="1"/>
  <c r="AA46" i="33" s="1"/>
  <c r="B128" i="33"/>
  <c r="J45" i="33" s="1"/>
  <c r="W45" i="33" s="1"/>
  <c r="B126" i="33"/>
  <c r="J44" i="33" s="1"/>
  <c r="B98" i="33"/>
  <c r="J31" i="33" s="1"/>
  <c r="B96" i="33"/>
  <c r="F30" i="33" s="1"/>
  <c r="B94" i="33"/>
  <c r="B74" i="33"/>
  <c r="F14" i="33" s="1"/>
  <c r="S14" i="33" s="1"/>
  <c r="B72" i="33"/>
  <c r="F13" i="33" s="1"/>
  <c r="AA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F30" i="21" s="1"/>
  <c r="S30" i="21" s="1"/>
  <c r="B94" i="21"/>
  <c r="J29" i="21" s="1"/>
  <c r="AC29" i="21" s="1"/>
  <c r="B92" i="2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29" i="36"/>
  <c r="AA29" i="36" s="1"/>
  <c r="F16" i="36"/>
  <c r="AA16" i="36" s="1"/>
  <c r="U31" i="36"/>
  <c r="H22" i="35"/>
  <c r="AB22" i="35" s="1"/>
  <c r="S31" i="35"/>
  <c r="F36" i="34"/>
  <c r="S36" i="34" s="1"/>
  <c r="J35" i="34"/>
  <c r="H39" i="33"/>
  <c r="AB39" i="33" s="1"/>
  <c r="S40" i="33"/>
  <c r="F11" i="40"/>
  <c r="AA11" i="40" s="1"/>
  <c r="H11" i="40"/>
  <c r="AB11" i="40" s="1"/>
  <c r="AA9"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U34" i="21"/>
  <c r="H11" i="39"/>
  <c r="U11" i="39" s="1"/>
  <c r="H32" i="33"/>
  <c r="AB32" i="33" s="1"/>
  <c r="H11" i="21"/>
  <c r="U11" i="21" s="1"/>
  <c r="J11" i="21"/>
  <c r="W11" i="21" s="1"/>
  <c r="H37" i="40"/>
  <c r="U37" i="40" s="1"/>
  <c r="H36" i="40"/>
  <c r="AB36" i="40" s="1"/>
  <c r="F35" i="40"/>
  <c r="AA35" i="40" s="1"/>
  <c r="H23" i="40"/>
  <c r="AB23" i="40" s="1"/>
  <c r="H17" i="40"/>
  <c r="U17" i="40" s="1"/>
  <c r="J15" i="40"/>
  <c r="W15" i="40" s="1"/>
  <c r="J11" i="40"/>
  <c r="W11" i="40" s="1"/>
  <c r="AC12" i="34"/>
  <c r="S44" i="39"/>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F24" i="36"/>
  <c r="AA24" i="36" s="1"/>
  <c r="F14" i="35"/>
  <c r="AA14" i="35"/>
  <c r="J32" i="35"/>
  <c r="AC32" i="35" s="1"/>
  <c r="J16" i="35"/>
  <c r="W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19" i="34"/>
  <c r="AA19" i="34" s="1"/>
  <c r="H17" i="34"/>
  <c r="AB17" i="34" s="1"/>
  <c r="F15" i="34"/>
  <c r="AA15" i="34" s="1"/>
  <c r="F41" i="33"/>
  <c r="S41" i="33" s="1"/>
  <c r="S38" i="33"/>
  <c r="F32" i="33"/>
  <c r="AA32" i="33"/>
  <c r="J19" i="33"/>
  <c r="AC19" i="33" s="1"/>
  <c r="J15" i="33"/>
  <c r="AC15" i="33" s="1"/>
  <c r="F11" i="33"/>
  <c r="AA11" i="33" s="1"/>
  <c r="U40" i="33"/>
  <c r="W40" i="33"/>
  <c r="F37" i="40"/>
  <c r="AA37" i="40"/>
  <c r="F36" i="40"/>
  <c r="AA36" i="40" s="1"/>
  <c r="H28" i="40"/>
  <c r="U28" i="40"/>
  <c r="F23" i="40"/>
  <c r="AA23" i="40" s="1"/>
  <c r="F17" i="40"/>
  <c r="AA17" i="40" s="1"/>
  <c r="J17" i="40"/>
  <c r="F15" i="40"/>
  <c r="S15" i="40" s="1"/>
  <c r="H15" i="40"/>
  <c r="U15" i="40" s="1"/>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AC36" i="34" s="1"/>
  <c r="H37" i="34"/>
  <c r="U37" i="34" s="1"/>
  <c r="H25" i="34"/>
  <c r="AB25" i="34" s="1"/>
  <c r="F23" i="34"/>
  <c r="AA23" i="34" s="1"/>
  <c r="J19" i="34"/>
  <c r="AC19" i="34" s="1"/>
  <c r="F17" i="34"/>
  <c r="AA17" i="34" s="1"/>
  <c r="G113" i="33"/>
  <c r="H113" i="33" s="1"/>
  <c r="I113" i="33" s="1"/>
  <c r="J113" i="33" s="1"/>
  <c r="K113" i="33" s="1"/>
  <c r="L113" i="33" s="1"/>
  <c r="M113" i="33" s="1"/>
  <c r="H37" i="33"/>
  <c r="AB37" i="33"/>
  <c r="H15" i="33"/>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F14" i="21"/>
  <c r="H14" i="21"/>
  <c r="H28" i="21"/>
  <c r="AB28" i="21" s="1"/>
  <c r="F28" i="21"/>
  <c r="AA28" i="21" s="1"/>
  <c r="J28" i="21"/>
  <c r="H30" i="21"/>
  <c r="J30" i="21"/>
  <c r="AC30" i="21" s="1"/>
  <c r="J44" i="21"/>
  <c r="H44" i="21"/>
  <c r="U44" i="21"/>
  <c r="F44" i="21"/>
  <c r="H46" i="21"/>
  <c r="U46" i="21" s="1"/>
  <c r="J46" i="21"/>
  <c r="F46" i="21"/>
  <c r="AA46" i="21" s="1"/>
  <c r="E119" i="21"/>
  <c r="F119" i="21" s="1"/>
  <c r="G119" i="21" s="1"/>
  <c r="H119" i="21" s="1"/>
  <c r="I119" i="21" s="1"/>
  <c r="J119" i="21" s="1"/>
  <c r="K119" i="21" s="1"/>
  <c r="L119" i="21" s="1"/>
  <c r="M119" i="21" s="1"/>
  <c r="H26" i="33"/>
  <c r="U26"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J13" i="33"/>
  <c r="AC13" i="33" s="1"/>
  <c r="H13" i="33"/>
  <c r="U13" i="33" s="1"/>
  <c r="J29" i="33"/>
  <c r="H29" i="33"/>
  <c r="U29" i="33" s="1"/>
  <c r="F29" i="33"/>
  <c r="H31" i="33"/>
  <c r="F31" i="33"/>
  <c r="AA31" i="33" s="1"/>
  <c r="H45" i="33"/>
  <c r="AB45" i="33" s="1"/>
  <c r="U45" i="33"/>
  <c r="F45" i="33"/>
  <c r="AA45" i="33" s="1"/>
  <c r="J14" i="34"/>
  <c r="W14" i="34" s="1"/>
  <c r="S14" i="34"/>
  <c r="H14" i="34"/>
  <c r="U14" i="34" s="1"/>
  <c r="H30" i="34"/>
  <c r="AB30" i="34" s="1"/>
  <c r="F30" i="34"/>
  <c r="S30" i="34" s="1"/>
  <c r="H32" i="34"/>
  <c r="J32" i="34"/>
  <c r="W32" i="34" s="1"/>
  <c r="H46" i="34"/>
  <c r="H11" i="35"/>
  <c r="AB11" i="35" s="1"/>
  <c r="J11" i="35"/>
  <c r="J26" i="36"/>
  <c r="W26" i="36"/>
  <c r="H28" i="36"/>
  <c r="H32" i="36"/>
  <c r="AB32" i="36" s="1"/>
  <c r="J11" i="36"/>
  <c r="AC11" i="36" s="1"/>
  <c r="F11" i="36"/>
  <c r="AA11" i="36" s="1"/>
  <c r="F13" i="36"/>
  <c r="S13" i="36" s="1"/>
  <c r="E89" i="37"/>
  <c r="F89" i="37" s="1"/>
  <c r="G89" i="37" s="1"/>
  <c r="H89" i="37" s="1"/>
  <c r="I89" i="37" s="1"/>
  <c r="J89" i="37"/>
  <c r="K89" i="37" s="1"/>
  <c r="L89" i="37" s="1"/>
  <c r="M89" i="37" s="1"/>
  <c r="J29" i="37"/>
  <c r="F29" i="37"/>
  <c r="S29" i="37" s="1"/>
  <c r="F105" i="37"/>
  <c r="G105" i="37" s="1"/>
  <c r="H36" i="37"/>
  <c r="U36" i="37" s="1"/>
  <c r="J37" i="37"/>
  <c r="H37" i="37"/>
  <c r="U37" i="37" s="1"/>
  <c r="F40" i="37"/>
  <c r="AA40" i="37" s="1"/>
  <c r="H14" i="33"/>
  <c r="U14" i="33" s="1"/>
  <c r="F44" i="33"/>
  <c r="S44" i="33" s="1"/>
  <c r="H46" i="33"/>
  <c r="J29" i="34"/>
  <c r="AC29" i="34" s="1"/>
  <c r="H29" i="34"/>
  <c r="AB29" i="34" s="1"/>
  <c r="H31" i="34"/>
  <c r="F45" i="34"/>
  <c r="S45" i="34" s="1"/>
  <c r="J13" i="35"/>
  <c r="AC13" i="35" s="1"/>
  <c r="J25" i="35"/>
  <c r="F25" i="35"/>
  <c r="S25" i="35" s="1"/>
  <c r="H25" i="35"/>
  <c r="AB25" i="35" s="1"/>
  <c r="J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2" i="40"/>
  <c r="AB12" i="40" s="1"/>
  <c r="H30" i="40"/>
  <c r="F33" i="40"/>
  <c r="AA33" i="40" s="1"/>
  <c r="H33" i="40"/>
  <c r="U33" i="40" s="1"/>
  <c r="J35" i="40"/>
  <c r="AC35" i="40" s="1"/>
  <c r="J37" i="40"/>
  <c r="AC37" i="40" s="1"/>
  <c r="J13" i="40"/>
  <c r="F13" i="40"/>
  <c r="AA13" i="40" s="1"/>
  <c r="J13" i="39"/>
  <c r="W13" i="39" s="1"/>
  <c r="F14" i="40"/>
  <c r="AA14" i="40" s="1"/>
  <c r="J14" i="37"/>
  <c r="J27" i="37"/>
  <c r="AC27" i="37" s="1"/>
  <c r="J36" i="37"/>
  <c r="AC36" i="37"/>
  <c r="J10" i="36"/>
  <c r="AC10" i="36" s="1"/>
  <c r="AA14" i="34"/>
  <c r="S45" i="33"/>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499" i="3"/>
  <c r="G497" i="3"/>
  <c r="BQ507" i="3"/>
  <c r="BQ505" i="3"/>
  <c r="BQ503" i="3"/>
  <c r="BQ501" i="3"/>
  <c r="BQ499" i="3"/>
  <c r="BQ497" i="3"/>
  <c r="BQ495" i="3"/>
  <c r="BQ493" i="3"/>
  <c r="S505"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J32" i="37"/>
  <c r="AC32" i="37" s="1"/>
  <c r="F36" i="37"/>
  <c r="AA36" i="37" s="1"/>
  <c r="F37" i="37"/>
  <c r="AA37" i="37" s="1"/>
  <c r="H32" i="40"/>
  <c r="AB32" i="40" s="1"/>
  <c r="J36" i="40"/>
  <c r="W36" i="40" s="1"/>
  <c r="H19" i="37"/>
  <c r="F123" i="33"/>
  <c r="G123" i="33" s="1"/>
  <c r="H123" i="33" s="1"/>
  <c r="I123" i="33" s="1"/>
  <c r="J123" i="33" s="1"/>
  <c r="K123" i="33" s="1"/>
  <c r="L123" i="33" s="1"/>
  <c r="M123" i="33" s="1"/>
  <c r="H42" i="33"/>
  <c r="AB42" i="33" s="1"/>
  <c r="J43" i="33"/>
  <c r="AC43" i="33" s="1"/>
  <c r="U26" i="37"/>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H19" i="40"/>
  <c r="U19" i="40" s="1"/>
  <c r="F19" i="40"/>
  <c r="S19" i="40" s="1"/>
  <c r="S14"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G548" i="3"/>
  <c r="G520" i="3"/>
  <c r="BI5" i="3"/>
  <c r="G17" i="3"/>
  <c r="BA17" i="3"/>
  <c r="BA15" i="3"/>
  <c r="AZ392" i="3"/>
  <c r="U36" i="40"/>
  <c r="F83" i="43"/>
  <c r="H85" i="43" s="1"/>
  <c r="F50" i="43"/>
  <c r="H54" i="43" s="1"/>
  <c r="F72" i="43"/>
  <c r="H75" i="43" s="1"/>
  <c r="S14" i="35"/>
  <c r="U35" i="21"/>
  <c r="AC35" i="21"/>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12" i="1"/>
  <c r="E12" i="1" s="1"/>
  <c r="B10" i="1"/>
  <c r="E10" i="1" s="1"/>
  <c r="K12" i="1"/>
  <c r="M12" i="1" s="1"/>
  <c r="S13" i="1"/>
  <c r="AR13" i="1" s="1"/>
  <c r="R13" i="1"/>
  <c r="B41" i="1"/>
  <c r="F48" i="9" s="1"/>
  <c r="O52" i="9" s="1"/>
  <c r="AB37" i="40"/>
  <c r="S35" i="40"/>
  <c r="W38" i="40"/>
  <c r="S17" i="40"/>
  <c r="S23" i="40"/>
  <c r="AC15" i="40"/>
  <c r="AB27"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C26" i="36"/>
  <c r="AA22" i="36"/>
  <c r="W14" i="36"/>
  <c r="U22" i="36"/>
  <c r="S16" i="36"/>
  <c r="AA25" i="36"/>
  <c r="S24" i="36"/>
  <c r="AA25" i="35"/>
  <c r="W24" i="35"/>
  <c r="AB13" i="35"/>
  <c r="U28" i="35"/>
  <c r="AB27" i="35"/>
  <c r="U32" i="35"/>
  <c r="AC30" i="35"/>
  <c r="S32" i="35"/>
  <c r="S28" i="35"/>
  <c r="U22" i="35"/>
  <c r="S22" i="35"/>
  <c r="U14" i="35"/>
  <c r="AA11" i="35"/>
  <c r="AC9" i="35"/>
  <c r="W9" i="35"/>
  <c r="AC12" i="35"/>
  <c r="W13" i="35"/>
  <c r="F9" i="35"/>
  <c r="S9" i="35" s="1"/>
  <c r="H9" i="35"/>
  <c r="U9" i="35" s="1"/>
  <c r="AB40" i="37"/>
  <c r="W27" i="37"/>
  <c r="U29" i="37"/>
  <c r="S32" i="37"/>
  <c r="AB31" i="37"/>
  <c r="W30" i="37"/>
  <c r="AA38" i="37"/>
  <c r="U32" i="37"/>
  <c r="W38" i="37"/>
  <c r="AC35" i="37"/>
  <c r="S30" i="37"/>
  <c r="S37"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BL17" i="3"/>
  <c r="J56" i="9"/>
  <c r="J57" i="9" s="1"/>
  <c r="J59" i="9" s="1"/>
  <c r="J61" i="9" s="1"/>
  <c r="E32" i="6"/>
  <c r="E19" i="69"/>
  <c r="C6" i="43"/>
  <c r="B19" i="53"/>
  <c r="B37" i="72" s="1"/>
  <c r="L20" i="6"/>
  <c r="K11" i="1"/>
  <c r="M11" i="1" s="1"/>
  <c r="O11" i="1" s="1"/>
  <c r="B9" i="1"/>
  <c r="E9" i="1" s="1"/>
  <c r="W23" i="40"/>
  <c r="U32" i="40"/>
  <c r="S37" i="40"/>
  <c r="AB28" i="40"/>
  <c r="W28" i="40"/>
  <c r="W34" i="40"/>
  <c r="W19" i="40"/>
  <c r="W27" i="40"/>
  <c r="S36" i="40"/>
  <c r="W37" i="40"/>
  <c r="S13" i="40"/>
  <c r="S33" i="40"/>
  <c r="U11" i="40"/>
  <c r="AB13" i="40"/>
  <c r="AB17" i="40"/>
  <c r="U8" i="40"/>
  <c r="S8" i="40"/>
  <c r="S14" i="39"/>
  <c r="AA14" i="39"/>
  <c r="U43" i="39"/>
  <c r="AB43" i="39"/>
  <c r="AB11" i="39"/>
  <c r="AC17" i="39"/>
  <c r="AC31" i="39"/>
  <c r="AA45" i="39"/>
  <c r="W34" i="39"/>
  <c r="U38" i="39"/>
  <c r="S8" i="39"/>
  <c r="AC25" i="36"/>
  <c r="W29" i="36"/>
  <c r="U25" i="36"/>
  <c r="AA13" i="36"/>
  <c r="W22" i="36"/>
  <c r="AB20" i="35"/>
  <c r="U25" i="35"/>
  <c r="U24" i="35"/>
  <c r="S35" i="35"/>
  <c r="AA16" i="35"/>
  <c r="AA35" i="37"/>
  <c r="W36" i="37"/>
  <c r="S28" i="37"/>
  <c r="W32" i="37"/>
  <c r="S40" i="37"/>
  <c r="U38" i="37"/>
  <c r="AB37" i="37"/>
  <c r="AC34" i="37"/>
  <c r="AA31" i="37"/>
  <c r="AA29" i="37"/>
  <c r="U8" i="37"/>
  <c r="AA30" i="34"/>
  <c r="AB45" i="34"/>
  <c r="AC32" i="34"/>
  <c r="W29" i="34"/>
  <c r="S32" i="34"/>
  <c r="AA32" i="34"/>
  <c r="U30" i="34"/>
  <c r="S19" i="34"/>
  <c r="AA46" i="34"/>
  <c r="U32" i="34"/>
  <c r="AB32" i="34"/>
  <c r="AB14" i="34"/>
  <c r="AC35" i="34"/>
  <c r="W35" i="34"/>
  <c r="U12" i="34"/>
  <c r="AB12" i="34"/>
  <c r="AC37" i="33"/>
  <c r="U39" i="33"/>
  <c r="U38" i="33"/>
  <c r="S33" i="33"/>
  <c r="AB34" i="33"/>
  <c r="S30" i="33"/>
  <c r="AA30" i="33"/>
  <c r="S31" i="33"/>
  <c r="W13" i="33"/>
  <c r="S11" i="33"/>
  <c r="U37" i="33"/>
  <c r="W8" i="33"/>
  <c r="AB42"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AC9" i="21" s="1"/>
  <c r="J32" i="21"/>
  <c r="W32" i="21" s="1"/>
  <c r="F32" i="21"/>
  <c r="S32" i="21" s="1"/>
  <c r="AA31" i="21"/>
  <c r="U17" i="21"/>
  <c r="W29" i="21"/>
  <c r="S19" i="21"/>
  <c r="S9" i="21"/>
  <c r="AA9" i="21"/>
  <c r="K141" i="21"/>
  <c r="K144" i="21"/>
  <c r="K143" i="21"/>
  <c r="AB25" i="21"/>
  <c r="AB44" i="21"/>
  <c r="AA30" i="21"/>
  <c r="W13" i="21"/>
  <c r="W42" i="21"/>
  <c r="F10" i="21"/>
  <c r="AA10" i="21" s="1"/>
  <c r="K145" i="21"/>
  <c r="S17" i="21"/>
  <c r="AA15" i="21"/>
  <c r="AC27" i="21"/>
  <c r="AC26" i="21"/>
  <c r="AB29" i="21"/>
  <c r="S28" i="21"/>
  <c r="AC34" i="21"/>
  <c r="AB36" i="21"/>
  <c r="W30" i="40"/>
  <c r="C19" i="39"/>
  <c r="C15" i="40"/>
  <c r="C17" i="40"/>
  <c r="C23" i="40"/>
  <c r="C21" i="40"/>
  <c r="B56" i="43"/>
  <c r="B67" i="43"/>
  <c r="B51" i="43"/>
  <c r="B54" i="43"/>
  <c r="B58" i="43"/>
  <c r="B62" i="43"/>
  <c r="B65" i="43"/>
  <c r="B69" i="43"/>
  <c r="E4" i="4"/>
  <c r="B5" i="62" s="1"/>
  <c r="B73" i="72" s="1"/>
  <c r="C4" i="4"/>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4" i="73"/>
  <c r="E2" i="69"/>
  <c r="B7" i="76"/>
  <c r="F7" i="73"/>
  <c r="E9" i="76"/>
  <c r="D6" i="73"/>
  <c r="F3" i="73"/>
  <c r="F5" i="73"/>
  <c r="E2" i="68"/>
  <c r="B12" i="76"/>
  <c r="E12" i="76"/>
  <c r="E11" i="76"/>
  <c r="E8" i="76"/>
  <c r="B10" i="76"/>
  <c r="B13" i="76"/>
  <c r="F6" i="73"/>
  <c r="F20" i="31"/>
  <c r="B11" i="76"/>
  <c r="E7" i="76"/>
  <c r="E10" i="76"/>
  <c r="B8" i="76"/>
  <c r="B9" i="76"/>
  <c r="AO13" i="1"/>
  <c r="M18" i="15" l="1"/>
  <c r="D23" i="15"/>
  <c r="G26" i="12"/>
  <c r="J51" i="15"/>
  <c r="F6" i="1"/>
  <c r="G6" i="1" s="1"/>
  <c r="K7" i="1"/>
  <c r="M7" i="1" s="1"/>
  <c r="O7" i="1" s="1"/>
  <c r="P7" i="1" s="1"/>
  <c r="G1" i="67"/>
  <c r="AB36" i="33"/>
  <c r="AB28" i="33"/>
  <c r="W33" i="33"/>
  <c r="F7" i="1"/>
  <c r="G7" i="1" s="1"/>
  <c r="G22" i="68"/>
  <c r="G22" i="69"/>
  <c r="G22" i="11"/>
  <c r="E1" i="73"/>
  <c r="A4" i="52"/>
  <c r="B41" i="72" s="1"/>
  <c r="W9" i="21"/>
  <c r="AB19" i="37"/>
  <c r="U19" i="37"/>
  <c r="S26" i="36"/>
  <c r="AA26" i="36"/>
  <c r="W13" i="40"/>
  <c r="AC13" i="40"/>
  <c r="W25" i="35"/>
  <c r="AC25" i="35"/>
  <c r="S29" i="33"/>
  <c r="AA29" i="33"/>
  <c r="S33" i="35"/>
  <c r="AA33" i="35"/>
  <c r="U30" i="21"/>
  <c r="AB30" i="21"/>
  <c r="U14" i="21"/>
  <c r="AB14" i="21"/>
  <c r="W17" i="40"/>
  <c r="AC17" i="40"/>
  <c r="W31" i="33"/>
  <c r="AC31" i="33"/>
  <c r="AA19" i="40"/>
  <c r="AB35" i="40"/>
  <c r="U35" i="40"/>
  <c r="AB30" i="40"/>
  <c r="U30" i="40"/>
  <c r="AC35" i="35"/>
  <c r="W35" i="35"/>
  <c r="W28" i="21"/>
  <c r="AC28" i="21"/>
  <c r="S14" i="21"/>
  <c r="AA14" i="21"/>
  <c r="S12" i="36"/>
  <c r="AA12" i="36"/>
  <c r="W15" i="37"/>
  <c r="AC15" i="37"/>
  <c r="AC25" i="21"/>
  <c r="W25" i="21"/>
  <c r="AB46" i="33"/>
  <c r="U46" i="33"/>
  <c r="U28" i="36"/>
  <c r="AB28" i="36"/>
  <c r="AB15" i="33"/>
  <c r="U15" i="33"/>
  <c r="AZ369" i="3"/>
  <c r="AB23" i="37"/>
  <c r="U23" i="37"/>
  <c r="AC37" i="37"/>
  <c r="W37" i="37"/>
  <c r="W29" i="37"/>
  <c r="AC29" i="37"/>
  <c r="AA44" i="21"/>
  <c r="S44" i="21"/>
  <c r="AC14" i="21"/>
  <c r="W14" i="21"/>
  <c r="H14" i="37"/>
  <c r="AB14" i="37" s="1"/>
  <c r="BA584" i="3"/>
  <c r="G581" i="3"/>
  <c r="BA579" i="3"/>
  <c r="BA578" i="3"/>
  <c r="G573" i="3"/>
  <c r="BA571" i="3"/>
  <c r="BA570" i="3"/>
  <c r="BA567" i="3"/>
  <c r="BA566" i="3"/>
  <c r="BL562" i="3"/>
  <c r="BA559" i="3"/>
  <c r="BA558" i="3"/>
  <c r="AZ558" i="3" s="1"/>
  <c r="BA553" i="3"/>
  <c r="AZ553" i="3" s="1"/>
  <c r="BA552" i="3"/>
  <c r="BL532" i="3"/>
  <c r="G532" i="3"/>
  <c r="G505" i="3"/>
  <c r="G504" i="3"/>
  <c r="AZ345" i="3"/>
  <c r="AZ309" i="3"/>
  <c r="AC5" i="3"/>
  <c r="F27" i="37"/>
  <c r="H35" i="35"/>
  <c r="J47" i="34"/>
  <c r="H44" i="33"/>
  <c r="J40" i="37"/>
  <c r="J46" i="34"/>
  <c r="F28" i="33"/>
  <c r="AA28" i="33" s="1"/>
  <c r="H15" i="34"/>
  <c r="AB15" i="34" s="1"/>
  <c r="U34" i="40"/>
  <c r="S27" i="35"/>
  <c r="J31" i="21"/>
  <c r="H31" i="21"/>
  <c r="AA15" i="40"/>
  <c r="U29" i="35"/>
  <c r="U16" i="36"/>
  <c r="AC34" i="33"/>
  <c r="S11" i="40"/>
  <c r="AZ342" i="3"/>
  <c r="AZ394" i="3"/>
  <c r="U32" i="33"/>
  <c r="H14" i="40"/>
  <c r="H13" i="34"/>
  <c r="U13" i="34" s="1"/>
  <c r="J14" i="33"/>
  <c r="J25" i="34"/>
  <c r="AC25" i="34" s="1"/>
  <c r="J15" i="34"/>
  <c r="AC15" i="34" s="1"/>
  <c r="F34" i="36"/>
  <c r="S34" i="36" s="1"/>
  <c r="J34" i="36"/>
  <c r="W34" i="36" s="1"/>
  <c r="S40" i="21"/>
  <c r="G586" i="3"/>
  <c r="J12" i="36"/>
  <c r="H12" i="36"/>
  <c r="J39" i="37"/>
  <c r="F39" i="37"/>
  <c r="S39" i="37" s="1"/>
  <c r="BL579" i="3"/>
  <c r="BL578" i="3"/>
  <c r="BL576" i="3"/>
  <c r="BA575" i="3"/>
  <c r="AZ575" i="3" s="1"/>
  <c r="BA574" i="3"/>
  <c r="AZ574" i="3" s="1"/>
  <c r="BL570" i="3"/>
  <c r="G569" i="3"/>
  <c r="BL568" i="3"/>
  <c r="G568" i="3"/>
  <c r="G585" i="3"/>
  <c r="G14" i="3"/>
  <c r="G400" i="3"/>
  <c r="G408" i="3"/>
  <c r="BL416" i="3"/>
  <c r="G417" i="3"/>
  <c r="G430" i="3"/>
  <c r="G434" i="3"/>
  <c r="G447" i="3"/>
  <c r="G451" i="3"/>
  <c r="BA451" i="3"/>
  <c r="G463" i="3"/>
  <c r="BA463" i="3"/>
  <c r="G474" i="3"/>
  <c r="G329" i="3"/>
  <c r="G349" i="3"/>
  <c r="G362" i="3"/>
  <c r="G366" i="3"/>
  <c r="BL383" i="3"/>
  <c r="AZ383" i="3" s="1"/>
  <c r="BL224" i="3"/>
  <c r="G249" i="3"/>
  <c r="BL254" i="3"/>
  <c r="BA257" i="3"/>
  <c r="BA270" i="3"/>
  <c r="G276" i="3"/>
  <c r="BA286" i="3"/>
  <c r="BA291" i="3"/>
  <c r="AZ291" i="3" s="1"/>
  <c r="BL291" i="3"/>
  <c r="G302" i="3"/>
  <c r="BA302" i="3"/>
  <c r="G115" i="3"/>
  <c r="BA120" i="3"/>
  <c r="AZ120" i="3" s="1"/>
  <c r="BL122" i="3"/>
  <c r="G150" i="3"/>
  <c r="BA156" i="3"/>
  <c r="AZ156" i="3" s="1"/>
  <c r="G158" i="3"/>
  <c r="BA168" i="3"/>
  <c r="AZ168" i="3" s="1"/>
  <c r="BL173" i="3"/>
  <c r="G174" i="3"/>
  <c r="G178" i="3"/>
  <c r="G182" i="3"/>
  <c r="BA201" i="3"/>
  <c r="AZ201" i="3" s="1"/>
  <c r="BL201" i="3"/>
  <c r="BL203" i="3"/>
  <c r="AZ203" i="3" s="1"/>
  <c r="BA204" i="3"/>
  <c r="AZ204" i="3" s="1"/>
  <c r="G18" i="3"/>
  <c r="G21" i="3"/>
  <c r="BL21" i="3"/>
  <c r="BA22" i="3"/>
  <c r="G26" i="3"/>
  <c r="BA30" i="3"/>
  <c r="G34" i="3"/>
  <c r="G41" i="3"/>
  <c r="G66" i="3"/>
  <c r="G72" i="3"/>
  <c r="BA72" i="3"/>
  <c r="G75" i="3"/>
  <c r="G80" i="3"/>
  <c r="G88" i="3"/>
  <c r="BL94" i="3"/>
  <c r="BL100" i="3"/>
  <c r="BL103" i="3"/>
  <c r="G104" i="3"/>
  <c r="BA105" i="3"/>
  <c r="BA563" i="3"/>
  <c r="BA562" i="3"/>
  <c r="BL561" i="3"/>
  <c r="G561" i="3"/>
  <c r="BL560" i="3"/>
  <c r="G560" i="3"/>
  <c r="BA557" i="3"/>
  <c r="BL552" i="3"/>
  <c r="G547" i="3"/>
  <c r="G546" i="3"/>
  <c r="BH5" i="3"/>
  <c r="G539" i="3"/>
  <c r="G538" i="3"/>
  <c r="BA534" i="3"/>
  <c r="G531" i="3"/>
  <c r="G530" i="3"/>
  <c r="BL526" i="3"/>
  <c r="G523" i="3"/>
  <c r="G522" i="3"/>
  <c r="BA521" i="3"/>
  <c r="G517" i="3"/>
  <c r="G516" i="3"/>
  <c r="G503" i="3"/>
  <c r="G502" i="3"/>
  <c r="BA497" i="3"/>
  <c r="G495" i="3"/>
  <c r="G494" i="3"/>
  <c r="G403" i="3"/>
  <c r="BA404" i="3"/>
  <c r="BA405" i="3"/>
  <c r="G407" i="3"/>
  <c r="G411" i="3"/>
  <c r="G420" i="3"/>
  <c r="G424" i="3"/>
  <c r="G428" i="3"/>
  <c r="BL431" i="3"/>
  <c r="G433" i="3"/>
  <c r="G445" i="3"/>
  <c r="BL445" i="3"/>
  <c r="BL446" i="3"/>
  <c r="G453" i="3"/>
  <c r="G457" i="3"/>
  <c r="G461" i="3"/>
  <c r="BA466" i="3"/>
  <c r="BL472" i="3"/>
  <c r="G473" i="3"/>
  <c r="G490" i="3"/>
  <c r="BA315" i="3"/>
  <c r="AZ315" i="3" s="1"/>
  <c r="BL381" i="3"/>
  <c r="AZ381" i="3" s="1"/>
  <c r="G396" i="3"/>
  <c r="G214" i="3"/>
  <c r="G223" i="3"/>
  <c r="G227" i="3"/>
  <c r="BA233" i="3"/>
  <c r="G236" i="3"/>
  <c r="BA245" i="3"/>
  <c r="BL252" i="3"/>
  <c r="G254" i="3"/>
  <c r="BA260" i="3"/>
  <c r="G263" i="3"/>
  <c r="G267" i="3"/>
  <c r="G287" i="3"/>
  <c r="BA194" i="3"/>
  <c r="G20" i="3"/>
  <c r="G28" i="3"/>
  <c r="G32" i="3"/>
  <c r="BL67" i="3"/>
  <c r="G69" i="3"/>
  <c r="BL82" i="3"/>
  <c r="BL83" i="3"/>
  <c r="G86" i="3"/>
  <c r="BA87" i="3"/>
  <c r="G107" i="3"/>
  <c r="AA18" i="35"/>
  <c r="E71" i="71"/>
  <c r="E70" i="71" s="1"/>
  <c r="C67" i="71"/>
  <c r="D67" i="71" s="1"/>
  <c r="AB34" i="71"/>
  <c r="BL412" i="3"/>
  <c r="G419" i="3"/>
  <c r="BA419" i="3"/>
  <c r="BA444" i="3"/>
  <c r="BA448" i="3"/>
  <c r="BL458" i="3"/>
  <c r="BL462" i="3"/>
  <c r="BA476" i="3"/>
  <c r="BA489" i="3"/>
  <c r="BL350" i="3"/>
  <c r="BL386" i="3"/>
  <c r="G213" i="3"/>
  <c r="G226" i="3"/>
  <c r="BL228" i="3"/>
  <c r="BA231" i="3"/>
  <c r="G266" i="3"/>
  <c r="G270" i="3"/>
  <c r="G23" i="3"/>
  <c r="G43" i="3"/>
  <c r="BA43" i="3"/>
  <c r="G47" i="3"/>
  <c r="BL49" i="3"/>
  <c r="BL96" i="3"/>
  <c r="G102" i="3"/>
  <c r="G106" i="3"/>
  <c r="F11" i="1"/>
  <c r="G11" i="1" s="1"/>
  <c r="G44" i="43"/>
  <c r="S37" i="34"/>
  <c r="AC44" i="33"/>
  <c r="W44" i="33"/>
  <c r="AA13" i="34"/>
  <c r="S13" i="34"/>
  <c r="S47" i="34"/>
  <c r="AA47" i="34"/>
  <c r="W14" i="40"/>
  <c r="AC14" i="40"/>
  <c r="AZ570" i="3"/>
  <c r="AZ552" i="3"/>
  <c r="AC23" i="21"/>
  <c r="S37" i="21"/>
  <c r="AC17" i="37"/>
  <c r="AC14" i="34"/>
  <c r="S24" i="35"/>
  <c r="AC20" i="36"/>
  <c r="S20" i="36"/>
  <c r="S43" i="33"/>
  <c r="AC20" i="35"/>
  <c r="AA36" i="35"/>
  <c r="S14" i="36"/>
  <c r="U14" i="39"/>
  <c r="S43" i="39"/>
  <c r="AA27" i="40"/>
  <c r="U12" i="40"/>
  <c r="G509" i="3"/>
  <c r="AZ389" i="3"/>
  <c r="AZ372" i="3"/>
  <c r="AZ356" i="3"/>
  <c r="AZ329" i="3"/>
  <c r="AZ313" i="3"/>
  <c r="AZ325" i="3"/>
  <c r="W9" i="39"/>
  <c r="BL563" i="3"/>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AZ319" i="3" s="1"/>
  <c r="BA255" i="3"/>
  <c r="BL259" i="3"/>
  <c r="BL264" i="3"/>
  <c r="BA268" i="3"/>
  <c r="BA283" i="3"/>
  <c r="BL300" i="3"/>
  <c r="BL76" i="3"/>
  <c r="BA13" i="3"/>
  <c r="AZ13" i="3" s="1"/>
  <c r="BL16" i="3"/>
  <c r="AZ16" i="3" s="1"/>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AZ308" i="3" s="1"/>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AZ132" i="3" s="1"/>
  <c r="G135" i="3"/>
  <c r="BL154" i="3"/>
  <c r="BL198" i="3"/>
  <c r="G92" i="3"/>
  <c r="C31" i="71"/>
  <c r="D30" i="71"/>
  <c r="C51" i="71"/>
  <c r="D50" i="71"/>
  <c r="AA3" i="71"/>
  <c r="AA35" i="71"/>
  <c r="BA148" i="3"/>
  <c r="AZ148" i="3" s="1"/>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G138" i="3"/>
  <c r="BL138" i="3"/>
  <c r="BA140" i="3"/>
  <c r="AZ140" i="3" s="1"/>
  <c r="BA142" i="3"/>
  <c r="BL149" i="3"/>
  <c r="AZ149" i="3" s="1"/>
  <c r="BL150" i="3"/>
  <c r="G151" i="3"/>
  <c r="BA152" i="3"/>
  <c r="AZ152" i="3" s="1"/>
  <c r="BA154" i="3"/>
  <c r="AZ154" i="3" s="1"/>
  <c r="G172" i="3"/>
  <c r="BL175" i="3"/>
  <c r="AZ175" i="3" s="1"/>
  <c r="G176" i="3"/>
  <c r="BL186" i="3"/>
  <c r="G195" i="3"/>
  <c r="G206" i="3"/>
  <c r="G19" i="3"/>
  <c r="BL23" i="3"/>
  <c r="BA25" i="3"/>
  <c r="G31" i="3"/>
  <c r="BL35" i="3"/>
  <c r="BA40" i="3"/>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7" i="36"/>
  <c r="C46" i="36" s="1"/>
  <c r="D46" i="36" s="1"/>
  <c r="E46" i="36" s="1"/>
  <c r="F46" i="36" s="1"/>
  <c r="G46" i="36" s="1"/>
  <c r="H46" i="36" s="1"/>
  <c r="I46" i="36" s="1"/>
  <c r="J46" i="36" s="1"/>
  <c r="K46" i="36" s="1"/>
  <c r="L46" i="36" s="1"/>
  <c r="M46" i="36" s="1"/>
  <c r="N46" i="36" s="1"/>
  <c r="O46" i="36" s="1"/>
  <c r="M47" i="9"/>
  <c r="C7" i="35"/>
  <c r="C48" i="35" s="1"/>
  <c r="D48" i="35" s="1"/>
  <c r="J51" i="67"/>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59" i="34" s="1"/>
  <c r="D59" i="34" s="1"/>
  <c r="E59" i="34" s="1"/>
  <c r="F59" i="34" s="1"/>
  <c r="G59" i="34" s="1"/>
  <c r="H59" i="34" s="1"/>
  <c r="I59" i="34" s="1"/>
  <c r="J59" i="34" s="1"/>
  <c r="K59" i="34" s="1"/>
  <c r="L59" i="34" s="1"/>
  <c r="M59" i="34" s="1"/>
  <c r="N59" i="34" s="1"/>
  <c r="O59" i="34" s="1"/>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E13" i="6" s="1"/>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BL19" i="3"/>
  <c r="BA20" i="3"/>
  <c r="BL25" i="3"/>
  <c r="AZ25" i="3" s="1"/>
  <c r="BL27" i="3"/>
  <c r="BA28" i="3"/>
  <c r="BA31" i="3"/>
  <c r="BA32" i="3"/>
  <c r="G38" i="3"/>
  <c r="BA38" i="3"/>
  <c r="AZ38" i="3" s="1"/>
  <c r="BA41" i="3"/>
  <c r="BA42" i="3"/>
  <c r="BL48" i="3"/>
  <c r="BL54" i="3"/>
  <c r="BL55" i="3"/>
  <c r="AZ55" i="3" s="1"/>
  <c r="BA59" i="3"/>
  <c r="BL61" i="3"/>
  <c r="BA68" i="3"/>
  <c r="BL74" i="3"/>
  <c r="AZ74" i="3" s="1"/>
  <c r="BL75" i="3"/>
  <c r="BA80" i="3"/>
  <c r="BL84" i="3"/>
  <c r="BA90" i="3"/>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BL47" i="3"/>
  <c r="G49" i="3"/>
  <c r="G50" i="3"/>
  <c r="G52" i="3"/>
  <c r="BA52" i="3"/>
  <c r="AZ52" i="3" s="1"/>
  <c r="BA53" i="3"/>
  <c r="AZ53" i="3" s="1"/>
  <c r="BA54" i="3"/>
  <c r="AZ54" i="3" s="1"/>
  <c r="BL57" i="3"/>
  <c r="AZ57" i="3" s="1"/>
  <c r="G59" i="3"/>
  <c r="G62" i="3"/>
  <c r="BL62" i="3"/>
  <c r="AZ62" i="3" s="1"/>
  <c r="BL63" i="3"/>
  <c r="G67" i="3"/>
  <c r="BL68" i="3"/>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V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39" i="1" s="1"/>
  <c r="B13" i="70"/>
  <c r="D9" i="68"/>
  <c r="M8" i="67"/>
  <c r="F26" i="15"/>
  <c r="F40" i="67"/>
  <c r="M28" i="15"/>
  <c r="M24" i="15"/>
  <c r="F42" i="15"/>
  <c r="F16" i="67"/>
  <c r="J15" i="15"/>
  <c r="F7" i="67"/>
  <c r="J15" i="67"/>
  <c r="L47" i="15"/>
  <c r="F37" i="67"/>
  <c r="L47" i="67"/>
  <c r="F13" i="67"/>
  <c r="L48" i="67"/>
  <c r="F43" i="67"/>
  <c r="M28" i="67"/>
  <c r="M29" i="15"/>
  <c r="F6" i="67"/>
  <c r="D7" i="73"/>
  <c r="M29" i="67"/>
  <c r="F36" i="15"/>
  <c r="F43" i="15"/>
  <c r="F8" i="15"/>
  <c r="M22" i="15"/>
  <c r="F6" i="15"/>
  <c r="M6" i="67"/>
  <c r="D9" i="69"/>
  <c r="F8" i="67"/>
  <c r="F9" i="67"/>
  <c r="F42" i="67"/>
  <c r="F16" i="15"/>
  <c r="M9" i="67"/>
  <c r="F40" i="15"/>
  <c r="F7" i="15"/>
  <c r="M26" i="15"/>
  <c r="F38" i="67"/>
  <c r="M9" i="15"/>
  <c r="F36" i="67"/>
  <c r="M22" i="67"/>
  <c r="M24" i="67"/>
  <c r="D5" i="73"/>
  <c r="C76" i="67"/>
  <c r="F9" i="15"/>
  <c r="D3" i="73"/>
  <c r="M23" i="15"/>
  <c r="D4" i="73"/>
  <c r="M8" i="15"/>
  <c r="M26" i="67"/>
  <c r="F37" i="15"/>
  <c r="F26" i="67"/>
  <c r="L48" i="15"/>
  <c r="C76" i="15"/>
  <c r="F27" i="69"/>
  <c r="F38" i="15"/>
  <c r="M23" i="67"/>
  <c r="F13" i="15"/>
  <c r="M6" i="15"/>
  <c r="E12" i="6" l="1"/>
  <c r="E57" i="40" s="1"/>
  <c r="E8" i="6"/>
  <c r="F27" i="6" s="1"/>
  <c r="D67" i="39"/>
  <c r="D69" i="39" s="1"/>
  <c r="C13" i="12"/>
  <c r="C48" i="68"/>
  <c r="I24" i="43"/>
  <c r="C24" i="43" s="1"/>
  <c r="C44" i="43"/>
  <c r="C77" i="9"/>
  <c r="C74" i="9" s="1"/>
  <c r="C36" i="68"/>
  <c r="F65" i="67"/>
  <c r="F64" i="67"/>
  <c r="C27" i="67"/>
  <c r="J57" i="67"/>
  <c r="J55" i="67" s="1"/>
  <c r="J58" i="67" s="1"/>
  <c r="Q50" i="67" s="1"/>
  <c r="L56" i="67"/>
  <c r="S28" i="33"/>
  <c r="O23" i="43"/>
  <c r="C23" i="43" s="1"/>
  <c r="P26" i="43"/>
  <c r="A1" i="79"/>
  <c r="M59" i="67"/>
  <c r="L58" i="67"/>
  <c r="Q73" i="67" s="1"/>
  <c r="AZ442" i="3"/>
  <c r="AZ563" i="3"/>
  <c r="S27" i="37"/>
  <c r="AA27" i="37"/>
  <c r="AZ71" i="3"/>
  <c r="AZ68" i="3"/>
  <c r="AZ48" i="3"/>
  <c r="AZ18" i="3"/>
  <c r="AZ483" i="3"/>
  <c r="AZ454" i="3"/>
  <c r="AZ440" i="3"/>
  <c r="AZ424" i="3"/>
  <c r="AZ40" i="3"/>
  <c r="AZ402" i="3"/>
  <c r="AZ467" i="3"/>
  <c r="AC39" i="37"/>
  <c r="W39" i="37"/>
  <c r="U31" i="21"/>
  <c r="AB31" i="21"/>
  <c r="U44" i="33"/>
  <c r="AB44" i="33"/>
  <c r="AZ134" i="3"/>
  <c r="AZ434" i="3"/>
  <c r="AC14" i="33"/>
  <c r="W14" i="33"/>
  <c r="AC31" i="21"/>
  <c r="W31" i="21"/>
  <c r="AC47" i="34"/>
  <c r="W47" i="34"/>
  <c r="AZ190" i="3"/>
  <c r="AZ90" i="3"/>
  <c r="AC12" i="36"/>
  <c r="W12" i="36"/>
  <c r="AC46" i="34"/>
  <c r="W46" i="34"/>
  <c r="F66" i="67"/>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Q52" i="67" s="1"/>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M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F27" i="68" s="1"/>
  <c r="C65" i="40"/>
  <c r="U27" i="34"/>
  <c r="AP6" i="1"/>
  <c r="C34" i="34"/>
  <c r="G7" i="34"/>
  <c r="I7" i="34" s="1"/>
  <c r="J7" i="34" s="1"/>
  <c r="W7" i="34" s="1"/>
  <c r="E7" i="34"/>
  <c r="F7" i="34" s="1"/>
  <c r="S7" i="34" s="1"/>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E67" i="39"/>
  <c r="E69" i="39" s="1"/>
  <c r="AA26" i="35"/>
  <c r="S26" i="35"/>
  <c r="AC26" i="35"/>
  <c r="W26" i="35"/>
  <c r="AB26" i="35"/>
  <c r="U26" i="35"/>
  <c r="E61" i="39"/>
  <c r="C47" i="69"/>
  <c r="D45" i="69" s="1"/>
  <c r="C9" i="69"/>
  <c r="C9" i="68"/>
  <c r="E72" i="43"/>
  <c r="B70" i="43" s="1"/>
  <c r="C29" i="69"/>
  <c r="D27" i="69" s="1"/>
  <c r="F45" i="69"/>
  <c r="E60" i="40"/>
  <c r="E51" i="40"/>
  <c r="E58" i="40"/>
  <c r="E62" i="39"/>
  <c r="D5" i="43"/>
  <c r="C7" i="43"/>
  <c r="C5" i="43" s="1"/>
  <c r="D10" i="52"/>
  <c r="D125" i="9"/>
  <c r="D11" i="52" s="1"/>
  <c r="B7" i="74"/>
  <c r="C7" i="74" s="1"/>
  <c r="H7" i="37"/>
  <c r="AB7" i="37" s="1"/>
  <c r="T42" i="37" s="1"/>
  <c r="G42" i="37" s="1"/>
  <c r="H7" i="33"/>
  <c r="J7" i="33"/>
  <c r="D65" i="40"/>
  <c r="E63" i="40"/>
  <c r="F48" i="35"/>
  <c r="F7" i="33"/>
  <c r="E58" i="21"/>
  <c r="W7" i="36"/>
  <c r="F7" i="37"/>
  <c r="P28" i="43"/>
  <c r="B66" i="40" s="1"/>
  <c r="P25" i="43"/>
  <c r="P29" i="43"/>
  <c r="P27" i="43"/>
  <c r="B70" i="39" s="1"/>
  <c r="M11" i="67"/>
  <c r="J10" i="67" s="1"/>
  <c r="F11" i="15"/>
  <c r="M11" i="15"/>
  <c r="J10" i="15" s="1"/>
  <c r="F11" i="67"/>
  <c r="AE11" i="1"/>
  <c r="AE9" i="1"/>
  <c r="AE7" i="1"/>
  <c r="AE8" i="1"/>
  <c r="AE12" i="1"/>
  <c r="AE10" i="1"/>
  <c r="C36" i="69"/>
  <c r="C16" i="15"/>
  <c r="C16" i="67"/>
  <c r="G1" i="73"/>
  <c r="E16" i="6" l="1"/>
  <c r="E56" i="40"/>
  <c r="U7" i="36"/>
  <c r="H7" i="34"/>
  <c r="AB7" i="34" s="1"/>
  <c r="S7" i="36"/>
  <c r="Q60" i="67"/>
  <c r="AZ5" i="3"/>
  <c r="F1" i="67"/>
  <c r="F28" i="12"/>
  <c r="C29" i="12" s="1"/>
  <c r="D28" i="12" s="1"/>
  <c r="F27" i="11"/>
  <c r="C29" i="11" s="1"/>
  <c r="D27" i="11" s="1"/>
  <c r="Q74" i="67"/>
  <c r="C21" i="71"/>
  <c r="D22" i="71"/>
  <c r="E63" i="39"/>
  <c r="E59" i="40"/>
  <c r="D32" i="71"/>
  <c r="T32" i="71"/>
  <c r="D26" i="43"/>
  <c r="C25" i="43" s="1"/>
  <c r="C33" i="43" s="1"/>
  <c r="C6" i="69"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M27" i="15"/>
  <c r="AE6" i="1"/>
  <c r="U7" i="34" l="1"/>
  <c r="G67" i="39"/>
  <c r="C6" i="68"/>
  <c r="C47" i="11"/>
  <c r="D45" i="11" s="1"/>
  <c r="E3" i="6"/>
  <c r="M18" i="9" s="1"/>
  <c r="B118" i="9" s="1"/>
  <c r="B14" i="74" s="1"/>
  <c r="AY6" i="3"/>
  <c r="D21" i="71"/>
  <c r="C20" i="71"/>
  <c r="G47" i="37"/>
  <c r="H47" i="37" s="1"/>
  <c r="C48" i="67"/>
  <c r="C66" i="67" s="1"/>
  <c r="AC34" i="34"/>
  <c r="V49" i="34" s="1"/>
  <c r="I49" i="34" s="1"/>
  <c r="I53" i="34" s="1"/>
  <c r="J53" i="34" s="1"/>
  <c r="W34" i="34"/>
  <c r="AB34" i="34"/>
  <c r="T49" i="34" s="1"/>
  <c r="G49" i="34" s="1"/>
  <c r="G53" i="34" s="1"/>
  <c r="H53" i="34" s="1"/>
  <c r="U34" i="34"/>
  <c r="AA34" i="34"/>
  <c r="R49" i="34" s="1"/>
  <c r="S34" i="34"/>
  <c r="AA10" i="40"/>
  <c r="AC10" i="39"/>
  <c r="W10" i="40"/>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P37" i="43"/>
  <c r="M37" i="43"/>
  <c r="Q37" i="43"/>
  <c r="O37" i="43"/>
  <c r="N37" i="43"/>
  <c r="M21" i="6"/>
  <c r="I21" i="6" s="1"/>
  <c r="S21" i="6" s="1"/>
  <c r="E6" i="70"/>
  <c r="C34" i="43"/>
  <c r="E34" i="43"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17" i="15"/>
  <c r="F41" i="15"/>
  <c r="C17" i="67"/>
  <c r="C14" i="67"/>
  <c r="F41" i="67"/>
  <c r="C34" i="69"/>
  <c r="C8" i="68" l="1"/>
  <c r="B29" i="1"/>
  <c r="F69" i="15"/>
  <c r="H24" i="9"/>
  <c r="F69" i="67"/>
  <c r="C7" i="68"/>
  <c r="C5" i="68" s="1"/>
  <c r="C23" i="68"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03" i="3"/>
  <c r="AY62" i="3"/>
  <c r="AY164"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07" i="3"/>
  <c r="AY32" i="3"/>
  <c r="AY575" i="3"/>
  <c r="AY233" i="3"/>
  <c r="AY13" i="3"/>
  <c r="AY39" i="3"/>
  <c r="AY375" i="3"/>
  <c r="AY432" i="3"/>
  <c r="AY567" i="3"/>
  <c r="AY396" i="3"/>
  <c r="AY320" i="3"/>
  <c r="AY538" i="3"/>
  <c r="AY545" i="3"/>
  <c r="AY301" i="3"/>
  <c r="AY408" i="3"/>
  <c r="AY107" i="3"/>
  <c r="AY240" i="3"/>
  <c r="AY566"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43" i="3"/>
  <c r="AY582" i="3"/>
  <c r="AY65" i="3"/>
  <c r="AY194" i="3"/>
  <c r="AY137" i="3"/>
  <c r="AY251" i="3"/>
  <c r="AY380" i="3"/>
  <c r="AY329" i="3"/>
  <c r="AY312" i="3"/>
  <c r="AY468" i="3"/>
  <c r="AY426" i="3"/>
  <c r="AY14" i="3"/>
  <c r="AY565" i="3"/>
  <c r="AY570" i="3"/>
  <c r="AY99" i="3"/>
  <c r="AY46" i="3"/>
  <c r="AY156" i="3"/>
  <c r="AY285" i="3"/>
  <c r="AY232" i="3"/>
  <c r="AY362" i="3"/>
  <c r="AY469" i="3"/>
  <c r="AY437" i="3"/>
  <c r="AY560" i="3"/>
  <c r="AY91" i="3"/>
  <c r="AY38" i="3"/>
  <c r="AY148" i="3"/>
  <c r="AY277" i="3"/>
  <c r="AY224" i="3"/>
  <c r="AY354" i="3"/>
  <c r="AY490" i="3"/>
  <c r="AY429" i="3"/>
  <c r="AY511" i="3"/>
  <c r="AY298" i="3"/>
  <c r="AY352" i="3"/>
  <c r="AY492" i="3"/>
  <c r="AY431" i="3"/>
  <c r="AY563" i="3"/>
  <c r="AY330" i="3"/>
  <c r="AY136" i="3"/>
  <c r="AY153" i="3"/>
  <c r="AY434" i="3"/>
  <c r="AY359" i="3"/>
  <c r="AY382" i="3"/>
  <c r="AY180" i="3"/>
  <c r="AY45" i="3"/>
  <c r="AY381" i="3"/>
  <c r="AY332" i="3"/>
  <c r="AY163" i="3"/>
  <c r="AY157" i="3"/>
  <c r="AY403" i="3"/>
  <c r="AY379" i="3"/>
  <c r="BB6" i="3"/>
  <c r="AY584" i="3"/>
  <c r="AY129" i="3"/>
  <c r="AY487" i="3"/>
  <c r="D3" i="6"/>
  <c r="AY35" i="3"/>
  <c r="AY331" i="3"/>
  <c r="AY86" i="3"/>
  <c r="AY213" i="3"/>
  <c r="AY504" i="3"/>
  <c r="AY461" i="3"/>
  <c r="AY140" i="3"/>
  <c r="AY22" i="3"/>
  <c r="AY64" i="3"/>
  <c r="AY402" i="3"/>
  <c r="AY265" i="3"/>
  <c r="AY143" i="3"/>
  <c r="BT6" i="3"/>
  <c r="AY466" i="3"/>
  <c r="AY399" i="3"/>
  <c r="AY288" i="3"/>
  <c r="AY113" i="3"/>
  <c r="AY522" i="3"/>
  <c r="AY386" i="3"/>
  <c r="AY95" i="3"/>
  <c r="AY204" i="3"/>
  <c r="AY433" i="3"/>
  <c r="AY118" i="3"/>
  <c r="AY177" i="3"/>
  <c r="BM6" i="3"/>
  <c r="AY447" i="3"/>
  <c r="AY186" i="3"/>
  <c r="AY82" i="3"/>
  <c r="AY198" i="3"/>
  <c r="AY449" i="3"/>
  <c r="AY80" i="3"/>
  <c r="AY369" i="3"/>
  <c r="AY410" i="3"/>
  <c r="AY531" i="3"/>
  <c r="AY280" i="3"/>
  <c r="AY405" i="3"/>
  <c r="AY159" i="3"/>
  <c r="AY459" i="3"/>
  <c r="AY235" i="3"/>
  <c r="AY537" i="3"/>
  <c r="AY482" i="3"/>
  <c r="AY339" i="3"/>
  <c r="AY361" i="3"/>
  <c r="BP6" i="3"/>
  <c r="AY500" i="3"/>
  <c r="AY477" i="3"/>
  <c r="AY541" i="3"/>
  <c r="AY210" i="3"/>
  <c r="AY85" i="3"/>
  <c r="AY255" i="3"/>
  <c r="AY579" i="3"/>
  <c r="AY512" i="3"/>
  <c r="AY110" i="3"/>
  <c r="AY34" i="3"/>
  <c r="AY196" i="3"/>
  <c r="AY358" i="3"/>
  <c r="AY201" i="3"/>
  <c r="AY104" i="3"/>
  <c r="AY446" i="3"/>
  <c r="AY526" i="3"/>
  <c r="AY211" i="3"/>
  <c r="AY532" i="3"/>
  <c r="AY540" i="3"/>
  <c r="AY258" i="3"/>
  <c r="AY519" i="3"/>
  <c r="AY266" i="3"/>
  <c r="AY453" i="3"/>
  <c r="AY509" i="3"/>
  <c r="AY167" i="3"/>
  <c r="AY27" i="3"/>
  <c r="AY323" i="3"/>
  <c r="AY205" i="3"/>
  <c r="AY216" i="3"/>
  <c r="AY315" i="3"/>
  <c r="AY470" i="3"/>
  <c r="AY510" i="3"/>
  <c r="AY489" i="3"/>
  <c r="AY189" i="3"/>
  <c r="AY221" i="3"/>
  <c r="AY550" i="3"/>
  <c r="AY528" i="3"/>
  <c r="AY479" i="3"/>
  <c r="AY443" i="3"/>
  <c r="AY111" i="3"/>
  <c r="AY231" i="3"/>
  <c r="AY325" i="3"/>
  <c r="AY572" i="3"/>
  <c r="AY313" i="3"/>
  <c r="AY94" i="3"/>
  <c r="AY273" i="3"/>
  <c r="AY321" i="3"/>
  <c r="AY413" i="3"/>
  <c r="AY19" i="3"/>
  <c r="AY71" i="3"/>
  <c r="D3" i="21"/>
  <c r="D3" i="33"/>
  <c r="D37" i="11"/>
  <c r="E6" i="6"/>
  <c r="D3" i="37"/>
  <c r="D19" i="11"/>
  <c r="C19" i="11" s="1"/>
  <c r="C20" i="11" s="1"/>
  <c r="C28" i="11" s="1"/>
  <c r="C27" i="11" s="1"/>
  <c r="C17" i="4"/>
  <c r="B4" i="52" s="1"/>
  <c r="B43" i="72" s="1"/>
  <c r="D14" i="12"/>
  <c r="D17" i="12" s="1"/>
  <c r="C17" i="12" s="1"/>
  <c r="T20" i="71"/>
  <c r="D20" i="71"/>
  <c r="U20" i="71" s="1"/>
  <c r="C19" i="71"/>
  <c r="E6" i="3"/>
  <c r="C60" i="67"/>
  <c r="C60" i="15"/>
  <c r="R50" i="34"/>
  <c r="C49" i="34" s="1"/>
  <c r="E49" i="34"/>
  <c r="E53" i="34" s="1"/>
  <c r="F53" i="34" s="1"/>
  <c r="G54" i="34"/>
  <c r="H54" i="34" s="1"/>
  <c r="F41" i="68"/>
  <c r="C26" i="11"/>
  <c r="D22" i="11" s="1"/>
  <c r="C44" i="11"/>
  <c r="D41" i="11" s="1"/>
  <c r="C44" i="68"/>
  <c r="D41" i="68" s="1"/>
  <c r="C44" i="69"/>
  <c r="D41" i="69" s="1"/>
  <c r="C26" i="69"/>
  <c r="D22" i="69" s="1"/>
  <c r="C18" i="67"/>
  <c r="C15" i="67"/>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2" i="6" l="1"/>
  <c r="H25" i="6"/>
  <c r="H24" i="6"/>
  <c r="H23" i="6"/>
  <c r="E2" i="70"/>
  <c r="C24" i="11"/>
  <c r="C50" i="34"/>
  <c r="D22" i="6"/>
  <c r="R22" i="6" s="1"/>
  <c r="R9" i="1" s="1"/>
  <c r="D26" i="6"/>
  <c r="D9" i="6"/>
  <c r="D19" i="6"/>
  <c r="D12" i="6"/>
  <c r="E61" i="40"/>
  <c r="D21" i="6"/>
  <c r="D10" i="6"/>
  <c r="C18" i="4"/>
  <c r="H26" i="6"/>
  <c r="D8" i="6"/>
  <c r="D11" i="6"/>
  <c r="D15" i="6"/>
  <c r="D20" i="6"/>
  <c r="R20" i="6" s="1"/>
  <c r="R7" i="1" s="1"/>
  <c r="D6" i="6"/>
  <c r="H21" i="6"/>
  <c r="D5" i="6"/>
  <c r="D28" i="6"/>
  <c r="D25" i="6"/>
  <c r="R25" i="6" s="1"/>
  <c r="R12" i="1" s="1"/>
  <c r="D24" i="6"/>
  <c r="R24" i="6" s="1"/>
  <c r="R11" i="1" s="1"/>
  <c r="D14" i="6"/>
  <c r="D29" i="6"/>
  <c r="D23" i="6"/>
  <c r="R23" i="6" s="1"/>
  <c r="R10" i="1" s="1"/>
  <c r="D13" i="6"/>
  <c r="D10" i="11"/>
  <c r="C10" i="11" s="1"/>
  <c r="D20" i="12"/>
  <c r="C20" i="12" s="1"/>
  <c r="C18" i="12" s="1"/>
  <c r="D10" i="68"/>
  <c r="C25" i="11"/>
  <c r="C18" i="71"/>
  <c r="D19" i="71"/>
  <c r="E54" i="34"/>
  <c r="F54" i="34" s="1"/>
  <c r="I54" i="34"/>
  <c r="J54" i="34" s="1"/>
  <c r="C19" i="67"/>
  <c r="C20" i="67" s="1"/>
  <c r="C26" i="67" s="1"/>
  <c r="T16" i="1"/>
  <c r="C18" i="15"/>
  <c r="C15" i="15"/>
  <c r="C38" i="68"/>
  <c r="C35" i="68"/>
  <c r="C36" i="11"/>
  <c r="C37" i="11"/>
  <c r="C34" i="11"/>
  <c r="C23" i="12"/>
  <c r="C14" i="12"/>
  <c r="C16" i="12" s="1"/>
  <c r="H19" i="6"/>
  <c r="S19" i="6"/>
  <c r="S27" i="6" s="1"/>
  <c r="I27" i="6"/>
  <c r="C19" i="69"/>
  <c r="C24" i="69" s="1"/>
  <c r="D37" i="69"/>
  <c r="C37" i="69" s="1"/>
  <c r="C33" i="69" s="1"/>
  <c r="I69" i="39"/>
  <c r="J67" i="39"/>
  <c r="I63" i="40"/>
  <c r="H65" i="40"/>
  <c r="I58" i="21"/>
  <c r="J58" i="21" s="1"/>
  <c r="K58" i="21" s="1"/>
  <c r="L58" i="21" s="1"/>
  <c r="M58" i="21" s="1"/>
  <c r="N58" i="21" s="1"/>
  <c r="O58" i="21" s="1"/>
  <c r="H7" i="21" s="1"/>
  <c r="J48" i="35"/>
  <c r="D1" i="43" l="1"/>
  <c r="E33" i="43"/>
  <c r="C22" i="11"/>
  <c r="C31" i="11" s="1"/>
  <c r="C21" i="12"/>
  <c r="C22" i="12" s="1"/>
  <c r="D16" i="6"/>
  <c r="R21" i="6"/>
  <c r="R8" i="1" s="1"/>
  <c r="D30" i="6"/>
  <c r="R26" i="6"/>
  <c r="M19" i="9"/>
  <c r="C118" i="9" s="1"/>
  <c r="B2" i="74" s="1"/>
  <c r="D27" i="6"/>
  <c r="L19" i="9"/>
  <c r="C10" i="68"/>
  <c r="D19" i="68"/>
  <c r="C4" i="52"/>
  <c r="B45" i="72" s="1"/>
  <c r="A10" i="51"/>
  <c r="B9" i="72" s="1"/>
  <c r="A7" i="51"/>
  <c r="B7" i="72" s="1"/>
  <c r="D18" i="71"/>
  <c r="C17" i="71"/>
  <c r="F7" i="21"/>
  <c r="S7" i="21" s="1"/>
  <c r="J7" i="21"/>
  <c r="AC7" i="21" s="1"/>
  <c r="V48" i="21" s="1"/>
  <c r="I48" i="21" s="1"/>
  <c r="C23" i="67"/>
  <c r="C29" i="67" s="1"/>
  <c r="J59" i="67" s="1"/>
  <c r="J60" i="67" s="1"/>
  <c r="Q48" i="67" s="1"/>
  <c r="C19" i="15"/>
  <c r="C20" i="15" s="1"/>
  <c r="C26" i="15" s="1"/>
  <c r="C38" i="11"/>
  <c r="C35" i="11"/>
  <c r="H27" i="6"/>
  <c r="R19" i="6"/>
  <c r="C39" i="69"/>
  <c r="C43" i="69" s="1"/>
  <c r="C42" i="69"/>
  <c r="J69" i="39"/>
  <c r="K67" i="39"/>
  <c r="U7" i="21"/>
  <c r="AB7" i="21"/>
  <c r="T48" i="21" s="1"/>
  <c r="G48" i="21" s="1"/>
  <c r="J63" i="40"/>
  <c r="I65" i="40"/>
  <c r="K48" i="35"/>
  <c r="L48" i="35" s="1"/>
  <c r="M48" i="35" s="1"/>
  <c r="N48" i="35" s="1"/>
  <c r="O48" i="35" s="1"/>
  <c r="H7" i="35" s="1"/>
  <c r="C30" i="43" l="1"/>
  <c r="C27" i="12"/>
  <c r="C25" i="12" s="1"/>
  <c r="C30" i="12"/>
  <c r="C28" i="12" s="1"/>
  <c r="D31" i="6"/>
  <c r="I6" i="6"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E6" i="76"/>
  <c r="F35" i="15"/>
  <c r="F35" i="67"/>
  <c r="M21" i="15"/>
  <c r="M21" i="67"/>
  <c r="E2" i="76" l="1"/>
  <c r="B2" i="43"/>
  <c r="I5" i="6"/>
  <c r="C32" i="12"/>
  <c r="B2" i="12" s="1"/>
  <c r="B3" i="12" s="1"/>
  <c r="C20" i="68"/>
  <c r="C24" i="68"/>
  <c r="C46" i="68"/>
  <c r="C45" i="68" s="1"/>
  <c r="C42" i="68"/>
  <c r="C41" i="68"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B6" i="76"/>
  <c r="B2" i="76" l="1"/>
  <c r="B3" i="76" s="1"/>
  <c r="B3" i="43"/>
  <c r="C49" i="68"/>
  <c r="C51" i="68" s="1"/>
  <c r="C28" i="68"/>
  <c r="C27" i="68" s="1"/>
  <c r="C25" i="68"/>
  <c r="C22" i="68" s="1"/>
  <c r="E53" i="21"/>
  <c r="F53" i="21" s="1"/>
  <c r="I53" i="2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8" i="1"/>
  <c r="AO9" i="1"/>
  <c r="AO10" i="1"/>
  <c r="AO11" i="1"/>
  <c r="AO7" i="1"/>
  <c r="AO12" i="1"/>
  <c r="C10" i="71" l="1"/>
  <c r="D11" i="71"/>
  <c r="R48" i="39"/>
  <c r="C47" i="39" s="1"/>
  <c r="B3" i="34"/>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21" i="9" l="1"/>
  <c r="D102" i="9"/>
  <c r="B6" i="70"/>
  <c r="B2" i="70" s="1"/>
  <c r="B3" i="70" s="1"/>
  <c r="B3" i="15"/>
  <c r="C48" i="39"/>
  <c r="B64" i="39" s="1"/>
  <c r="F64" i="39" s="1"/>
  <c r="D10" i="71"/>
  <c r="C9" i="71"/>
  <c r="C7" i="69"/>
  <c r="C5" i="69" s="1"/>
  <c r="B60" i="39"/>
  <c r="F60" i="39" s="1"/>
  <c r="B59" i="39"/>
  <c r="F59" i="39" s="1"/>
  <c r="I46" i="40"/>
  <c r="J46" i="40" s="1"/>
  <c r="R43" i="40"/>
  <c r="E42" i="40"/>
  <c r="G47" i="40"/>
  <c r="H47" i="40" s="1"/>
  <c r="G46" i="40"/>
  <c r="H46" i="40" s="1"/>
  <c r="D20" i="9"/>
  <c r="D103" i="9" l="1"/>
  <c r="B61" i="39"/>
  <c r="F61" i="39" s="1"/>
  <c r="B62" i="39"/>
  <c r="F62" i="39" s="1"/>
  <c r="B63" i="39"/>
  <c r="F63" i="39" s="1"/>
  <c r="B57" i="39"/>
  <c r="F57" i="39" s="1"/>
  <c r="B56" i="39"/>
  <c r="F56" i="39" s="1"/>
  <c r="B58" i="39"/>
  <c r="F58" i="39" s="1"/>
  <c r="C8" i="71"/>
  <c r="D9" i="71"/>
  <c r="C23" i="69"/>
  <c r="C20" i="69"/>
  <c r="C42" i="40"/>
  <c r="C43" i="40"/>
  <c r="E47" i="40"/>
  <c r="F47" i="40" s="1"/>
  <c r="E46" i="40"/>
  <c r="F46" i="40" s="1"/>
  <c r="I47" i="40"/>
  <c r="J47" i="40" s="1"/>
  <c r="F65" i="39" l="1"/>
  <c r="B2" i="39" s="1"/>
  <c r="B3" i="39" s="1"/>
  <c r="C7" i="7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C19" i="9"/>
  <c r="B3" i="69"/>
  <c r="D6" i="71" l="1"/>
  <c r="C5" i="71"/>
  <c r="D5" i="71" s="1"/>
  <c r="M24" i="43" s="1"/>
  <c r="C57" i="69"/>
  <c r="C56" i="69" s="1"/>
  <c r="D22" i="9"/>
  <c r="C102" i="9"/>
  <c r="C21" i="9"/>
  <c r="G19" i="9"/>
  <c r="D14" i="74" s="1"/>
  <c r="C20" i="9"/>
  <c r="G21" i="9" l="1"/>
  <c r="K22" i="9"/>
  <c r="M22" i="9" s="1"/>
  <c r="G20" i="9"/>
  <c r="C103" i="9"/>
  <c r="C32" i="9" l="1"/>
  <c r="R24" i="31"/>
  <c r="S24" i="31" s="1"/>
  <c r="D34" i="9"/>
  <c r="R25" i="31" l="1"/>
  <c r="T25" i="31" s="1"/>
  <c r="T24" i="31"/>
  <c r="E14" i="74"/>
  <c r="H118" i="9"/>
  <c r="I118" i="9" s="1"/>
  <c r="D35" i="9"/>
  <c r="H102" i="9" l="1"/>
  <c r="D7" i="53" s="1"/>
  <c r="B21" i="72" s="1"/>
  <c r="C105" i="9"/>
  <c r="I4" i="52"/>
  <c r="C35" i="9"/>
  <c r="H101" i="9"/>
  <c r="M48" i="9" s="1"/>
  <c r="S25" i="31"/>
  <c r="S22" i="31" s="1"/>
  <c r="R22" i="31" s="1"/>
  <c r="T22" i="31"/>
  <c r="U22" i="31" s="1"/>
  <c r="C104" i="9"/>
  <c r="H119" i="9"/>
  <c r="H5" i="52" s="1"/>
  <c r="H4" i="52"/>
  <c r="G14" i="74"/>
  <c r="B6" i="74" s="1"/>
  <c r="E6" i="74" s="1"/>
  <c r="D6" i="74" l="1"/>
  <c r="H107" i="9"/>
  <c r="D122" i="9" s="1"/>
  <c r="D5" i="53"/>
  <c r="D6" i="53" s="1"/>
  <c r="B22" i="72" s="1"/>
  <c r="D45" i="9"/>
  <c r="C72" i="9" s="1"/>
  <c r="C34" i="9"/>
  <c r="B20" i="31"/>
  <c r="B21" i="31" s="1"/>
  <c r="B1" i="74" s="1"/>
  <c r="F14" i="74"/>
  <c r="B5" i="74"/>
  <c r="D5" i="74" s="1"/>
  <c r="D13" i="53" l="1"/>
  <c r="B30" i="72" s="1"/>
  <c r="M49" i="9"/>
  <c r="L64" i="9" s="1"/>
  <c r="M64" i="9" s="1"/>
  <c r="H108" i="9"/>
  <c r="C6" i="74" s="1"/>
  <c r="C78" i="9"/>
  <c r="C73" i="9" s="1"/>
  <c r="C79" i="9" s="1"/>
  <c r="C80" i="9" s="1"/>
  <c r="E80" i="9" s="1"/>
  <c r="E81" i="9" s="1"/>
  <c r="D52" i="9"/>
  <c r="B20" i="72"/>
  <c r="C93" i="9"/>
  <c r="C86" i="9" s="1"/>
  <c r="C64" i="9"/>
  <c r="C63" i="9" s="1"/>
  <c r="C67" i="9" s="1"/>
  <c r="C68" i="9" s="1"/>
  <c r="D54" i="9" s="1"/>
  <c r="D53" i="9"/>
  <c r="C85" i="9"/>
  <c r="D55" i="9"/>
  <c r="M53" i="9" s="1"/>
  <c r="F118" i="9"/>
  <c r="G118" i="9" s="1"/>
  <c r="G4" i="52" s="1"/>
  <c r="B52" i="72" s="1"/>
  <c r="C5" i="74"/>
  <c r="D8" i="52"/>
  <c r="D123" i="9"/>
  <c r="D9" i="52" s="1"/>
  <c r="E118" i="9" l="1"/>
  <c r="E4" i="52" s="1"/>
  <c r="B48" i="72" s="1"/>
  <c r="D14" i="53"/>
  <c r="B32" i="72" s="1"/>
  <c r="D15" i="53"/>
  <c r="B31" i="72" s="1"/>
  <c r="L63" i="9"/>
  <c r="M63" i="9" s="1"/>
  <c r="L68" i="9"/>
  <c r="M68" i="9" s="1"/>
  <c r="L66" i="9"/>
  <c r="M66" i="9" s="1"/>
  <c r="L67" i="9"/>
  <c r="M67" i="9" s="1"/>
  <c r="L65" i="9"/>
  <c r="M65" i="9" s="1"/>
  <c r="D59" i="9"/>
  <c r="M55" i="9" s="1"/>
  <c r="C95" i="9"/>
  <c r="C96" i="9" s="1"/>
  <c r="E96" i="9" s="1"/>
  <c r="E97" i="9" s="1"/>
  <c r="D118" i="9"/>
  <c r="F119" i="9"/>
  <c r="F5" i="52" s="1"/>
  <c r="B53" i="72" s="1"/>
  <c r="F4" i="52"/>
  <c r="B51" i="72" s="1"/>
  <c r="C81" i="9"/>
  <c r="M69" i="9" l="1"/>
  <c r="N69" i="9" s="1"/>
  <c r="C97" i="9"/>
  <c r="D58" i="9" s="1"/>
  <c r="D56" i="9" s="1"/>
  <c r="M54" i="9" s="1"/>
  <c r="N57" i="9" s="1"/>
  <c r="N58" i="9" s="1"/>
  <c r="D4" i="52"/>
  <c r="B47" i="72" s="1"/>
  <c r="D119" i="9"/>
  <c r="D5" i="52" s="1"/>
  <c r="B49" i="72"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<sst xmlns="http://schemas.openxmlformats.org/spreadsheetml/2006/main" count="8215" uniqueCount="3620">
  <si>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</si>
  <si>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</si>
  <si>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</si>
  <si>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</si>
  <si>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</si>
  <si>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</si>
  <si>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</si>
  <si>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</si>
  <si>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</si>
  <si>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</si>
  <si>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</si>
  <si>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</si>
  <si>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</si>
  <si>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</si>
  <si>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</si>
  <si>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</si>
  <si>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</si>
  <si>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</si>
  <si>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</si>
  <si>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</si>
  <si>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</si>
  <si>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</si>
  <si>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</si>
  <si>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</si>
  <si>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</si>
  <si>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</si>
  <si>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</si>
  <si>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</si>
  <si>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</si>
  <si>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</si>
  <si>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</si>
  <si>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</si>
  <si>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</si>
  <si>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</si>
  <si>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</si>
  <si>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</si>
  <si>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</si>
  <si>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</si>
  <si>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</si>
  <si>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</si>
  <si>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</si>
  <si>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</si>
  <si>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</si>
  <si>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</si>
  <si>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</si>
  <si>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</si>
  <si>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</si>
  <si>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</si>
  <si>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</si>
  <si>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</si>
  <si>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</si>
  <si>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</si>
  <si>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</si>
  <si>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</si>
  <si>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</si>
  <si>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</si>
  <si>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</si>
  <si>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</si>
  <si>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</si>
  <si>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</si>
  <si>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</si>
  <si>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</si>
  <si>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</si>
  <si>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</si>
  <si>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</si>
  <si>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</si>
  <si>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</si>
  <si>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</si>
  <si>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</si>
  <si>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</si>
  <si>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</si>
  <si>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</si>
  <si>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</si>
  <si>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</si>
  <si>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</si>
  <si>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</si>
  <si>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</si>
  <si>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</si>
  <si>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</si>
  <si>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</si>
  <si>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</si>
  <si>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</si>
  <si>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</si>
  <si>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</si>
  <si>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</si>
  <si>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</si>
  <si>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</si>
  <si>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</si>
  <si>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</si>
  <si>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</si>
  <si>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</si>
  <si>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</si>
  <si>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</si>
  <si>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</si>
  <si>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</si>
  <si>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</si>
  <si>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</si>
  <si>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</si>
  <si>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</si>
  <si>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</si>
  <si>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</si>
  <si>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</si>
  <si>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</si>
  <si>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</si>
  <si>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</si>
  <si>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</si>
  <si>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</si>
  <si>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</si>
  <si>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</si>
  <si>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</si>
  <si>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</si>
  <si>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</si>
  <si>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</si>
  <si>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</si>
  <si>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</si>
  <si>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</si>
  <si>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</si>
  <si>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</si>
  <si>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</si>
  <si>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</si>
  <si>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</si>
  <si>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</si>
  <si>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</si>
  <si>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</si>
  <si>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</si>
  <si>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</si>
  <si>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</si>
  <si>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</si>
  <si>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</si>
  <si>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</si>
  <si>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</si>
  <si>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</si>
  <si>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</si>
  <si>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</si>
  <si>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</si>
  <si>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</si>
  <si>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</si>
  <si>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</si>
  <si>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</si>
  <si>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</si>
  <si>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</si>
  <si>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</si>
  <si>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</si>
  <si>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</si>
  <si>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</si>
  <si>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</si>
  <si>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</si>
  <si>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</si>
  <si>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</si>
  <si>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</si>
  <si>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</si>
  <si>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</si>
  <si>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</si>
  <si>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</si>
  <si>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</si>
  <si>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</si>
  <si>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</si>
  <si>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</si>
  <si>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</si>
  <si>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</si>
  <si>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</si>
  <si>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</si>
  <si>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</si>
  <si>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</si>
  <si>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</si>
  <si>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</si>
  <si>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</si>
  <si>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</si>
  <si>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</si>
  <si>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</si>
  <si>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</si>
  <si>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</si>
  <si>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</si>
  <si>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</si>
  <si>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</si>
  <si>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</si>
  <si>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</si>
  <si>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</si>
  <si>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</si>
  <si>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</si>
  <si>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</si>
  <si>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</si>
  <si>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</si>
  <si>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</si>
  <si>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</si>
  <si>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</si>
  <si>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</si>
  <si>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</si>
  <si>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</si>
  <si>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</si>
  <si>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</si>
  <si>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</si>
  <si>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</si>
  <si>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</si>
  <si>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</si>
  <si>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</si>
  <si>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</si>
  <si>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</si>
  <si>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</si>
  <si>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</si>
  <si>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</si>
  <si>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</si>
  <si>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</si>
  <si>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</si>
  <si>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</si>
  <si>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</si>
  <si>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</si>
  <si>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</si>
  <si>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</si>
  <si>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</si>
  <si>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</si>
  <si>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</si>
  <si>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</si>
  <si>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</si>
  <si>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</si>
  <si>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</si>
  <si>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</si>
  <si>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</si>
  <si>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</si>
  <si>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</si>
  <si>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</si>
  <si>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</si>
  <si>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</si>
  <si>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</si>
  <si>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</si>
  <si>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</si>
  <si>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</si>
  <si>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</si>
  <si>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</si>
  <si>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</si>
  <si>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</si>
  <si>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</si>
  <si>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</si>
  <si>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</si>
  <si>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</si>
  <si>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</si>
  <si>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</si>
  <si>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</si>
  <si>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</si>
  <si>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</si>
  <si>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</si>
  <si>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</si>
  <si>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</si>
  <si>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</si>
  <si>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</si>
  <si>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</si>
  <si>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</si>
  <si>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</si>
  <si>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</si>
  <si>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</si>
  <si>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</si>
  <si>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</si>
  <si>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</si>
  <si>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</si>
  <si>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</si>
  <si>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</si>
  <si>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</si>
  <si>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</si>
  <si>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</si>
  <si>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</si>
  <si>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</si>
  <si>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</si>
  <si>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</si>
  <si>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</si>
  <si>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</si>
  <si>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</si>
  <si>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</si>
  <si>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</si>
  <si>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</si>
  <si>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</si>
  <si>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</si>
  <si>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</si>
  <si>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</si>
  <si>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</si>
  <si>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</si>
  <si>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</si>
  <si>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</si>
  <si>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</si>
  <si>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</si>
  <si>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</si>
  <si>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</si>
  <si>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</si>
  <si>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</si>
  <si>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</si>
  <si>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</si>
  <si>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</si>
  <si>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</si>
  <si>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</si>
  <si>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</si>
  <si>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</si>
  <si>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</si>
  <si>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</si>
  <si>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</si>
  <si>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</si>
  <si>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</si>
  <si>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</si>
  <si>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</si>
  <si>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</si>
  <si>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</si>
  <si>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</si>
  <si>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</si>
  <si>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</si>
  <si>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</si>
  <si>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</si>
  <si>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</si>
  <si>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</si>
  <si>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</si>
  <si>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</si>
  <si>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</si>
  <si>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</si>
  <si>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</si>
  <si>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</si>
  <si>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</si>
  <si>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</si>
  <si>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</si>
  <si>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</si>
  <si>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</si>
  <si>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</si>
  <si>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</si>
  <si>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</si>
  <si>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</si>
  <si>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</si>
  <si>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</si>
  <si>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</si>
  <si>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</si>
  <si>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</si>
  <si>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</si>
  <si>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</si>
  <si>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</si>
  <si>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</si>
  <si>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</si>
  <si>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</si>
  <si>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</si>
  <si>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</si>
  <si>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</si>
  <si>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</si>
  <si>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</si>
  <si>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</si>
  <si>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</si>
  <si>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</si>
  <si>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</si>
  <si>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</si>
  <si>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</si>
  <si>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</si>
  <si>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</si>
  <si>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</si>
  <si>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</si>
  <si>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</si>
  <si>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</si>
  <si>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</si>
  <si>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</si>
  <si>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</si>
  <si>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</si>
  <si>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</si>
  <si>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</si>
  <si>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</si>
  <si>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</si>
  <si>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</si>
  <si>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</si>
  <si>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</si>
  <si>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</si>
  <si>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</si>
  <si>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</si>
  <si>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</si>
  <si>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</si>
  <si>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</si>
  <si>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</si>
  <si>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</si>
  <si>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</si>
  <si>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</si>
  <si>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</si>
  <si>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</si>
  <si>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</si>
  <si>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</si>
  <si>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</si>
  <si>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</si>
  <si>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</si>
  <si>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</si>
  <si>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</si>
  <si>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</si>
  <si>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</si>
  <si>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</si>
  <si>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</si>
  <si>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</si>
  <si>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</si>
  <si>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</si>
  <si>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</si>
  <si>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</si>
  <si>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</si>
  <si>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</si>
  <si>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</si>
  <si>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</si>
  <si>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</si>
  <si>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</si>
  <si>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</si>
  <si>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</si>
  <si>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</si>
  <si>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</si>
  <si>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</si>
  <si>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</si>
  <si>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</si>
  <si>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</si>
  <si>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</si>
  <si>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</si>
  <si>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</si>
  <si>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</si>
  <si>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</si>
  <si>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</si>
  <si>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</si>
  <si>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</si>
  <si>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</si>
  <si>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</si>
  <si>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</si>
  <si>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</si>
  <si>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</si>
  <si>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</si>
  <si>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</si>
  <si>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</si>
  <si>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</si>
  <si>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</si>
  <si>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</si>
  <si>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</si>
  <si>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</si>
  <si>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</si>
  <si>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</si>
  <si>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</si>
  <si>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</si>
  <si>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</si>
  <si>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</si>
  <si>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</si>
  <si>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</si>
  <si>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</si>
  <si>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</si>
  <si>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</si>
  <si>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</si>
  <si>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</si>
  <si>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</si>
  <si>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</si>
  <si>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</si>
  <si>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</si>
  <si>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</si>
  <si>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</si>
  <si>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</si>
  <si>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</si>
  <si>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</si>
  <si>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</si>
  <si>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</si>
  <si>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</si>
  <si>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</si>
  <si>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</si>
  <si>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</si>
  <si>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</si>
  <si>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</si>
  <si>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</si>
  <si>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</si>
  <si>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</si>
  <si>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</si>
  <si>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</si>
  <si>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</si>
  <si>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</si>
  <si>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</si>
  <si>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</si>
  <si>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</si>
  <si>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</si>
  <si>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</si>
  <si>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</si>
  <si>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</si>
  <si>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</si>
  <si>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</si>
  <si>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</si>
  <si>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</si>
  <si>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</si>
  <si>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</si>
  <si>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</si>
  <si>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</si>
  <si>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</si>
  <si>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</si>
  <si>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</si>
  <si>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</si>
  <si>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</si>
  <si>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</si>
  <si>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</si>
  <si>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</si>
  <si>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</si>
  <si>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</si>
  <si>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</si>
  <si>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</si>
  <si>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</si>
  <si>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</si>
  <si>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</si>
  <si>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</si>
  <si>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</si>
  <si>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</si>
  <si>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</si>
  <si>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</si>
  <si>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</si>
  <si>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</si>
  <si>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</si>
  <si>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</si>
  <si>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</si>
  <si>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</si>
  <si>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</si>
  <si>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</si>
  <si>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</si>
  <si>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</si>
  <si>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</si>
  <si>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</si>
  <si>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</si>
  <si>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</si>
  <si>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</si>
  <si>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</si>
  <si>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</si>
  <si>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</si>
  <si>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</si>
  <si>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</si>
  <si>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</si>
  <si>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</si>
  <si>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</si>
  <si>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</si>
  <si>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</si>
  <si>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</si>
  <si>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</si>
  <si>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</si>
  <si>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</si>
  <si>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</si>
  <si>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</si>
  <si>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</si>
  <si>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</si>
  <si>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</si>
  <si>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</si>
  <si>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</si>
  <si>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</si>
  <si>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</si>
  <si>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</si>
  <si>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</si>
  <si>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</si>
  <si>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</si>
  <si>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</si>
  <si>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</si>
  <si>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</si>
  <si>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</si>
  <si>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</si>
  <si>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</si>
  <si>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</si>
  <si>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</si>
  <si>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</si>
  <si>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</si>
  <si>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</si>
  <si>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</si>
  <si>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</si>
  <si>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</si>
  <si>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</si>
  <si>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</si>
  <si>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</si>
  <si>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</si>
  <si>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</si>
  <si>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</si>
  <si>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</si>
  <si>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</si>
  <si>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</si>
  <si>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</si>
  <si>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</si>
  <si>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</si>
  <si>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</si>
  <si>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</si>
  <si>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</si>
  <si>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</si>
  <si>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</si>
  <si>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</si>
  <si>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</si>
  <si>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</si>
  <si>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</si>
  <si>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</si>
  <si>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</si>
  <si>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</si>
  <si>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</si>
  <si>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</si>
  <si>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</si>
  <si>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</si>
  <si>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</si>
  <si>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</si>
  <si>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</si>
  <si>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</si>
  <si>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</si>
  <si>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</si>
  <si>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</si>
  <si>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</si>
  <si>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</si>
  <si>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</si>
  <si>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</si>
  <si>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</si>
  <si>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</si>
  <si>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</si>
  <si>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</si>
  <si>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</si>
  <si>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</si>
  <si>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</si>
  <si>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</si>
  <si>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</si>
  <si>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</si>
  <si>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</si>
  <si>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</si>
  <si>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</si>
  <si>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</si>
  <si>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</si>
  <si>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</si>
  <si>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</si>
  <si>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</si>
  <si>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</si>
  <si>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</si>
  <si>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</si>
  <si>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</si>
  <si>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</si>
  <si>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</si>
  <si>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</si>
  <si>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</si>
  <si>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</si>
  <si>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</si>
  <si>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</si>
  <si>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</si>
  <si>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</si>
  <si>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</si>
  <si>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</si>
  <si>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</si>
  <si>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</si>
  <si>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</si>
  <si>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</si>
  <si>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</si>
  <si>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</si>
  <si>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</si>
  <si>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</si>
  <si>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</si>
  <si>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</si>
  <si>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</si>
  <si>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</si>
  <si>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</si>
  <si>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</si>
  <si>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</si>
  <si>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</si>
  <si>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</si>
  <si>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</si>
  <si>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</si>
  <si>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</si>
  <si>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</si>
  <si>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</si>
  <si>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</si>
  <si>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</si>
  <si>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</si>
  <si>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</si>
  <si>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</si>
  <si>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</si>
  <si>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</si>
  <si>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</si>
  <si>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</si>
  <si>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</si>
  <si>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</si>
  <si>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</si>
  <si>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</si>
  <si>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</si>
  <si>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</si>
  <si>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</si>
  <si>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</si>
  <si>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</si>
  <si>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</si>
  <si>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</si>
  <si>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</si>
  <si>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</si>
  <si>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</si>
  <si>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</si>
  <si>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</si>
  <si>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</si>
  <si>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</si>
  <si>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</si>
  <si>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</si>
  <si>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</si>
  <si>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</si>
  <si>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</si>
  <si>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</si>
  <si>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</si>
  <si>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</si>
  <si>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</si>
  <si>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</si>
  <si>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</si>
  <si>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</si>
  <si>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</si>
  <si>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</si>
  <si>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</si>
  <si>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</si>
  <si>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</si>
  <si>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</si>
  <si>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</si>
  <si>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</si>
  <si>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</si>
  <si>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</si>
  <si>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</si>
  <si>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</si>
  <si>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</si>
  <si>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</si>
  <si>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</si>
  <si>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</si>
  <si>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</si>
  <si>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</si>
  <si>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</si>
  <si>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</si>
  <si>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</si>
  <si>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</si>
  <si>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</si>
  <si>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</si>
  <si>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</si>
  <si>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</si>
  <si>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</si>
  <si>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</si>
  <si>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</si>
  <si>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</si>
  <si>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</si>
  <si>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</si>
  <si>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</si>
  <si>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</si>
  <si>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</si>
  <si>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</si>
  <si>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</si>
  <si>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</si>
  <si>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</si>
  <si>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</si>
  <si>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</si>
  <si>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</si>
  <si>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</si>
  <si>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</si>
  <si>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</si>
  <si>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</si>
  <si>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</si>
  <si>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</si>
  <si>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</si>
  <si>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</si>
  <si>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</si>
  <si>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</si>
  <si>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</si>
  <si>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</si>
  <si>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</si>
  <si>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</si>
  <si>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</si>
  <si>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</si>
  <si>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</si>
  <si>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</si>
  <si>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</si>
  <si>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</si>
  <si>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</si>
  <si>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</si>
  <si>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</si>
  <si>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</si>
  <si>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</si>
  <si>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</si>
  <si>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</si>
  <si>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</si>
  <si>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</si>
  <si>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</si>
  <si>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</si>
  <si>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</si>
  <si>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</si>
  <si>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</si>
  <si>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</si>
  <si>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</si>
  <si>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</si>
  <si>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</si>
  <si>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</si>
  <si>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</si>
  <si>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</si>
  <si>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</si>
  <si>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</si>
  <si>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</si>
  <si>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</si>
  <si>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</si>
  <si>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</si>
  <si>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</si>
  <si>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</si>
  <si>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</si>
  <si>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</si>
  <si>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</si>
  <si>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</si>
  <si>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</si>
  <si>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</si>
  <si>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</si>
  <si>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</si>
  <si>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</si>
  <si>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</si>
  <si>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</si>
  <si>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</si>
  <si>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</si>
  <si>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</si>
  <si>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</si>
  <si>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</si>
  <si>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</si>
  <si>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</si>
  <si>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</si>
  <si>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</si>
  <si>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</si>
  <si>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</si>
  <si>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</si>
  <si>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</si>
  <si>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</si>
  <si>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</si>
  <si>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</si>
  <si>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</si>
  <si>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</si>
  <si>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</si>
  <si>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</si>
  <si>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</si>
  <si>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</si>
  <si>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</si>
  <si>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</si>
  <si>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</si>
  <si>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</si>
  <si>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</si>
  <si>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</si>
  <si>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</si>
  <si>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</si>
  <si>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</si>
  <si>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</si>
  <si>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</si>
  <si>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</si>
  <si>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</si>
  <si>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</si>
  <si>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</si>
  <si>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</si>
  <si>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</si>
  <si>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</si>
  <si>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</si>
  <si>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</si>
  <si>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</si>
  <si>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</si>
  <si>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</si>
  <si>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</si>
  <si>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</si>
  <si>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</si>
  <si>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</si>
  <si>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</si>
  <si>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</si>
  <si>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</si>
  <si>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</si>
  <si>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</si>
  <si>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</si>
  <si>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</si>
  <si>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</si>
  <si>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</si>
  <si>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</si>
  <si>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</si>
  <si>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</si>
  <si>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</si>
  <si>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</si>
  <si>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</si>
  <si>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</si>
  <si>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</si>
  <si>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</si>
  <si>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</si>
  <si>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</si>
  <si>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</si>
  <si>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</si>
  <si>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</si>
  <si>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</si>
  <si>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</si>
  <si>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</si>
  <si>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</si>
  <si>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</si>
  <si>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</si>
  <si>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</si>
  <si>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</si>
  <si>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</si>
  <si>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</si>
  <si>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</si>
  <si>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</si>
  <si>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</si>
  <si>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</si>
  <si>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</si>
  <si>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</si>
  <si>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</si>
  <si>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</si>
  <si>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</si>
  <si>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</si>
  <si>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</si>
  <si>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</si>
  <si>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</si>
  <si>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</si>
  <si>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</si>
  <si>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</si>
  <si>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</si>
  <si>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</si>
  <si>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</si>
  <si>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</si>
  <si>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</si>
  <si>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</si>
  <si>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</si>
  <si>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</si>
  <si>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</si>
  <si>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</si>
  <si>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</si>
  <si>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</si>
  <si>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</si>
  <si>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</si>
  <si>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</si>
  <si>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</si>
  <si>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</si>
  <si>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</si>
  <si>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</si>
  <si>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</si>
  <si>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</si>
  <si>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</si>
  <si>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</si>
  <si>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</si>
  <si>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</si>
  <si>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</si>
  <si>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</si>
  <si>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</si>
  <si>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</si>
  <si>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</si>
  <si>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</si>
  <si>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</si>
  <si>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</si>
  <si>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</si>
  <si>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</si>
  <si>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</si>
  <si>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</si>
  <si>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</si>
  <si>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</si>
  <si>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</si>
  <si>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</si>
  <si>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</si>
  <si>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</si>
  <si>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</si>
  <si>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</si>
  <si>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</si>
  <si>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</si>
  <si>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</si>
  <si>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</si>
  <si>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</si>
  <si>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</si>
  <si>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</si>
  <si>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</si>
  <si>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</si>
  <si>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</si>
  <si>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</si>
  <si>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</si>
  <si>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</si>
  <si>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</si>
  <si>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</si>
  <si>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</si>
  <si>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</si>
  <si>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</si>
  <si>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</si>
  <si>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</si>
  <si>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</si>
  <si>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</si>
  <si>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</si>
  <si>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</si>
  <si>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</si>
  <si>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</si>
  <si>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</si>
  <si>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</si>
  <si>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</si>
  <si>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</si>
  <si>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</si>
  <si>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</si>
  <si>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</si>
  <si>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</si>
  <si>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</si>
  <si>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</si>
  <si>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</si>
  <si>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</si>
  <si>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</si>
  <si>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</si>
  <si>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</si>
  <si>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</si>
  <si>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</si>
  <si>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</si>
  <si>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</si>
  <si>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</si>
  <si>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</si>
  <si>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</si>
  <si>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</si>
  <si>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</si>
  <si>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</si>
  <si>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</si>
  <si>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</si>
  <si>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</si>
  <si>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</si>
  <si>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</si>
  <si>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</si>
  <si>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</si>
  <si>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</si>
  <si>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</si>
  <si>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</si>
  <si>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</si>
  <si>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</si>
  <si>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</si>
  <si>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</si>
  <si>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</si>
  <si>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</si>
  <si>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</si>
  <si>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</si>
  <si>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</si>
  <si>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</si>
  <si>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</si>
  <si>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</si>
  <si>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</si>
  <si>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</si>
  <si>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</si>
  <si>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</si>
  <si>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</si>
  <si>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</si>
  <si>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</si>
  <si>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</si>
  <si>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</si>
  <si>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</si>
  <si>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</si>
  <si>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</si>
  <si>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</si>
  <si>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</si>
  <si>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</si>
  <si>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</si>
  <si>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</si>
  <si>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</si>
  <si>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</si>
  <si>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</si>
  <si>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</si>
  <si>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</si>
  <si>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</si>
  <si>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</si>
  <si>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</si>
  <si>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</si>
  <si>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</si>
  <si>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</si>
  <si>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</si>
  <si>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</si>
  <si>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</si>
  <si>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</si>
  <si>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</si>
  <si>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</si>
  <si>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</si>
  <si>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</si>
  <si>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</si>
  <si>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</si>
  <si>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</si>
  <si>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</si>
  <si>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</si>
  <si>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</si>
  <si>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</si>
  <si>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</si>
  <si>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</si>
  <si>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</si>
  <si>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</si>
  <si>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</si>
  <si>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</si>
  <si>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</si>
  <si>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</si>
  <si>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</si>
  <si>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</si>
  <si>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</si>
  <si>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</si>
  <si>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</si>
  <si>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</si>
  <si>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</si>
  <si>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</si>
  <si>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</si>
  <si>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</si>
  <si>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</si>
  <si>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</si>
  <si>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</si>
  <si>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</si>
  <si>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</si>
  <si>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</si>
  <si>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</si>
  <si>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</si>
  <si>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</si>
  <si>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</si>
  <si>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</si>
  <si>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</si>
  <si>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</si>
  <si>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</si>
  <si>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</si>
  <si>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</si>
  <si>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</si>
  <si>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</si>
  <si>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</si>
  <si>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</si>
  <si>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</si>
  <si>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</si>
  <si>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</si>
  <si>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</si>
  <si>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</si>
  <si>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</si>
  <si>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</si>
  <si>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</si>
  <si>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</si>
  <si>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</si>
  <si>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</si>
  <si>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</si>
  <si>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</si>
  <si>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</si>
  <si>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</si>
  <si>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</si>
  <si>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</si>
  <si>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</si>
  <si>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</si>
  <si>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</si>
  <si>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</si>
  <si>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</si>
  <si>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</si>
  <si>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</si>
  <si>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</si>
  <si>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</si>
  <si>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</si>
  <si>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</si>
  <si>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</si>
  <si>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</si>
  <si>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</si>
  <si>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</si>
  <si>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</si>
  <si>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</si>
  <si>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</si>
  <si>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</si>
  <si>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</si>
  <si>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</si>
  <si>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</si>
  <si>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</si>
  <si>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</si>
  <si>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</si>
  <si>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</si>
  <si>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</si>
  <si>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</si>
  <si>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</si>
  <si>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</si>
  <si>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</si>
  <si>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</si>
  <si>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</si>
  <si>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</si>
  <si>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</si>
  <si>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</si>
  <si>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</si>
  <si>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</si>
  <si>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</si>
  <si>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</si>
  <si>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</si>
  <si>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</si>
  <si>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</si>
  <si>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</si>
  <si>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</si>
  <si>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</si>
  <si>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</si>
  <si>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</si>
  <si>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</si>
  <si>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</si>
  <si>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</si>
  <si>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</si>
  <si>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</si>
  <si>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</si>
  <si>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</si>
  <si>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</si>
  <si>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</si>
  <si>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</si>
  <si>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</si>
  <si>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</si>
  <si>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</si>
  <si>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</si>
  <si>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</si>
  <si>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</si>
  <si>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</si>
  <si>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</si>
  <si>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</si>
  <si>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</si>
  <si>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</si>
  <si>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</si>
  <si>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</si>
  <si>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</si>
  <si>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</si>
  <si>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</si>
  <si>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</si>
  <si>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</si>
  <si>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</si>
  <si>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</si>
  <si>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</si>
  <si>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</si>
  <si>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</si>
  <si>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</si>
  <si>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</si>
  <si>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</si>
  <si>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</si>
  <si>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</si>
  <si>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</si>
  <si>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</si>
  <si>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</si>
  <si>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</si>
  <si>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</si>
  <si>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</si>
  <si>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</si>
  <si>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</si>
  <si>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</si>
  <si>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</si>
  <si>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</si>
  <si>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</si>
  <si>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</si>
  <si>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</si>
  <si>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</si>
  <si>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</si>
  <si>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</si>
  <si>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</si>
  <si>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</si>
  <si>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</si>
  <si>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</si>
  <si>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</si>
  <si>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</si>
  <si>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</si>
  <si>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</si>
  <si>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</si>
  <si>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</si>
  <si>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</si>
  <si>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</si>
  <si>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</si>
  <si>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</si>
  <si>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</si>
  <si>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</si>
  <si>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</si>
  <si>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</si>
  <si>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</si>
  <si>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</si>
  <si>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</si>
  <si>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</si>
  <si>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</si>
  <si>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</si>
  <si>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</si>
  <si>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</si>
  <si>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</si>
  <si>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</si>
  <si>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</si>
  <si>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</si>
  <si>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</si>
  <si>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</si>
  <si>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</si>
  <si>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</si>
  <si>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</si>
  <si>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</si>
  <si>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</si>
  <si>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</si>
  <si>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</si>
  <si>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</si>
  <si>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</si>
  <si>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</si>
  <si>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</si>
  <si>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</si>
  <si>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</si>
  <si>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</si>
  <si>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</si>
  <si>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</si>
  <si>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</si>
  <si>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</si>
  <si>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</si>
  <si>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</si>
  <si>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</si>
  <si>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</si>
  <si>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</si>
  <si>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</si>
  <si>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</si>
  <si>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</si>
  <si>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</si>
  <si>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</si>
  <si>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</si>
  <si>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</si>
  <si>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</si>
  <si>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</si>
  <si>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</si>
  <si>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</si>
  <si>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</si>
  <si>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</si>
  <si>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</si>
  <si>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</si>
  <si>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</si>
  <si>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</si>
  <si>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</si>
  <si>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</si>
  <si>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</si>
  <si>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</si>
  <si>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</si>
  <si>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</si>
  <si>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</si>
  <si>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</si>
  <si>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</si>
  <si>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</si>
  <si>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</si>
  <si>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</si>
  <si>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</si>
  <si>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</si>
  <si>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</si>
  <si>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</si>
  <si>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</si>
  <si>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</si>
  <si>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</si>
  <si>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</si>
  <si>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</si>
  <si>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</si>
  <si>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</si>
  <si>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</si>
  <si>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</si>
  <si>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</si>
  <si>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</si>
  <si>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</si>
  <si>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</si>
  <si>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</si>
  <si>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</si>
  <si>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</si>
  <si>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</si>
  <si>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</si>
  <si>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</si>
  <si>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</si>
  <si>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</si>
  <si>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</si>
  <si>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</si>
  <si>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</si>
  <si>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</si>
  <si>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</si>
  <si>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</si>
  <si>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</si>
  <si>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</si>
  <si>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</si>
  <si>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</si>
  <si>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</si>
  <si>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</si>
  <si>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</si>
  <si>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</si>
  <si>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</si>
  <si>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</si>
  <si>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</si>
  <si>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</si>
  <si>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</si>
  <si>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</si>
  <si>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</si>
  <si>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</si>
  <si>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</si>
  <si>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</si>
  <si>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</si>
  <si>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</si>
  <si>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</si>
  <si>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</si>
  <si>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</si>
  <si>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</si>
  <si>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</si>
  <si>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</si>
  <si>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</si>
  <si>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</si>
  <si>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</si>
  <si>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</si>
  <si>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</si>
  <si>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</si>
  <si>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</si>
  <si>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</si>
  <si>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</si>
  <si>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</si>
  <si>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</si>
  <si>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</si>
  <si>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</si>
  <si>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</si>
  <si>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</si>
  <si>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</si>
  <si>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</si>
  <si>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</si>
  <si>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</si>
  <si>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</si>
  <si>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</si>
  <si>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</si>
  <si>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</si>
  <si>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</si>
  <si>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</si>
  <si>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</si>
  <si>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</si>
  <si>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</si>
  <si>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</si>
  <si>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</si>
  <si>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</si>
  <si>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</si>
  <si>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</si>
  <si>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</si>
  <si>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</si>
  <si>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</si>
  <si>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</si>
  <si>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</si>
  <si>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</si>
  <si>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</si>
  <si>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</si>
  <si>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</si>
  <si>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</si>
  <si>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</si>
  <si>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</si>
  <si>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</si>
  <si>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</si>
  <si>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</si>
  <si>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</si>
  <si>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</si>
  <si>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</si>
  <si>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</si>
  <si>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</si>
  <si>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</si>
  <si>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</si>
  <si>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</si>
  <si>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</si>
  <si>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</si>
  <si>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</si>
  <si>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</si>
  <si>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</si>
  <si>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</si>
  <si>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</si>
  <si>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</si>
  <si>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</si>
  <si>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</si>
  <si>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</si>
  <si>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</si>
  <si>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</si>
  <si>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</si>
  <si>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</si>
  <si>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</si>
  <si>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</si>
  <si>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</si>
  <si>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</si>
  <si>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</si>
  <si>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</si>
  <si>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</si>
  <si>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</si>
  <si>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</si>
  <si>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</si>
  <si>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</si>
  <si>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</si>
  <si>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</si>
  <si>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</si>
  <si>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</si>
  <si>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</si>
  <si>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</si>
  <si>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</si>
  <si>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</si>
  <si>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</si>
  <si>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</si>
  <si>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</si>
  <si>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</si>
  <si>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</si>
  <si>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</si>
  <si>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</si>
  <si>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</si>
  <si>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</si>
  <si>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</si>
  <si>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</si>
  <si>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</si>
  <si>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</si>
  <si>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</si>
  <si>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</si>
  <si>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</si>
  <si>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</si>
  <si>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</si>
  <si>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</si>
  <si>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</si>
  <si>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</si>
  <si>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</si>
  <si>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</si>
  <si>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</si>
  <si>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</si>
  <si>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</si>
  <si>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</si>
  <si>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</si>
  <si>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</si>
  <si>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</si>
  <si>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</si>
  <si>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</si>
  <si>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</si>
  <si>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</si>
  <si>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</si>
  <si>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</si>
  <si>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</si>
  <si>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</si>
  <si>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</si>
  <si>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</si>
  <si>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</si>
  <si>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</si>
  <si>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</si>
  <si>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</si>
  <si>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</si>
  <si>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</si>
  <si>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</si>
  <si>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</si>
  <si>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</si>
  <si>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</si>
  <si>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</si>
  <si>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</si>
  <si>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</si>
  <si>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</si>
  <si>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</si>
  <si>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</si>
  <si>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</si>
  <si>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</si>
  <si>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</si>
  <si>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</si>
  <si>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</si>
  <si>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</si>
  <si>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</si>
  <si>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</si>
  <si>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</si>
  <si>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</si>
  <si>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</si>
  <si>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</si>
  <si>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</si>
  <si>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</si>
  <si>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</si>
  <si>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</si>
  <si>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</si>
  <si>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</si>
  <si>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</si>
  <si>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</si>
  <si>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</si>
  <si>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</si>
  <si>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</si>
  <si>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</si>
  <si>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</si>
  <si>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</si>
  <si>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</si>
  <si>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</si>
  <si>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</si>
  <si>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</si>
  <si>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</si>
  <si>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</si>
  <si>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</si>
  <si>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</si>
  <si>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</si>
  <si>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</si>
  <si>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</si>
  <si>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</si>
  <si>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</si>
  <si>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</si>
  <si>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</si>
  <si>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</si>
  <si>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</si>
  <si>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</si>
  <si>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</si>
  <si>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</si>
  <si>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</si>
  <si>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</si>
  <si>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</si>
  <si>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</si>
  <si>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</si>
  <si>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</si>
  <si>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</si>
  <si>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</si>
  <si>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</si>
  <si>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</si>
  <si>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</si>
  <si>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</si>
  <si>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</si>
  <si>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</si>
  <si>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</si>
  <si>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</si>
  <si>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</si>
  <si>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</si>
  <si>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</si>
  <si>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</si>
  <si>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</si>
  <si>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</si>
  <si>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</si>
  <si>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</si>
  <si>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</si>
  <si>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</si>
  <si>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</si>
  <si>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</si>
  <si>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</si>
  <si>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</si>
  <si>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</si>
  <si>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</si>
  <si>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</si>
  <si>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</si>
  <si>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</si>
  <si>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</si>
  <si>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</si>
  <si>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</si>
  <si>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</si>
  <si>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</si>
  <si>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</si>
  <si>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</si>
  <si>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</si>
  <si>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</si>
  <si>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</si>
  <si>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</si>
  <si>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</si>
  <si>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</si>
  <si>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</si>
  <si>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</si>
  <si>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</si>
  <si>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</si>
  <si>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</si>
  <si>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</si>
  <si>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</si>
  <si>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</si>
  <si>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</si>
  <si>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</si>
  <si>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</si>
  <si>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</si>
  <si>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</si>
  <si>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</si>
  <si>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</si>
  <si>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</si>
  <si>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</si>
  <si>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</si>
  <si>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</si>
  <si>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</si>
  <si>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</si>
  <si>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</si>
  <si>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</si>
  <si>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</si>
  <si>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</si>
  <si>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</si>
  <si>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</si>
  <si>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</si>
  <si>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</si>
  <si>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</si>
  <si>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</si>
  <si>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</si>
  <si>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</si>
  <si>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</si>
  <si>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</si>
  <si>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</si>
  <si>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</si>
  <si>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</si>
  <si>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</si>
  <si>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</si>
  <si>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</si>
  <si>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</si>
  <si>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</si>
  <si>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</si>
  <si>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</si>
  <si>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</si>
  <si>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</si>
  <si>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</si>
  <si>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</si>
  <si>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</si>
  <si>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</si>
  <si>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</si>
  <si>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</si>
  <si>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</si>
  <si>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</si>
  <si>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</si>
  <si>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</si>
  <si>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</si>
  <si>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</si>
  <si>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</si>
  <si>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</si>
  <si>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</si>
  <si>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</si>
  <si>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</si>
  <si>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</si>
  <si>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</si>
  <si>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</si>
  <si>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</si>
  <si>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</si>
  <si>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</si>
  <si>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</si>
  <si>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</si>
  <si>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</si>
  <si>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</si>
  <si>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</si>
  <si>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</si>
  <si>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</si>
  <si>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</si>
  <si>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</si>
  <si>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</si>
  <si>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</si>
  <si>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</si>
  <si>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</si>
  <si>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</si>
  <si>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</si>
  <si>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</si>
  <si>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</si>
  <si>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</si>
  <si>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</si>
  <si>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</si>
  <si>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</si>
  <si>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</si>
  <si>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</si>
  <si>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</si>
  <si>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</si>
  <si>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</si>
  <si>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</si>
  <si>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</si>
  <si>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</si>
  <si>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</si>
  <si>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</si>
  <si>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</si>
  <si>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</si>
  <si>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</si>
  <si>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</si>
  <si>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</si>
  <si>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</si>
  <si>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</si>
  <si>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</si>
  <si>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</si>
  <si>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</si>
  <si>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</si>
  <si>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</si>
  <si>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</si>
  <si>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</si>
  <si>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</si>
  <si>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</si>
  <si>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</si>
  <si>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</si>
  <si>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</si>
  <si>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</si>
  <si>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</si>
  <si>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</si>
  <si>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</si>
  <si>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</si>
  <si>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</si>
  <si>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</si>
  <si>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</si>
  <si>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</si>
  <si>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</si>
  <si>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</si>
  <si>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</si>
  <si>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</si>
  <si>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</si>
  <si>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</si>
  <si>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</si>
  <si>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</si>
  <si>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</si>
  <si>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</si>
  <si>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</si>
  <si>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</si>
  <si>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</si>
  <si>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</si>
  <si>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</si>
  <si>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</si>
  <si>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</si>
  <si>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</si>
  <si>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</si>
  <si>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</si>
  <si>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</si>
  <si>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</si>
  <si>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</si>
  <si>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</si>
  <si>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</si>
  <si>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</si>
  <si>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</si>
  <si>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</si>
  <si>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</si>
  <si>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</si>
  <si>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</si>
  <si>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</si>
  <si>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</si>
  <si>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</si>
  <si>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</si>
  <si>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</si>
  <si>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</si>
  <si>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</si>
  <si>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</si>
  <si>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</si>
  <si>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</si>
  <si>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</si>
  <si>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</si>
  <si>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</si>
  <si>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</si>
  <si>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</si>
  <si>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</si>
  <si>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</si>
  <si>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</si>
  <si>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</si>
  <si>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</si>
  <si>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</si>
  <si>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</si>
  <si>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</si>
  <si>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</si>
  <si>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</si>
  <si>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</si>
  <si>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</si>
  <si>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</si>
  <si>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</si>
  <si>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</si>
  <si>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</si>
  <si>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</si>
  <si>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</si>
  <si>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</si>
  <si>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</si>
  <si>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</si>
  <si>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</si>
  <si>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</si>
  <si>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</si>
  <si>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</si>
  <si>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</si>
  <si>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</si>
  <si>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</si>
  <si>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</si>
  <si>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</si>
  <si>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</si>
  <si>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</si>
  <si>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</si>
  <si>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</si>
  <si>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</si>
  <si>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</si>
  <si>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</si>
  <si>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</si>
  <si>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</si>
  <si>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</si>
  <si>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</si>
  <si>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</si>
  <si>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</si>
  <si>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</si>
  <si>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</si>
  <si>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</si>
  <si>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</si>
  <si>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</si>
  <si>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</si>
  <si>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</si>
  <si>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</si>
  <si>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</si>
  <si>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</si>
  <si>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</si>
  <si>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</si>
  <si>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</si>
  <si>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</si>
  <si>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</si>
  <si>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</si>
  <si>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</si>
  <si>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</si>
  <si>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</si>
  <si>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</si>
  <si>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</si>
  <si>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</si>
  <si>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</si>
  <si>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</si>
  <si>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</si>
  <si>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</si>
  <si>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</si>
  <si>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</si>
  <si>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</si>
  <si>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</si>
  <si>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</si>
  <si>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</si>
  <si>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</si>
  <si>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</si>
  <si>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</si>
  <si>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</si>
  <si>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</si>
  <si>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</si>
  <si>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</si>
  <si>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</si>
  <si>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</si>
  <si>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</si>
  <si>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</si>
  <si>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</si>
  <si>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</si>
  <si>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</si>
  <si>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</si>
  <si>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</si>
  <si>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</si>
  <si>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</si>
  <si>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</si>
  <si>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</si>
  <si>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</si>
  <si>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</si>
  <si>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</si>
  <si>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</si>
  <si>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</si>
  <si>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</si>
  <si>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</si>
  <si>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</si>
  <si>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</si>
  <si>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</si>
  <si>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</si>
  <si>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</si>
  <si>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</si>
  <si>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</si>
  <si>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</si>
  <si>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</si>
  <si>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</si>
  <si>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</si>
  <si>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</si>
  <si>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</si>
  <si>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</si>
  <si>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</si>
  <si>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</si>
  <si>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</si>
  <si>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</si>
  <si>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</si>
  <si>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</si>
  <si>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</si>
  <si>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</si>
  <si>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</si>
  <si>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</si>
  <si>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</si>
  <si>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</si>
  <si>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</si>
  <si>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</si>
  <si>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</si>
  <si>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</si>
  <si>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</si>
  <si>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</si>
  <si>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</si>
  <si>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</si>
  <si>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</si>
  <si>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</si>
  <si>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</si>
  <si>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</si>
  <si>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</si>
  <si>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</si>
  <si>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</si>
  <si>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</si>
  <si>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</si>
  <si>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</si>
  <si>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</si>
  <si>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</si>
  <si>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</si>
  <si>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</si>
  <si>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</si>
  <si>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</si>
  <si>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</si>
  <si>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</si>
  <si>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</si>
  <si>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</si>
  <si>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</si>
  <si>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</si>
  <si>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</si>
  <si>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</si>
  <si>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</si>
  <si>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</si>
  <si>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</si>
  <si>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</si>
  <si>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</si>
  <si>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</si>
  <si>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</si>
  <si>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</si>
  <si>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</si>
  <si>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</si>
  <si>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</si>
  <si>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</si>
  <si>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</si>
  <si>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</si>
  <si>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</si>
  <si>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</si>
  <si>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</si>
  <si>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</si>
  <si>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</si>
  <si>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</si>
  <si>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</si>
  <si>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</si>
  <si>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</si>
  <si>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</si>
  <si>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</si>
  <si>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</si>
  <si>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</si>
  <si>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</si>
  <si>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</si>
  <si>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</si>
  <si>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</si>
  <si>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</si>
  <si>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</si>
  <si>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</si>
  <si>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</si>
  <si>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</si>
  <si>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</si>
  <si>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</si>
  <si>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</si>
  <si>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</si>
  <si>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</si>
  <si>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</si>
  <si>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</si>
  <si>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</si>
  <si>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</si>
  <si>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</si>
  <si>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</si>
  <si>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</si>
  <si>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</si>
  <si>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</si>
  <si>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</si>
  <si>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</si>
  <si>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</si>
  <si>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</si>
  <si>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</si>
  <si>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</si>
  <si>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</si>
  <si>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</si>
  <si>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</si>
  <si>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</si>
  <si>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</si>
  <si>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</si>
  <si>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</si>
  <si>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</si>
  <si>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</si>
  <si>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</si>
  <si>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</si>
  <si>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</si>
  <si>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</si>
  <si>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</si>
  <si>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</si>
  <si>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</si>
  <si>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</si>
  <si>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</si>
  <si>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</si>
  <si>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</si>
  <si>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</si>
  <si>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</si>
  <si>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</si>
  <si>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</si>
  <si>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</si>
  <si>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</si>
  <si>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</si>
  <si>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</si>
  <si>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</si>
  <si>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</si>
  <si>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</si>
  <si>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</si>
  <si>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</si>
  <si>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</si>
  <si>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</si>
  <si>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</si>
  <si>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</si>
  <si>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</si>
  <si>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</si>
  <si>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</si>
  <si>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</si>
  <si>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</si>
  <si>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</si>
  <si>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</si>
  <si>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</si>
  <si>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</si>
  <si>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</si>
  <si>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</si>
  <si>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</si>
  <si>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</si>
  <si>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</si>
  <si>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</si>
  <si>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</si>
  <si>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</si>
  <si>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</si>
  <si>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</si>
  <si>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</si>
  <si>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</si>
  <si>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</si>
  <si>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</si>
  <si>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</si>
  <si>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</si>
  <si>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</si>
  <si>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</si>
  <si>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</si>
  <si>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</si>
  <si>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</si>
  <si>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</si>
  <si>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</si>
  <si>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</si>
  <si>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</si>
  <si>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</si>
  <si>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</si>
  <si>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</si>
  <si>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</si>
  <si>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</si>
  <si>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</si>
  <si>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</si>
  <si>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</si>
  <si>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</si>
  <si>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</si>
  <si>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</si>
  <si>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</si>
  <si>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</si>
  <si>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</si>
  <si>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</si>
  <si>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</si>
  <si>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</si>
  <si>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</si>
  <si>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</si>
  <si>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</si>
  <si>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</si>
  <si>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</si>
  <si>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</si>
  <si>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</si>
  <si>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</si>
  <si>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</si>
  <si>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</si>
  <si>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</si>
  <si>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</si>
  <si>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</si>
  <si>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</si>
  <si>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</si>
  <si>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</si>
  <si>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</si>
  <si>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</si>
  <si>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</si>
  <si>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</si>
  <si>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</si>
  <si>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</si>
  <si>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</si>
  <si>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</si>
  <si>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</si>
  <si>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</si>
  <si>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</si>
  <si>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</si>
  <si>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</si>
  <si>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</si>
  <si>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</si>
  <si>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</si>
  <si>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</si>
  <si>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</si>
  <si>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</si>
  <si>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</si>
  <si>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</si>
  <si>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</si>
  <si>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</si>
  <si>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</si>
  <si>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</si>
  <si>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</si>
  <si>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</si>
  <si>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</si>
  <si>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</si>
  <si>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</si>
  <si>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</si>
  <si>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</si>
  <si>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</si>
  <si>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</si>
  <si>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</si>
  <si>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</si>
  <si>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</si>
  <si>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</si>
  <si>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</si>
  <si>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</si>
  <si>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</si>
  <si>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</si>
  <si>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</si>
  <si>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</si>
  <si>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</si>
  <si>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</si>
  <si>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</si>
  <si>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</si>
  <si>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</si>
  <si>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</si>
  <si>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</si>
  <si>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</si>
  <si>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</si>
  <si>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</si>
  <si>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</si>
  <si>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</si>
  <si>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</si>
  <si>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</si>
  <si>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</si>
  <si>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</si>
  <si>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</si>
  <si>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</si>
  <si>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</si>
  <si>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</si>
  <si>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</si>
  <si>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</si>
  <si>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</si>
  <si>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</si>
  <si>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</si>
  <si>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</si>
  <si>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</si>
  <si>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</si>
  <si>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</si>
  <si>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</si>
  <si>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</si>
  <si>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</si>
  <si>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</si>
  <si>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</si>
  <si>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</si>
  <si>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</si>
  <si>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</si>
  <si>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</si>
  <si>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</si>
  <si>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</si>
  <si>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</si>
  <si>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</si>
  <si>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</si>
  <si>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</si>
  <si>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</si>
  <si>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</si>
  <si>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</si>
  <si>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</si>
  <si>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</si>
  <si>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</si>
  <si>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</si>
  <si>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</si>
  <si>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</si>
  <si>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</si>
  <si>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</si>
  <si>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</si>
  <si>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</si>
  <si>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</si>
  <si>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</si>
  <si>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</si>
  <si>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</si>
  <si>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</si>
  <si>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</si>
  <si>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</si>
  <si>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</si>
  <si>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</si>
  <si>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</si>
  <si>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</si>
  <si>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</si>
  <si>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</si>
  <si>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</si>
  <si>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</si>
  <si>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</si>
  <si>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</si>
  <si>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</si>
  <si>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</si>
  <si>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</si>
  <si>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</si>
  <si>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</si>
  <si>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</si>
  <si>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</si>
  <si>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</si>
  <si>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</si>
  <si>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</si>
  <si>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</si>
  <si>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</si>
  <si>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</si>
  <si>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</si>
  <si>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</si>
  <si>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</si>
  <si>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</si>
  <si>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</si>
  <si>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</si>
  <si>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</si>
  <si>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</si>
  <si>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</si>
  <si>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</si>
  <si>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</si>
  <si>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</si>
  <si>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</si>
  <si>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</si>
  <si>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</si>
  <si>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</si>
  <si>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</si>
  <si>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</si>
  <si>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</si>
  <si>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</si>
  <si>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</si>
  <si>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</si>
  <si>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</si>
  <si>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</si>
  <si>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</si>
  <si>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</si>
  <si>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</si>
  <si>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</si>
  <si>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</si>
  <si>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</si>
  <si>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</si>
  <si>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</si>
  <si>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</si>
  <si>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</si>
  <si>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</si>
  <si>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</si>
  <si>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</si>
  <si>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</si>
  <si>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</si>
  <si>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</si>
  <si>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</si>
  <si>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</si>
  <si>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</si>
  <si>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</si>
  <si>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</si>
  <si>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</si>
  <si>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</si>
  <si>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</si>
  <si>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</si>
  <si>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</si>
  <si>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</si>
  <si>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</si>
  <si>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</si>
  <si>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</si>
  <si>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</si>
  <si>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</si>
  <si>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</si>
  <si>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</si>
  <si>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</si>
  <si>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</si>
  <si>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</si>
  <si>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</si>
  <si>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</si>
  <si>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</si>
  <si>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</si>
  <si>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</si>
  <si>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</si>
  <si>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</si>
  <si>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</si>
  <si>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</si>
  <si>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</si>
  <si>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</si>
  <si>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</si>
  <si>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</si>
  <si>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</si>
  <si>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</si>
  <si>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</si>
  <si>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</si>
  <si>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</si>
  <si>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</si>
  <si>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</si>
  <si>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</si>
  <si>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</si>
  <si>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</si>
  <si>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</si>
  <si>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</si>
  <si>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</si>
  <si>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</si>
  <si>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</si>
  <si>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</si>
  <si>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</si>
  <si>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</si>
  <si>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</si>
  <si>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</si>
  <si>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</si>
  <si>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</si>
  <si>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</si>
  <si>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</si>
  <si>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</si>
  <si>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</si>
  <si>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</si>
  <si>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</si>
  <si>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</si>
  <si>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</si>
  <si>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</si>
  <si>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</si>
  <si>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</si>
  <si>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</si>
  <si>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</si>
  <si>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</si>
  <si>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</si>
  <si>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</si>
  <si>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</si>
  <si>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</si>
  <si>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</si>
  <si>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</si>
  <si>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</si>
  <si>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</si>
  <si>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</si>
  <si>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</si>
  <si>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</si>
  <si>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</si>
  <si>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</si>
  <si>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</si>
  <si>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</si>
  <si>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</si>
  <si>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</si>
  <si>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</si>
  <si>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</si>
  <si>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</si>
  <si>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</si>
  <si>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</si>
  <si>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</si>
  <si>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</si>
  <si>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</si>
  <si>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</si>
  <si>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</si>
  <si>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</si>
  <si>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</si>
  <si>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</si>
  <si>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</si>
  <si>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</si>
  <si>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</si>
  <si>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</si>
  <si>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</si>
  <si>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</si>
  <si>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</si>
  <si>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</si>
  <si>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</si>
  <si>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</si>
  <si>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</si>
  <si>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</si>
  <si>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</si>
  <si>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</si>
  <si>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</si>
  <si>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</si>
  <si>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</si>
  <si>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</si>
  <si>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</si>
  <si>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</si>
  <si>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</si>
  <si>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</si>
  <si>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</si>
  <si>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</si>
  <si>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</si>
  <si>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</si>
  <si>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</si>
  <si>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</si>
  <si>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</si>
  <si>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</si>
  <si>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</si>
  <si>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</si>
  <si>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</si>
  <si>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</si>
  <si>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</si>
  <si>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</si>
  <si>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</si>
  <si>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</si>
  <si>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</si>
  <si>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</si>
  <si>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</si>
  <si>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</si>
  <si>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</si>
  <si>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</si>
  <si>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</si>
  <si>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</si>
  <si>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</si>
  <si>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</si>
  <si>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</si>
  <si>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</si>
  <si>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</si>
  <si>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</si>
  <si>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</si>
  <si>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</si>
  <si>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</si>
  <si>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</si>
  <si>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</si>
  <si>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</si>
  <si>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</si>
  <si>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</si>
  <si>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</si>
  <si>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</si>
  <si>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</si>
  <si>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</si>
  <si>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</si>
  <si>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</si>
  <si>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</si>
  <si>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</si>
  <si>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</si>
  <si>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</si>
  <si>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</si>
  <si>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</si>
  <si>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</si>
  <si>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</si>
  <si>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</si>
  <si>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</si>
  <si>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</si>
  <si>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</si>
  <si>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</si>
  <si>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</si>
  <si>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</si>
  <si>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</si>
  <si>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</si>
  <si>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</si>
  <si>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</si>
  <si>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</si>
  <si>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</si>
  <si>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</si>
  <si>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</si>
  <si>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</si>
  <si>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</si>
  <si>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</si>
  <si>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</si>
  <si>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</si>
  <si>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</si>
  <si>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</si>
  <si>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</si>
  <si>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</si>
  <si>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</si>
  <si>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</si>
  <si>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</si>
  <si>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</si>
  <si>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</si>
  <si>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</si>
  <si>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</si>
  <si>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</si>
  <si>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</si>
  <si>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</si>
  <si>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</si>
  <si>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</si>
  <si>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</si>
  <si>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</si>
  <si>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</si>
  <si>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</si>
  <si>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</si>
  <si>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</si>
  <si>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</si>
  <si>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</si>
  <si>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</si>
  <si>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</si>
  <si>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</si>
  <si>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</si>
  <si>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</si>
  <si>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</si>
  <si>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</si>
  <si>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</si>
  <si>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</si>
  <si>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</si>
  <si>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</si>
  <si>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</si>
  <si>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</si>
  <si>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</si>
  <si>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</si>
  <si>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</si>
  <si>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</si>
  <si>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</si>
  <si>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</si>
  <si>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</si>
  <si>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</si>
  <si>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</si>
  <si>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</si>
  <si>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</si>
  <si>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</si>
  <si>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</si>
  <si>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</si>
  <si>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</si>
  <si>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</si>
  <si>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</si>
  <si>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</si>
  <si>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</si>
  <si>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</si>
  <si>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</si>
  <si>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</si>
  <si>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</si>
  <si>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</si>
  <si>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</si>
  <si>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</si>
  <si>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</si>
  <si>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</si>
  <si>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</si>
  <si>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</si>
  <si>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</si>
  <si>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</si>
  <si>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</si>
  <si>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</si>
  <si>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</si>
  <si>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</si>
  <si>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</si>
  <si>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</si>
  <si>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</si>
  <si>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</si>
  <si>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</si>
  <si>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</si>
  <si>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</si>
  <si>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</si>
  <si>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</si>
  <si>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</si>
  <si>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</si>
  <si>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</si>
  <si>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</si>
  <si>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</si>
  <si>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</si>
  <si>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</si>
  <si>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</si>
  <si>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</si>
  <si>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</si>
  <si>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</si>
  <si>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</si>
  <si>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</si>
  <si>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</si>
  <si>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</si>
  <si>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</si>
  <si>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</si>
  <si>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</si>
  <si>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</si>
  <si>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</si>
  <si>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</si>
  <si>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</si>
  <si>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</si>
  <si>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</si>
  <si>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</si>
  <si>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</si>
  <si>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</si>
  <si>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</si>
  <si>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</si>
  <si>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</si>
  <si>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</si>
  <si>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</si>
  <si>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</si>
  <si>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</si>
  <si>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</si>
  <si>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</si>
  <si>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</si>
  <si>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</si>
  <si>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</si>
  <si>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</si>
  <si>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</si>
  <si>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</si>
  <si>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</si>
  <si>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</si>
  <si>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</si>
  <si>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</si>
  <si>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</si>
  <si>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</si>
  <si>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</si>
  <si>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</si>
  <si>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</si>
  <si>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</si>
  <si>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</si>
  <si>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</si>
  <si>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</si>
  <si>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</si>
  <si>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</si>
  <si>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</si>
  <si>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</si>
  <si>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</si>
  <si>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</si>
  <si>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</si>
  <si>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</si>
  <si>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</si>
  <si>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</si>
  <si>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</si>
  <si>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</si>
  <si>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</si>
  <si>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</si>
  <si>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</si>
  <si>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</si>
  <si>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</si>
  <si>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</si>
  <si>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</si>
  <si>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</si>
  <si>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</si>
  <si>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</si>
  <si>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</si>
  <si>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</si>
  <si>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</si>
  <si>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</si>
  <si>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</si>
  <si>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</si>
  <si>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</si>
  <si>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</si>
  <si>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</si>
  <si>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</si>
  <si>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</si>
  <si>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</si>
  <si>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</si>
  <si>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</si>
  <si>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</si>
  <si>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</si>
  <si>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</si>
  <si>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</si>
  <si>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</si>
  <si>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</si>
  <si>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</si>
  <si>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</si>
  <si>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</si>
  <si>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</si>
  <si>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</si>
  <si>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</si>
  <si>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</si>
  <si>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</si>
  <si>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</si>
  <si>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</si>
  <si>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</si>
  <si>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</si>
  <si>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</si>
  <si>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</si>
  <si>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</si>
  <si>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</si>
  <si>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</si>
  <si>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</si>
  <si>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</si>
  <si>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</si>
  <si>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</si>
  <si>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</si>
  <si>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</si>
  <si>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</si>
  <si>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</si>
  <si>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</si>
  <si>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</si>
  <si>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</si>
  <si>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</si>
  <si>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</si>
  <si>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</si>
  <si>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</si>
  <si>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</si>
  <si>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</si>
  <si>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</si>
  <si>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</si>
  <si>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</si>
  <si>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</si>
  <si>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</si>
  <si>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</si>
  <si>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</si>
  <si>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</si>
  <si>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</si>
  <si>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</si>
  <si>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</si>
  <si>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</si>
  <si>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</si>
  <si>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</si>
  <si>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</si>
  <si>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</si>
  <si>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</si>
  <si>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</si>
  <si>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</si>
  <si>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</si>
  <si>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</si>
  <si>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</si>
  <si>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</si>
  <si>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</si>
  <si>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</si>
  <si>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</si>
  <si>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</si>
  <si>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</si>
  <si>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</si>
  <si>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</si>
  <si>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</si>
  <si>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</si>
  <si>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</si>
  <si>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</si>
  <si>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</si>
  <si>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</si>
  <si>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</si>
  <si>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</si>
  <si>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</si>
  <si>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</si>
  <si>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</si>
  <si>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</si>
  <si>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</si>
  <si>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</si>
  <si>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</si>
  <si>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</si>
  <si>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</si>
  <si>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</si>
  <si>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</si>
  <si>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</si>
  <si>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</si>
  <si>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</si>
  <si>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</si>
  <si>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</si>
  <si>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</si>
  <si>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</si>
  <si>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</si>
  <si>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</si>
  <si>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</si>
  <si>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</si>
  <si>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</si>
  <si>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</si>
  <si>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</si>
  <si>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</si>
  <si>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</si>
  <si>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</si>
  <si>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</si>
  <si>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</si>
  <si>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</si>
  <si>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</si>
  <si>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</si>
  <si>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</si>
  <si>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</si>
  <si>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</si>
  <si>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</si>
  <si>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</si>
  <si>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</si>
  <si>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</si>
  <si>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</si>
  <si>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</si>
  <si>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</si>
  <si>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</si>
  <si>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</si>
  <si>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</si>
  <si>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</si>
  <si>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</si>
  <si>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</si>
  <si>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</si>
  <si>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</si>
  <si>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</si>
  <si>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</si>
  <si>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</si>
  <si>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</si>
  <si>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</si>
  <si>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</si>
  <si>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</si>
  <si>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</si>
  <si>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</si>
  <si>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</si>
  <si>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</si>
  <si>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</si>
  <si>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</si>
  <si>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</si>
  <si>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</si>
  <si>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</si>
  <si>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</si>
  <si>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</si>
  <si>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</si>
  <si>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</si>
  <si>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</si>
  <si>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</si>
  <si>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</si>
  <si>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</si>
  <si>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</si>
  <si>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</si>
  <si>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</si>
  <si>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</si>
  <si>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</si>
  <si>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</si>
  <si>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</si>
  <si>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</si>
  <si>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</si>
  <si>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</si>
  <si>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</si>
  <si>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</si>
  <si>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</si>
  <si>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</si>
  <si>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</si>
  <si>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</si>
  <si>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</si>
  <si>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</si>
  <si>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</si>
  <si>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</si>
  <si>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</si>
  <si>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</si>
  <si>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</si>
  <si>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</si>
  <si>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</si>
  <si>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</si>
  <si>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</si>
  <si>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</si>
  <si>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</si>
  <si>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</si>
  <si>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</si>
  <si>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</si>
  <si>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</si>
  <si>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</si>
  <si>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</si>
  <si>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</si>
  <si>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</si>
  <si>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</si>
  <si>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</si>
  <si>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</si>
  <si>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</si>
  <si>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</si>
  <si>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</si>
  <si>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</si>
  <si>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</si>
  <si>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</si>
  <si>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</si>
  <si>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</si>
  <si>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</si>
  <si>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</si>
  <si>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</si>
  <si>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</si>
  <si>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</si>
  <si>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</si>
  <si>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</si>
  <si>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</si>
  <si>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</si>
  <si>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</si>
  <si>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</si>
  <si>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</si>
  <si>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</si>
  <si>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</si>
  <si>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</si>
  <si>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</si>
  <si>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</si>
  <si>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</si>
  <si>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</si>
  <si>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</si>
  <si>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</si>
  <si>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</si>
  <si>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</si>
  <si>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</si>
  <si>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</si>
  <si>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</si>
  <si>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</si>
  <si>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</si>
  <si>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</si>
  <si>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</si>
  <si>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</si>
  <si>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</si>
  <si>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</si>
  <si>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</si>
  <si>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</si>
  <si>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</si>
  <si>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</si>
  <si>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</si>
  <si>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</si>
  <si>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</si>
  <si>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</si>
  <si>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</si>
  <si>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</si>
  <si>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</si>
  <si>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</si>
  <si>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</si>
  <si>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</si>
  <si>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</si>
  <si>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</si>
  <si>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</si>
  <si>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</si>
  <si>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</si>
  <si>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</si>
  <si>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</si>
  <si>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</si>
  <si>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</si>
  <si>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</si>
  <si>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</si>
  <si>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</si>
  <si>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</si>
  <si>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</si>
  <si>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</si>
  <si>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</si>
  <si>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</si>
  <si>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</si>
  <si>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</si>
  <si>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</si>
  <si>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</si>
  <si>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</si>
  <si>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</si>
  <si>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</si>
  <si>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</si>
  <si>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</si>
  <si>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</si>
  <si>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</si>
  <si>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</si>
  <si>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</si>
  <si>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</si>
  <si>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</si>
  <si>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</si>
  <si>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</si>
  <si>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</si>
  <si>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</si>
  <si>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</si>
  <si>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</si>
  <si>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</si>
  <si>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</si>
  <si>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</si>
  <si>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</si>
  <si>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</si>
  <si>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</si>
  <si>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</si>
  <si>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</si>
  <si>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</si>
  <si>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</si>
  <si>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</si>
  <si>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</si>
  <si>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</si>
  <si>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</si>
  <si>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</si>
  <si>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</si>
  <si>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</si>
  <si>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</si>
  <si>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</si>
  <si>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</si>
  <si>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</si>
  <si>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</si>
  <si>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</si>
  <si>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</si>
  <si>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</si>
  <si>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</si>
  <si>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</si>
  <si>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</si>
  <si>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</si>
  <si>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</si>
  <si>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</si>
  <si>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</si>
  <si>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</si>
  <si>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</si>
  <si>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</si>
  <si>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</si>
  <si>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</si>
  <si>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</si>
  <si>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</si>
  <si>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</si>
  <si>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</si>
  <si>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</si>
  <si>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</si>
  <si>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</si>
  <si>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</si>
  <si>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</si>
  <si>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</si>
  <si>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</si>
  <si>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</si>
  <si>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</si>
  <si>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</si>
  <si>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</si>
  <si>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</si>
  <si>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</si>
  <si>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</si>
  <si>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</si>
  <si>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</si>
  <si>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</si>
  <si>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</si>
  <si>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</si>
  <si>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</si>
  <si>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</si>
  <si>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</si>
  <si>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</si>
  <si>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</si>
  <si>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</si>
  <si>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</si>
  <si>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</si>
  <si>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</si>
  <si>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</si>
  <si>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</si>
  <si>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</si>
  <si>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</si>
  <si>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</si>
  <si>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</si>
  <si>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</si>
  <si>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</si>
  <si>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</si>
  <si>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</si>
  <si>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</si>
  <si>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</si>
  <si>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</si>
  <si>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</si>
  <si>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</si>
  <si>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</si>
  <si>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</si>
  <si>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</si>
  <si>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</si>
  <si>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</si>
  <si>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</si>
  <si>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</si>
  <si>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</si>
  <si>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</si>
  <si>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</si>
  <si>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</si>
  <si>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</si>
  <si>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</si>
  <si>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</si>
  <si>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</si>
  <si>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</si>
  <si>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</si>
  <si>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</si>
  <si>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</si>
  <si>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</si>
  <si>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</si>
  <si>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</si>
  <si>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</si>
  <si>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</si>
  <si>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</si>
  <si>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</si>
  <si>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</si>
  <si>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</si>
  <si>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</si>
  <si>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</si>
  <si>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</si>
  <si>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</si>
  <si>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</si>
  <si>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</si>
  <si>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</si>
  <si>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</si>
  <si>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</si>
  <si>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</si>
  <si>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</si>
  <si>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</si>
  <si>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</si>
  <si>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</si>
  <si>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</si>
  <si>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</si>
  <si>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</si>
  <si>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</si>
  <si>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</si>
  <si>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</si>
  <si>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</si>
  <si>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</si>
  <si>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</si>
  <si>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</si>
  <si>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</si>
  <si>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</si>
  <si>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</si>
  <si>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</si>
  <si>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</si>
  <si>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</si>
  <si>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</si>
  <si>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</si>
  <si>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</si>
  <si>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</si>
  <si>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</si>
  <si>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</si>
  <si>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</si>
  <si>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</si>
  <si>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</si>
  <si>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</si>
  <si>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</si>
  <si>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</si>
  <si>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</si>
  <si>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</si>
  <si>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</si>
  <si>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</si>
  <si>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</si>
  <si>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</si>
  <si>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</si>
  <si>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</si>
  <si>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</si>
  <si>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</si>
  <si>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</si>
  <si>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</si>
  <si>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</si>
  <si>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</si>
  <si>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</si>
  <si>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</si>
  <si>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</si>
  <si>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</si>
  <si>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</si>
  <si>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</si>
  <si>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</si>
  <si>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</si>
  <si>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</si>
  <si>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</si>
  <si>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</si>
  <si>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</si>
  <si>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</si>
  <si>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</si>
  <si>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</si>
  <si>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</si>
  <si>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</si>
  <si>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</si>
  <si>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</si>
  <si>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</si>
  <si>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</si>
  <si>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</si>
  <si>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</si>
  <si>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</si>
  <si>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</si>
  <si>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</si>
  <si>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</si>
  <si>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</si>
  <si>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</si>
  <si>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</si>
  <si>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</si>
  <si>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</si>
  <si>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</si>
  <si>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</si>
  <si>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</si>
  <si>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</si>
  <si>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</si>
  <si>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</si>
  <si>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</si>
  <si>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</si>
  <si>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</si>
  <si>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</si>
  <si>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</si>
  <si>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</si>
  <si>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</si>
  <si>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</si>
  <si>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</si>
  <si>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</si>
  <si>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</si>
  <si>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</si>
  <si>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</si>
  <si>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</si>
  <si>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</si>
  <si>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</si>
  <si>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</si>
  <si>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</si>
  <si>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</si>
  <si>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</si>
  <si>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</si>
  <si>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</si>
  <si>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</si>
  <si>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</si>
  <si>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</si>
  <si>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</si>
  <si>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</si>
  <si>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</si>
  <si>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</si>
  <si>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</si>
  <si>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</si>
  <si>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</si>
  <si>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</si>
  <si>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</si>
  <si>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</si>
  <si>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</si>
  <si>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</si>
  <si>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</si>
  <si>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</si>
  <si>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</si>
  <si>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</si>
  <si>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</si>
  <si>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</si>
  <si>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</si>
  <si>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</si>
  <si>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</si>
  <si>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</si>
  <si>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</si>
  <si>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</si>
  <si>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</si>
  <si>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</si>
  <si>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</si>
  <si>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</si>
  <si>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</si>
  <si>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</si>
  <si>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</si>
  <si>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</si>
  <si>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</si>
  <si>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</si>
  <si>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</si>
  <si>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</si>
  <si>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</si>
  <si>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</si>
  <si>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</si>
  <si>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</si>
  <si>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</si>
  <si>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</si>
  <si>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</si>
  <si>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</si>
  <si>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</si>
  <si>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</si>
  <si>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</si>
  <si>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</si>
  <si>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</si>
  <si>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</si>
  <si>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</si>
  <si>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</si>
  <si>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</si>
  <si>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</si>
  <si>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</si>
  <si>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</si>
  <si>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</si>
  <si>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</si>
  <si>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</si>
  <si>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</si>
  <si>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</si>
  <si>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</si>
  <si>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</si>
  <si>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</si>
  <si>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</si>
  <si>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</si>
  <si>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</si>
  <si>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</si>
  <si>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</si>
  <si>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</si>
  <si>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</si>
  <si>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</si>
  <si>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</si>
  <si>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</si>
  <si>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</si>
  <si>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</si>
  <si>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</si>
  <si>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</si>
  <si>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</si>
  <si>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</si>
  <si>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</si>
  <si>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</si>
  <si>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</si>
  <si>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</si>
  <si>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</si>
  <si>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</si>
  <si>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</si>
  <si>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</si>
  <si>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</si>
  <si>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</si>
  <si>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</si>
  <si>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</si>
  <si>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</si>
  <si>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</si>
  <si>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</si>
  <si>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</si>
  <si>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</si>
  <si>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</si>
  <si>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</si>
  <si>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</si>
  <si>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</si>
  <si>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</si>
  <si>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</si>
  <si>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</si>
  <si>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</si>
  <si>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</si>
  <si>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</si>
  <si>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</si>
  <si>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</si>
  <si>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</si>
  <si>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</si>
  <si>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</si>
  <si>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</si>
  <si>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</si>
  <si>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</si>
  <si>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</si>
  <si>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</si>
  <si>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</si>
  <si>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</si>
  <si>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</si>
  <si>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</si>
  <si>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</si>
  <si>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</si>
  <si>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</si>
  <si>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</si>
  <si>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</si>
  <si>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</si>
  <si>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</si>
  <si>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</si>
  <si>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</si>
  <si>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</si>
  <si>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</si>
  <si>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</si>
  <si>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</si>
  <si>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</si>
  <si>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</si>
  <si>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</si>
  <si>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</si>
  <si>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</si>
  <si>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</si>
  <si>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</si>
  <si>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</si>
  <si>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</si>
  <si>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</si>
  <si>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</si>
  <si>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</si>
  <si>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</si>
  <si>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</si>
  <si>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</si>
  <si>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</si>
  <si>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</si>
  <si>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</si>
  <si>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</si>
  <si>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</si>
  <si>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</si>
  <si>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</si>
  <si>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</si>
  <si>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</si>
  <si>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</si>
  <si>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</si>
  <si>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</si>
  <si>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</si>
  <si>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</si>
  <si>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</si>
  <si>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</si>
  <si>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</si>
  <si>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</si>
  <si>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</si>
  <si>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</si>
  <si>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</si>
  <si>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</si>
  <si>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</si>
  <si>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</si>
  <si>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</si>
  <si>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</si>
  <si>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</si>
  <si>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</si>
  <si>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</si>
  <si>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</si>
  <si>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</si>
  <si>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</si>
  <si>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</si>
  <si>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</si>
  <si>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</si>
  <si>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</si>
  <si>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</si>
  <si>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</si>
  <si>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</si>
  <si>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</si>
  <si>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</si>
  <si>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</si>
  <si>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</si>
  <si>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</si>
  <si>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</si>
  <si>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</si>
  <si>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</si>
  <si>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</si>
  <si>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</si>
  <si>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</si>
  <si>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</si>
  <si>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</si>
  <si>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</si>
  <si>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</si>
  <si>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</si>
  <si>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</si>
  <si>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</si>
  <si>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</si>
  <si>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</si>
  <si>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</si>
  <si>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</si>
  <si>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</si>
  <si>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</si>
  <si>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</si>
  <si>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</si>
  <si>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</si>
  <si>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</si>
  <si>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</si>
  <si>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</si>
  <si>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</si>
  <si>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</si>
  <si>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</si>
  <si>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</si>
  <si>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</si>
  <si>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</si>
  <si>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</si>
  <si>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</si>
  <si>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</si>
  <si>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</si>
  <si>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</si>
  <si>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</si>
  <si>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</si>
  <si>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</si>
  <si>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</si>
  <si>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</si>
  <si>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</si>
  <si>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</si>
  <si>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</si>
  <si>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</si>
  <si>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</si>
  <si>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</si>
  <si>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</si>
  <si>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</si>
  <si>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</si>
  <si>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</si>
  <si>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</si>
  <si>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</si>
  <si>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</si>
  <si>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</si>
  <si>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</si>
  <si>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</si>
  <si>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</si>
  <si>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</si>
  <si>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</si>
  <si>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</si>
  <si>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</si>
  <si>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</si>
  <si>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</si>
  <si>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</si>
  <si>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</si>
  <si>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</si>
  <si>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</si>
  <si>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</si>
  <si>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</si>
  <si>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现房</t>
  </si>
  <si>
    <t>地上</t>
  </si>
  <si>
    <t>成新度</t>
  </si>
  <si>
    <t>竣工时间</t>
    <phoneticPr fontId="4" type="noConversion"/>
  </si>
  <si>
    <t>直线</t>
    <phoneticPr fontId="4" type="noConversion"/>
  </si>
  <si>
    <t>观察</t>
    <phoneticPr fontId="4" type="noConversion"/>
  </si>
  <si>
    <t>综合</t>
    <phoneticPr fontId="4" type="noConversion"/>
  </si>
  <si>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</si>
  <si>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</si>
  <si>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</si>
  <si>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</si>
  <si>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</si>
  <si>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</si>
  <si>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</si>
  <si>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</si>
  <si>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</si>
  <si>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</si>
  <si>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</si>
  <si>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</si>
  <si>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</si>
  <si>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</si>
  <si>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</si>
  <si>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</si>
  <si>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</si>
  <si>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</si>
  <si>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</si>
  <si>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</si>
  <si>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</si>
  <si>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</si>
  <si>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</si>
  <si>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</si>
  <si>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</si>
  <si>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</si>
  <si>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</si>
  <si>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</si>
  <si>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</si>
  <si>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</si>
  <si>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</si>
  <si>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</si>
  <si>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</si>
  <si>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</si>
  <si>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</si>
  <si>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</si>
  <si>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</si>
  <si>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</si>
  <si>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</si>
  <si>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</si>
  <si>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</si>
  <si>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</si>
  <si>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</si>
  <si>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</si>
  <si>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</si>
  <si>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</si>
  <si>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</si>
  <si>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</si>
  <si>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</si>
  <si>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</si>
  <si>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</si>
  <si>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</si>
  <si>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</si>
  <si>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</si>
  <si>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</si>
  <si>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</si>
  <si>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</si>
  <si>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</si>
  <si>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</si>
  <si>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</si>
  <si>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</si>
  <si>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一般</t>
    <phoneticPr fontId="25" type="noConversion"/>
  </si>
  <si>
    <t>一般</t>
    <phoneticPr fontId="41" type="noConversion"/>
  </si>
  <si>
    <t>较好</t>
    <phoneticPr fontId="41" type="noConversion"/>
  </si>
  <si>
    <t>七通</t>
    <phoneticPr fontId="25" type="noConversion"/>
  </si>
  <si>
    <t>自定义容积率</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</si>
  <si>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</si>
  <si>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</si>
  <si>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</si>
  <si>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</si>
  <si>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</si>
  <si>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</si>
  <si>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</si>
  <si>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</si>
  <si>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</si>
  <si>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</si>
  <si>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</si>
  <si>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</si>
  <si>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</si>
  <si>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</si>
  <si>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</si>
  <si>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</si>
  <si>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</si>
  <si>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</si>
  <si>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</si>
  <si>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</si>
  <si>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</si>
  <si>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</si>
  <si>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</si>
  <si>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</si>
  <si>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</si>
  <si>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</si>
  <si>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</si>
  <si>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</si>
  <si>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</si>
  <si>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</si>
  <si>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</si>
  <si>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</si>
  <si>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</si>
  <si>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</si>
  <si>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</si>
  <si>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</si>
  <si>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</si>
  <si>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</si>
  <si>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</si>
  <si>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</si>
  <si>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</si>
  <si>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</si>
  <si>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</si>
  <si>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</si>
  <si>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</si>
  <si>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</si>
  <si>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</si>
  <si>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</si>
  <si>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</si>
  <si>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</si>
  <si>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</si>
  <si>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</si>
  <si>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</si>
  <si>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</si>
  <si>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</si>
  <si>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</si>
  <si>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</si>
  <si>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</si>
  <si>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</si>
  <si>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</si>
  <si>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</si>
  <si>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</si>
  <si>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</si>
  <si>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</si>
  <si>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</si>
  <si>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</si>
  <si>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</si>
  <si>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</si>
  <si>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</si>
  <si>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</si>
  <si>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</si>
  <si>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</si>
  <si>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</si>
  <si>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</si>
  <si>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</si>
  <si>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</si>
  <si>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</si>
  <si>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</si>
  <si>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</si>
  <si>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</si>
  <si>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</si>
  <si>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</si>
  <si>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</si>
  <si>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</si>
  <si>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</si>
  <si>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</si>
  <si>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</si>
  <si>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</si>
  <si>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</si>
  <si>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</si>
  <si>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</si>
  <si>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</si>
  <si>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</si>
  <si>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</si>
  <si>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</si>
  <si>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</si>
  <si>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</si>
  <si>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</si>
  <si>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</si>
  <si>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</si>
  <si>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</si>
  <si>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</si>
  <si>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</si>
  <si>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</si>
  <si>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</si>
  <si>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</si>
  <si>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</si>
  <si>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</si>
  <si>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</si>
  <si>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</si>
  <si>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</si>
  <si>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</si>
  <si>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</si>
  <si>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</si>
  <si>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</si>
  <si>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</si>
  <si>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</si>
  <si>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</si>
  <si>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</si>
  <si>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</si>
  <si>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</si>
  <si>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</si>
  <si>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</si>
  <si>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</si>
  <si>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</si>
  <si>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 xml:space="preserve"> </t>
    <phoneticPr fontId="135" type="noConversion"/>
  </si>
  <si>
    <t>地下</t>
  </si>
  <si>
    <t>面积</t>
  </si>
  <si>
    <t>租金</t>
  </si>
  <si>
    <t>成本比率</t>
  </si>
  <si>
    <t>成本法</t>
  </si>
  <si>
    <t>商业项目</t>
  </si>
  <si>
    <t>车库—商业</t>
  </si>
  <si>
    <t>商业</t>
    <phoneticPr fontId="8" type="noConversion"/>
  </si>
  <si>
    <t>全部缴纳</t>
  </si>
  <si>
    <t>收益法</t>
  </si>
  <si>
    <t>1-2</t>
    <phoneticPr fontId="31" type="noConversion"/>
  </si>
  <si>
    <t>1-3</t>
  </si>
  <si>
    <t>1-3</t>
    <phoneticPr fontId="31" type="noConversion"/>
  </si>
  <si>
    <t>成本法 (元)</t>
  </si>
  <si>
    <t>收益法 (元)</t>
  </si>
  <si>
    <t>总价</t>
  </si>
  <si>
    <t>企业</t>
  </si>
  <si>
    <t>1层</t>
    <phoneticPr fontId="4" type="noConversion"/>
  </si>
  <si>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4" type="noConversion"/>
  </si>
  <si>
    <t>容积率修正</t>
  </si>
  <si>
    <t>季度增幅（自定义）</t>
  </si>
  <si>
    <t>不用分区数据</t>
  </si>
  <si>
    <t>空地</t>
    <phoneticPr fontId="4" type="noConversion"/>
  </si>
  <si>
    <t>不临65条商业街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</si>
</sst>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xf numFmtId="0" fontId="54" fillId="9" borderId="32" xfId="0" applyFont="1" applyFill="1" applyBorder="1" applyAlignment="1">
      <alignment horizontal="center" vertical="center" wrapText="1"/>
    </xf>
    <xf numFmtId="0" fontId="54" fillId="9" borderId="1" xfId="0" applyFont="1" applyFill="1" applyBorder="1" applyAlignment="1" applyProtection="1">
      <alignment horizontal="center" vertical="center" wrapText="1"/>
      <protection locked="0"/>
    </xf>
    <xf numFmtId="183" fontId="48" fillId="9" borderId="1" xfId="0" applyNumberFormat="1" applyFont="1" applyFill="1" applyBorder="1" applyAlignment="1" applyProtection="1">
      <alignment horizontal="center" vertical="center" shrinkToFit="1"/>
      <protection locked="0"/>
    </xf>
    <xf numFmtId="177" fontId="54" fillId="9" borderId="1" xfId="1" applyNumberFormat="1" applyFont="1" applyFill="1" applyBorder="1" applyAlignment="1" applyProtection="1">
      <alignment horizontal="center"/>
      <protection locked="0"/>
    </xf>
    <xf numFmtId="196" fontId="48" fillId="12" borderId="0" xfId="0" applyNumberFormat="1" applyFont="1" applyFill="1" applyProtection="1">
      <alignment vertical="center"/>
      <protection locked="0"/>
    </xf>
    <xf numFmtId="177" fontId="129" fillId="2" borderId="5" xfId="1" applyNumberFormat="1" applyFont="1" applyFill="1" applyBorder="1" applyProtection="1">
      <alignment vertical="center"/>
      <protection locked="0"/>
    </xf>
    <xf numFmtId="49" fontId="45" fillId="0" borderId="44" xfId="0" applyNumberFormat="1" applyFont="1" applyBorder="1" applyAlignment="1" applyProtection="1">
      <alignment horizontal="center" vertical="center" wrapText="1"/>
      <protection locked="0"/>
    </xf>
    <xf numFmtId="1" fontId="52" fillId="0" borderId="78" xfId="0" applyNumberFormat="1" applyFont="1" applyBorder="1" applyAlignment="1" applyProtection="1">
      <alignment horizontal="center" vertical="center" wrapText="1"/>
      <protection locked="0"/>
    </xf>
    <xf numFmtId="49" fontId="169"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62" fillId="5" borderId="1" xfId="0" applyFont="1" applyFill="1" applyBorder="1" applyAlignment="1" applyProtection="1">
      <alignment horizontal="center" vertical="center" wrapText="1"/>
      <protection locked="0"/>
    </xf>
    <xf numFmtId="0" fontId="62" fillId="5" borderId="78"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北京市通州区光华路18号院房地产抵押价值预评估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受贵公司委托，我公司对北京市通州区光华路18号院房地产抵押价值进行了预评估。</v>
      </c>
    </row>
    <row r="7" spans="1:2">
      <c r="A7" s="1118" t="s">
        <v>566</v>
      </c>
      <c r="B7" s="1119" t="str">
        <f>'预评函-1'!A7</f>
        <v>估价对象为北京市通州区光华路18号院房地产，为所有。根据《国有土地使用证》[]，估价对象（分摊）出让国有建设用地使用权面积为8001.46平方米，建筑面积为1106.44平方米。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通州区光华路18号院房地产,属开发建设的商业项目，该项目尚在开发建设中。根据《国有土地使用证》[]，估价对象（分摊）出让国有建设用地使用权面积为8001.46平方米，规划建筑面积为1106.44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2025年3月18日</v>
      </c>
    </row>
    <row r="13" spans="1:2">
      <c r="A13" s="1118" t="s">
        <v>529</v>
      </c>
      <c r="B13" s="1119"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900</v>
      </c>
    </row>
    <row r="21" spans="1:2">
      <c r="A21" s="1118" t="s">
        <v>537</v>
      </c>
      <c r="B21" s="1119">
        <f ca="1">'预评函-2'!D7</f>
        <v>8134</v>
      </c>
    </row>
    <row r="22" spans="1:2">
      <c r="A22" s="1118" t="s">
        <v>538</v>
      </c>
      <c r="B22" s="1119" t="str">
        <f ca="1">'预评函-2'!D6</f>
        <v>玖佰万元整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900</v>
      </c>
    </row>
    <row r="31" spans="1:2">
      <c r="A31" s="1118" t="s">
        <v>576</v>
      </c>
      <c r="B31" s="1119">
        <f ca="1">'预评函-2'!D15</f>
        <v>8134</v>
      </c>
    </row>
    <row r="32" spans="1:2">
      <c r="A32" s="1118" t="s">
        <v>543</v>
      </c>
      <c r="B32" s="1119" t="str">
        <f ca="1">'预评函-2'!D14</f>
        <v>玖佰万元整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北京市通州区光华路18号院房地产</v>
      </c>
    </row>
    <row r="42" spans="1:2" ht="31.2">
      <c r="A42" s="1118" t="s">
        <v>590</v>
      </c>
      <c r="B42" s="1119" t="str">
        <f>'预评函-3'!B2</f>
        <v>建筑面积</v>
      </c>
    </row>
    <row r="43" spans="1:2">
      <c r="A43" s="1118" t="s">
        <v>591</v>
      </c>
      <c r="B43" s="1119">
        <f>'预评函-3'!B4</f>
        <v>1106.44</v>
      </c>
    </row>
    <row r="44" spans="1:2" ht="31.2">
      <c r="A44" s="1118" t="s">
        <v>575</v>
      </c>
      <c r="B44" s="1119" t="str">
        <f>'预评函-3'!C2</f>
        <v>(分摊)土地面积</v>
      </c>
    </row>
    <row r="45" spans="1:2">
      <c r="A45" s="1118" t="s">
        <v>547</v>
      </c>
      <c r="B45" s="1119">
        <f>'预评函-3'!C4</f>
        <v>8001.46</v>
      </c>
    </row>
    <row r="46" spans="1:2">
      <c r="A46" s="1118" t="s">
        <v>573</v>
      </c>
      <c r="B46" s="1119" t="str">
        <f>'预评函-3'!D2</f>
        <v>出让国有建设用地使用权价值</v>
      </c>
    </row>
    <row r="47" spans="1:2">
      <c r="A47" s="1118" t="s">
        <v>548</v>
      </c>
      <c r="B47" s="1119" t="e">
        <f ca="1">'预评函-3'!D4</f>
        <v>#VALUE!</v>
      </c>
    </row>
    <row r="48" spans="1:2">
      <c r="A48" s="1118" t="s">
        <v>549</v>
      </c>
      <c r="B48" s="1119" t="e">
        <f ca="1">'预评函-3'!E4</f>
        <v>#VALUE!</v>
      </c>
    </row>
    <row r="49" spans="1:2">
      <c r="A49" s="1118" t="s">
        <v>550</v>
      </c>
      <c r="B49" s="1119" t="e">
        <f ca="1">'预评函-3'!D5</f>
        <v>#VALUE!</v>
      </c>
    </row>
    <row r="50" spans="1:2">
      <c r="A50" s="1118" t="s">
        <v>574</v>
      </c>
      <c r="B50" s="1119" t="str">
        <f>'预评函-3'!F2</f>
        <v>在建建筑物价值</v>
      </c>
    </row>
    <row r="51" spans="1:2">
      <c r="A51" s="1118" t="s">
        <v>551</v>
      </c>
      <c r="B51" s="1119" t="e">
        <f ca="1">'预评函-3'!F4</f>
        <v>#VALUE!</v>
      </c>
    </row>
    <row r="52" spans="1:2">
      <c r="A52" s="1118" t="s">
        <v>552</v>
      </c>
      <c r="B52" s="1119" t="e">
        <f ca="1">'预评函-3'!G4</f>
        <v>#VALUE!</v>
      </c>
    </row>
    <row r="53" spans="1:2">
      <c r="A53" s="1118" t="s">
        <v>580</v>
      </c>
      <c r="B53" s="1119" t="e">
        <f ca="1">'预评函-3'!F5</f>
        <v>#VALUE!</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3329</v>
      </c>
    </row>
    <row r="8" spans="1:23">
      <c r="A8" s="1440" t="s">
        <v>1026</v>
      </c>
      <c r="B8" s="1440" t="s">
        <v>1027</v>
      </c>
      <c r="C8" s="1441" t="s">
        <v>319</v>
      </c>
      <c r="F8" s="1442" t="s">
        <v>1028</v>
      </c>
      <c r="H8" s="1442" t="s">
        <v>2567</v>
      </c>
      <c r="I8" s="1442" t="s">
        <v>3330</v>
      </c>
    </row>
    <row r="9" spans="1:23">
      <c r="A9" s="1440" t="s">
        <v>1029</v>
      </c>
      <c r="B9" s="1440" t="s">
        <v>1030</v>
      </c>
      <c r="C9" s="1441" t="s">
        <v>320</v>
      </c>
      <c r="F9" s="1442" t="s">
        <v>1031</v>
      </c>
      <c r="H9" s="1442"/>
      <c r="I9" s="1444" t="s">
        <v>3331</v>
      </c>
    </row>
    <row r="10" spans="1:23">
      <c r="A10" s="1440" t="s">
        <v>1032</v>
      </c>
      <c r="B10" s="1440" t="s">
        <v>1033</v>
      </c>
      <c r="C10" s="1441" t="s">
        <v>321</v>
      </c>
      <c r="F10" s="1442" t="s">
        <v>2568</v>
      </c>
      <c r="I10" s="1444" t="s">
        <v>3332</v>
      </c>
    </row>
    <row r="11" spans="1:23">
      <c r="A11" s="1440" t="s">
        <v>1034</v>
      </c>
      <c r="B11" s="1440" t="s">
        <v>1035</v>
      </c>
      <c r="C11" s="1441" t="s">
        <v>322</v>
      </c>
      <c r="F11" s="1442" t="s">
        <v>13</v>
      </c>
      <c r="I11" s="1444" t="s">
        <v>3333</v>
      </c>
    </row>
    <row r="12" spans="1:23">
      <c r="A12" s="1440" t="s">
        <v>1036</v>
      </c>
      <c r="B12" s="1440" t="s">
        <v>1037</v>
      </c>
      <c r="C12" s="1441" t="s">
        <v>323</v>
      </c>
      <c r="I12" s="1444" t="s">
        <v>3334</v>
      </c>
    </row>
    <row r="13" spans="1:23">
      <c r="A13" s="1440" t="s">
        <v>1038</v>
      </c>
      <c r="B13" s="1440" t="s">
        <v>1039</v>
      </c>
      <c r="C13" s="1441" t="s">
        <v>324</v>
      </c>
      <c r="I13" s="1444" t="s">
        <v>3335</v>
      </c>
    </row>
    <row r="14" spans="1:23">
      <c r="A14" s="1440" t="s">
        <v>1040</v>
      </c>
      <c r="B14" s="1440" t="s">
        <v>1041</v>
      </c>
      <c r="C14" s="1442" t="s">
        <v>13</v>
      </c>
      <c r="I14" s="1444" t="s">
        <v>3336</v>
      </c>
    </row>
    <row r="15" spans="1:23">
      <c r="A15" s="1440" t="s">
        <v>1042</v>
      </c>
      <c r="B15" s="1440" t="s">
        <v>1043</v>
      </c>
      <c r="C15" s="1441"/>
      <c r="I15" s="1444" t="s">
        <v>3337</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25" t="s">
        <v>2570</v>
      </c>
      <c r="J2" s="3225"/>
      <c r="K2" s="3225"/>
      <c r="L2" s="3225"/>
      <c r="M2" s="3225"/>
      <c r="N2" s="3225"/>
      <c r="O2" s="3225"/>
      <c r="P2" s="3225"/>
      <c r="Q2" s="3225"/>
      <c r="R2" s="3225"/>
    </row>
    <row r="3" spans="1:18">
      <c r="A3" s="2759" t="s">
        <v>2491</v>
      </c>
      <c r="B3" s="2760">
        <f>项目基本情况!D3</f>
        <v>45734</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1.75</v>
      </c>
      <c r="D5" s="2764">
        <f>IF(ISERROR(ROUND(POWER(1+E5,A5-C5)*(POWER(1+E5,C5)-1)/(POWER(1+E5,A5)-1),3)),0,ROUND(POWER(1+E5,A5-C5)*(POWER(1+E5,C5)-1)/(POWER(1+E5,A5)-1),4))</f>
        <v>8.3799999999999999E-2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11.76</v>
      </c>
      <c r="D6" s="2764">
        <f>IF(ISERROR(ROUND(POWER(1+E6,A6-C6)*(POWER(1+E6,C6)-1)/(POWER(1+E6,A6)-1),3)),0,ROUND(POWER(1+E6,A6-C6)*(POWER(1+E6,C6)-1)/(POWER(1+E6,A6)-1),4))</f>
        <v>0.43</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31.77</v>
      </c>
      <c r="D7" s="2764">
        <f>IF(ISERROR(ROUND(POWER(1+E7,A7-C7)*(POWER(1+E7,C7)-1)/(POWER(1+E7,A7)-1),3)),0,ROUND(POWER(1+E7,A7-C7)*(POWER(1+E7,C7)-1)/(POWER(1+E7,A7)-1),4))</f>
        <v>0.76119999999999999</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5" thickBot="1">
      <c r="A18" s="2769" t="s">
        <v>2506</v>
      </c>
      <c r="B18" s="2770">
        <f>ROUND(B17*F11/F12,2)</f>
        <v>5541.87</v>
      </c>
      <c r="C18" s="2770">
        <f>ROUND(F11/F12,4)</f>
        <v>1.1521999999999999</v>
      </c>
      <c r="D18" s="2771"/>
      <c r="E18" s="2771"/>
      <c r="F18" s="2772"/>
    </row>
    <row r="19" spans="1:14" ht="15" thickBot="1"/>
    <row r="20" spans="1:14" s="2805" customFormat="1" ht="1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3377</v>
      </c>
    </row>
    <row r="50" spans="1:4">
      <c r="A50" s="3141" t="s">
        <v>3378</v>
      </c>
      <c r="B50" s="3141" t="s">
        <v>3379</v>
      </c>
      <c r="C50" s="3141" t="s">
        <v>3380</v>
      </c>
      <c r="D50" s="3141" t="s">
        <v>3381</v>
      </c>
    </row>
    <row r="51" spans="1:4">
      <c r="A51" s="3141" t="s">
        <v>3382</v>
      </c>
      <c r="B51" s="2761">
        <f>B52+B53</f>
        <v>15000</v>
      </c>
      <c r="C51" s="3142">
        <f>D51/B51</f>
        <v>2666.6666666666665</v>
      </c>
      <c r="D51" s="2761">
        <f>D52+D53</f>
        <v>40000000</v>
      </c>
    </row>
    <row r="52" spans="1:4">
      <c r="A52" s="3143" t="s">
        <v>3383</v>
      </c>
      <c r="B52" s="3144">
        <v>10000</v>
      </c>
      <c r="C52" s="3144">
        <v>1500</v>
      </c>
      <c r="D52" s="3145">
        <f>C52*B52</f>
        <v>15000000</v>
      </c>
    </row>
    <row r="53" spans="1:4">
      <c r="A53" s="3143" t="s">
        <v>3384</v>
      </c>
      <c r="B53" s="3144">
        <v>5000</v>
      </c>
      <c r="C53" s="3144">
        <v>5000</v>
      </c>
      <c r="D53" s="3145">
        <f>C53*B53</f>
        <v>25000000</v>
      </c>
    </row>
    <row r="54" spans="1:4">
      <c r="A54" s="3141" t="s">
        <v>3385</v>
      </c>
      <c r="B54" s="2761">
        <f>B51</f>
        <v>15000</v>
      </c>
      <c r="C54" s="2767">
        <v>700</v>
      </c>
      <c r="D54" s="2761">
        <f t="shared" ref="D54:D55" si="5">C54*B54</f>
        <v>10500000</v>
      </c>
    </row>
    <row r="55" spans="1:4">
      <c r="A55" s="3141" t="s">
        <v>3386</v>
      </c>
      <c r="B55" s="2761">
        <f>B51</f>
        <v>15000</v>
      </c>
      <c r="C55" s="2767">
        <v>1500</v>
      </c>
      <c r="D55" s="2761">
        <f t="shared" si="5"/>
        <v>22500000</v>
      </c>
    </row>
    <row r="56" spans="1:4">
      <c r="A56" s="3141" t="s">
        <v>3387</v>
      </c>
      <c r="B56" s="2761">
        <f>B51</f>
        <v>15000</v>
      </c>
      <c r="C56" s="3146">
        <f>C51+C54+C55</f>
        <v>4866.6666666666661</v>
      </c>
      <c r="D56" s="2761">
        <f>D51+D54+D55</f>
        <v>73000000</v>
      </c>
    </row>
    <row r="58" spans="1:4">
      <c r="A58" s="3141" t="s">
        <v>3388</v>
      </c>
      <c r="B58" s="3147">
        <v>0.05</v>
      </c>
      <c r="C58" s="2761">
        <f>C56*(1+B58)</f>
        <v>5110</v>
      </c>
      <c r="D58" s="2761">
        <f>D56*B58</f>
        <v>3650000</v>
      </c>
    </row>
    <row r="60" spans="1:4">
      <c r="A60" s="3141" t="s">
        <v>3389</v>
      </c>
      <c r="B60" s="2767">
        <v>3500</v>
      </c>
      <c r="C60" s="2767">
        <f>C53</f>
        <v>5000</v>
      </c>
      <c r="D60" s="2761">
        <f>C60*B60</f>
        <v>17500000</v>
      </c>
    </row>
    <row r="62" spans="1:4">
      <c r="A62" s="3141" t="s">
        <v>3390</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32" sqref="E32"/>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3" t="str">
        <f>IF(B10="北京市","北京市",C10)&amp;F10&amp;IF(结果表!G1="在建","出让国有建设用地使用权及在建建筑物",IF(结果表!G1="土地","出让国有建设用地使用权",))&amp;B9&amp;"预评估"</f>
        <v>北京市通州区光华路18号院房地产抵押价值预评估</v>
      </c>
      <c r="C1" s="3234"/>
      <c r="D1" s="3234"/>
      <c r="E1" s="3234"/>
      <c r="F1" s="3234"/>
      <c r="G1" s="3234"/>
      <c r="H1" s="3234"/>
      <c r="I1" s="3235"/>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北京市通州区光华路18号院房地产抵押价值</v>
      </c>
      <c r="T1" s="1617"/>
      <c r="U1" s="1617"/>
      <c r="V1" s="1617"/>
      <c r="W1" s="1617"/>
      <c r="X1" s="1617"/>
      <c r="Y1" s="1617"/>
      <c r="Z1" s="1617"/>
      <c r="AA1" s="1617"/>
      <c r="AB1" s="1617"/>
    </row>
    <row r="2" spans="1:30">
      <c r="A2" s="2181" t="s">
        <v>2168</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北京市通州区光华路18号院房地产</v>
      </c>
      <c r="T2" s="1617"/>
      <c r="U2" s="1617"/>
      <c r="V2" s="1617"/>
      <c r="W2" s="1617"/>
      <c r="X2" s="1617"/>
      <c r="Y2" s="1617"/>
      <c r="Z2" s="1617"/>
      <c r="AA2" s="1617"/>
      <c r="AB2" s="1617"/>
    </row>
    <row r="3" spans="1:30">
      <c r="A3" s="293" t="s">
        <v>2169</v>
      </c>
      <c r="B3" s="2184"/>
      <c r="C3" s="2185" t="s">
        <v>2170</v>
      </c>
      <c r="D3" s="2184">
        <v>45734</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2"/>
      <c r="K6" s="2398" t="str">
        <f>IF(COUNTIF(B6,"*上海银行*"),"上海银行","")</f>
        <v/>
      </c>
      <c r="L6" s="2396"/>
      <c r="M6" s="2396"/>
      <c r="N6" s="2242"/>
      <c r="O6" s="1669"/>
      <c r="P6" s="2242"/>
      <c r="Q6" s="2242"/>
      <c r="R6" s="2242"/>
    </row>
    <row r="7" spans="1:30">
      <c r="A7" s="2193" t="s">
        <v>2174</v>
      </c>
      <c r="B7" s="2197"/>
      <c r="C7" s="2195"/>
      <c r="D7" s="2196"/>
      <c r="E7" s="2438"/>
      <c r="F7" s="2439"/>
      <c r="G7" s="2439"/>
      <c r="H7" s="2439"/>
      <c r="I7" s="2439"/>
      <c r="J7" s="2242"/>
      <c r="K7" s="2399"/>
      <c r="L7" s="2396"/>
      <c r="M7" s="2396"/>
      <c r="N7" s="2242"/>
      <c r="O7" s="1669"/>
      <c r="P7" s="2242"/>
      <c r="Q7" s="2242"/>
      <c r="R7" s="2242"/>
    </row>
    <row r="8" spans="1:30">
      <c r="A8" s="2198" t="s">
        <v>2175</v>
      </c>
      <c r="B8" s="2199" t="s">
        <v>3392</v>
      </c>
      <c r="C8" s="2200"/>
      <c r="D8" s="3236" t="s">
        <v>2176</v>
      </c>
      <c r="E8" s="2201" t="s">
        <v>3393</v>
      </c>
      <c r="F8" s="2202"/>
      <c r="G8" s="2439"/>
      <c r="H8" s="2439"/>
      <c r="I8" s="2439"/>
      <c r="J8" s="2242"/>
      <c r="K8" s="2397"/>
      <c r="L8" s="2396"/>
      <c r="M8" s="2396"/>
      <c r="N8" s="2242"/>
      <c r="O8" s="1669"/>
      <c r="P8" s="2242"/>
      <c r="Q8" s="2242"/>
      <c r="R8" s="2242"/>
    </row>
    <row r="9" spans="1:30" ht="13.8" thickBot="1">
      <c r="A9" s="2203" t="s">
        <v>2177</v>
      </c>
      <c r="B9" s="2204" t="s">
        <v>3393</v>
      </c>
      <c r="C9" s="2205"/>
      <c r="D9" s="3237"/>
      <c r="E9" s="2204" t="s">
        <v>43</v>
      </c>
      <c r="F9" s="2206"/>
      <c r="G9" s="2440"/>
      <c r="H9" s="2440"/>
      <c r="I9" s="2440"/>
      <c r="J9" s="2242"/>
      <c r="K9" s="2399"/>
      <c r="L9" s="2396"/>
      <c r="M9" s="2396"/>
      <c r="N9" s="2242"/>
      <c r="O9" s="1669"/>
      <c r="P9" s="2242"/>
      <c r="Q9" s="2242"/>
      <c r="R9" s="2242"/>
    </row>
    <row r="10" spans="1:30" ht="13.8" thickTop="1">
      <c r="A10" s="2207" t="s">
        <v>2178</v>
      </c>
      <c r="B10" s="2208" t="s">
        <v>3394</v>
      </c>
      <c r="C10" s="2209"/>
      <c r="D10" s="2192"/>
      <c r="E10" s="2210" t="s">
        <v>2179</v>
      </c>
      <c r="F10" s="3183" t="s">
        <v>3614</v>
      </c>
      <c r="G10" s="2441"/>
      <c r="H10" s="2442"/>
      <c r="I10" s="2443"/>
      <c r="J10" s="2242"/>
      <c r="K10" s="2399"/>
      <c r="L10" s="2396"/>
      <c r="M10" s="2396"/>
      <c r="N10" s="2242"/>
      <c r="O10" s="1669"/>
      <c r="P10" s="2242"/>
      <c r="Q10" s="2242"/>
      <c r="R10" s="2242"/>
    </row>
    <row r="11" spans="1:30">
      <c r="A11" s="2211" t="s">
        <v>2180</v>
      </c>
      <c r="B11" s="3171" t="s">
        <v>3612</v>
      </c>
      <c r="C11" s="3150"/>
      <c r="D11" s="2212"/>
      <c r="E11" s="2181"/>
      <c r="F11" s="2181"/>
      <c r="G11" s="2181"/>
      <c r="H11" s="2181"/>
      <c r="I11" s="2181"/>
      <c r="J11" s="2798"/>
      <c r="K11" s="2396"/>
      <c r="L11" s="2396"/>
      <c r="M11" s="2396"/>
      <c r="N11" s="2242"/>
      <c r="O11" s="1669"/>
      <c r="P11" s="2242"/>
      <c r="Q11" s="2242"/>
      <c r="R11" s="2242"/>
    </row>
    <row r="12" spans="1:30">
      <c r="A12" s="2213" t="s">
        <v>2181</v>
      </c>
      <c r="B12" s="314" t="s">
        <v>2182</v>
      </c>
      <c r="C12" s="2214" t="s">
        <v>2183</v>
      </c>
      <c r="D12" s="2214" t="s">
        <v>2184</v>
      </c>
      <c r="E12" s="2214" t="s">
        <v>2185</v>
      </c>
      <c r="F12" s="2214" t="s">
        <v>2186</v>
      </c>
      <c r="G12" s="2214" t="s">
        <v>2187</v>
      </c>
      <c r="H12" s="2214" t="s">
        <v>2188</v>
      </c>
      <c r="I12" s="2797" t="s">
        <v>2566</v>
      </c>
      <c r="J12" s="2799"/>
      <c r="K12" s="2396"/>
      <c r="L12" s="2396"/>
      <c r="M12" s="2242"/>
      <c r="N12" s="1669"/>
      <c r="O12" s="2242"/>
      <c r="P12" s="2242"/>
      <c r="Q12" s="2242"/>
      <c r="AD12" s="1617"/>
    </row>
    <row r="13" spans="1:30">
      <c r="A13" s="3118" t="s">
        <v>3320</v>
      </c>
      <c r="B13" s="2215" t="s">
        <v>2189</v>
      </c>
      <c r="C13" s="802"/>
      <c r="D13" s="3177"/>
      <c r="E13" s="3177"/>
      <c r="F13" s="3177"/>
      <c r="G13" s="802"/>
      <c r="H13" s="802">
        <v>55793</v>
      </c>
      <c r="I13" s="802"/>
      <c r="J13" s="2799"/>
      <c r="K13" s="2396"/>
      <c r="L13" s="2396"/>
      <c r="M13" s="2242"/>
      <c r="N13" s="1669"/>
      <c r="O13" s="2242"/>
      <c r="P13" s="2242"/>
      <c r="Q13" s="2242"/>
      <c r="AD13" s="1617"/>
    </row>
    <row r="14" spans="1:30">
      <c r="A14" s="1017"/>
      <c r="B14" s="2215" t="s">
        <v>2190</v>
      </c>
      <c r="C14" s="2216"/>
      <c r="D14" s="2216"/>
      <c r="E14" s="2216"/>
      <c r="F14" s="2216"/>
      <c r="G14" s="2216"/>
      <c r="H14" s="2216">
        <v>50</v>
      </c>
      <c r="I14" s="2216"/>
      <c r="J14" s="2800"/>
      <c r="K14" s="2396"/>
      <c r="L14" s="2396"/>
      <c r="M14" s="2242"/>
      <c r="N14" s="1669"/>
      <c r="O14" s="2242"/>
      <c r="P14" s="2242"/>
      <c r="Q14" s="2242"/>
      <c r="AD14" s="1617"/>
    </row>
    <row r="15" spans="1:30">
      <c r="A15" s="311"/>
      <c r="B15" s="2217" t="s">
        <v>2191</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27.55</v>
      </c>
      <c r="I15" s="2218" t="str">
        <f>IF(A13="出让",IF(I13="","",ROUNDDOWN(MIN((I13-$D$3)/365,I14),2)),I14)</f>
        <v/>
      </c>
      <c r="J15" s="2801"/>
      <c r="K15" s="1669"/>
      <c r="L15" s="1669"/>
      <c r="M15" s="2242"/>
      <c r="N15" s="1669"/>
      <c r="O15" s="2242"/>
      <c r="P15" s="2242"/>
      <c r="Q15" s="2242"/>
      <c r="AD15" s="1617"/>
    </row>
    <row r="16" spans="1:30">
      <c r="A16" s="2210" t="s">
        <v>2192</v>
      </c>
      <c r="B16" s="3243"/>
      <c r="C16" s="3244"/>
      <c r="D16" s="3245"/>
      <c r="E16" s="2219" t="s">
        <v>2193</v>
      </c>
      <c r="F16" s="3246"/>
      <c r="G16" s="3247"/>
      <c r="H16" s="3247"/>
      <c r="I16" s="3248"/>
      <c r="J16" s="2242"/>
      <c r="K16" s="2400"/>
      <c r="L16" s="1669"/>
      <c r="M16" s="1669"/>
      <c r="N16" s="2242"/>
      <c r="O16" s="1669"/>
      <c r="P16" s="2242"/>
      <c r="Q16" s="2242"/>
      <c r="R16" s="2242"/>
    </row>
    <row r="17" spans="1:28">
      <c r="A17" s="304" t="s">
        <v>2194</v>
      </c>
      <c r="B17" s="293" t="s">
        <v>2195</v>
      </c>
      <c r="C17" s="8">
        <f>'数据-汇总表'!E3</f>
        <v>1106.44</v>
      </c>
      <c r="D17" s="1255" t="s">
        <v>2196</v>
      </c>
      <c r="E17" s="3249" t="s">
        <v>2197</v>
      </c>
      <c r="F17" s="3250"/>
      <c r="G17" s="3250"/>
      <c r="H17" s="3250"/>
      <c r="I17" s="3251"/>
      <c r="J17" s="2242"/>
      <c r="K17" s="2401"/>
      <c r="L17" s="1669"/>
      <c r="M17" s="1669"/>
      <c r="N17" s="2242"/>
      <c r="O17" s="1669"/>
      <c r="P17" s="2242"/>
      <c r="Q17" s="2242"/>
      <c r="R17" s="2242"/>
      <c r="S17" s="2242"/>
      <c r="T17" s="2242"/>
      <c r="U17" s="2242"/>
      <c r="V17" s="2242"/>
    </row>
    <row r="18" spans="1:28" ht="24.6" thickBot="1">
      <c r="A18" s="2220" t="s">
        <v>2198</v>
      </c>
      <c r="B18" s="1026" t="s">
        <v>2199</v>
      </c>
      <c r="C18" s="2221">
        <f>'数据-汇总表'!D3</f>
        <v>8001.46</v>
      </c>
      <c r="D18" s="1028" t="s">
        <v>2200</v>
      </c>
      <c r="E18" s="3252" t="s">
        <v>2201</v>
      </c>
      <c r="F18" s="3253"/>
      <c r="G18" s="3253"/>
      <c r="H18" s="3253"/>
      <c r="I18" s="3254"/>
      <c r="J18" s="2242"/>
      <c r="K18" s="2401"/>
      <c r="L18" s="1669"/>
      <c r="M18" s="1669"/>
      <c r="N18" s="2242"/>
      <c r="O18" s="1669"/>
      <c r="P18" s="2242"/>
      <c r="Q18" s="2242"/>
      <c r="R18" s="2242"/>
      <c r="S18" s="2242"/>
      <c r="T18" s="2242"/>
      <c r="U18" s="2242"/>
      <c r="V18" s="2242"/>
    </row>
    <row r="19" spans="1:28" ht="54" thickTop="1" thickBot="1">
      <c r="A19" s="318" t="s">
        <v>1055</v>
      </c>
      <c r="B19" s="298" t="s">
        <v>2202</v>
      </c>
      <c r="C19" s="1454" t="s">
        <v>3395</v>
      </c>
      <c r="D19" s="1455" t="s">
        <v>2203</v>
      </c>
      <c r="E19" s="1456" t="s">
        <v>3396</v>
      </c>
      <c r="F19" s="1457" t="str">
        <f>IF(AND(C19="是",E19="否"),"是否提供他项权证或相关说明","")</f>
        <v>是否提供他项权证或相关说明</v>
      </c>
      <c r="G19" s="1458" t="s">
        <v>3396</v>
      </c>
      <c r="H19" s="2439"/>
      <c r="I19" s="2439"/>
      <c r="J19" s="2242"/>
      <c r="K19" s="2399"/>
      <c r="L19" s="2396"/>
      <c r="M19" s="2396"/>
      <c r="N19" s="2242"/>
      <c r="O19" s="1669"/>
      <c r="P19" s="2242"/>
      <c r="Q19" s="2242"/>
      <c r="R19" s="2242"/>
      <c r="S19" s="2242"/>
      <c r="T19" s="2242"/>
      <c r="U19" s="2242"/>
      <c r="V19" s="2242"/>
    </row>
    <row r="20" spans="1:28">
      <c r="A20" s="2414" t="s">
        <v>2204</v>
      </c>
      <c r="B20" s="3239" t="s">
        <v>2205</v>
      </c>
      <c r="C20" s="3240"/>
      <c r="D20" s="3241" t="s">
        <v>2206</v>
      </c>
      <c r="E20" s="3242"/>
      <c r="F20" s="2427" t="s">
        <v>1056</v>
      </c>
      <c r="G20" s="2439"/>
      <c r="H20" s="2439"/>
      <c r="I20" s="2439"/>
      <c r="J20" s="2242"/>
      <c r="K20" s="323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2"/>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2"/>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27" t="s">
        <v>2213</v>
      </c>
      <c r="B27" s="311" t="s">
        <v>2214</v>
      </c>
      <c r="C27" s="2222" t="s">
        <v>3601</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7"/>
      <c r="B28" s="293" t="s">
        <v>2215</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7"/>
      <c r="B29" s="293" t="s">
        <v>2216</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8"/>
      <c r="B30" s="293" t="s">
        <v>2217</v>
      </c>
      <c r="C30" s="3229"/>
      <c r="D30" s="3230"/>
      <c r="E30" s="2439"/>
      <c r="F30" s="2439"/>
      <c r="G30" s="2439"/>
      <c r="H30" s="2439"/>
      <c r="I30" s="2439"/>
      <c r="J30" s="2242"/>
      <c r="K30" s="2399"/>
      <c r="L30" s="2396"/>
      <c r="M30" s="2396"/>
      <c r="N30" s="2242"/>
      <c r="O30" s="1669"/>
      <c r="P30" s="2242"/>
      <c r="Q30" s="2242"/>
      <c r="R30" s="2242"/>
      <c r="S30" s="2242"/>
      <c r="T30" s="2242"/>
      <c r="U30" s="2242"/>
      <c r="V30" s="2242"/>
    </row>
    <row r="31" spans="1:28">
      <c r="A31" s="3231" t="s">
        <v>2218</v>
      </c>
      <c r="B31" s="2228" t="s">
        <v>3397</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2"/>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2"/>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2219</v>
      </c>
      <c r="B34" s="1869"/>
      <c r="C34" s="1869"/>
      <c r="D34" s="1869"/>
      <c r="E34" s="1869"/>
      <c r="F34" s="1869"/>
      <c r="G34" s="1869"/>
      <c r="H34" s="1869"/>
      <c r="I34" s="2439"/>
      <c r="J34" s="2242"/>
      <c r="K34" s="8">
        <f>COUNTIF(B34:H34,"——")</f>
        <v>0</v>
      </c>
      <c r="L34" s="314" t="s">
        <v>2220</v>
      </c>
      <c r="M34" s="314" t="s">
        <v>2221</v>
      </c>
      <c r="N34" s="314" t="s">
        <v>2222</v>
      </c>
      <c r="O34" s="314" t="s">
        <v>2223</v>
      </c>
      <c r="P34" s="314" t="s">
        <v>2224</v>
      </c>
      <c r="Q34" s="314" t="s">
        <v>2225</v>
      </c>
      <c r="R34" s="314" t="s">
        <v>2226</v>
      </c>
      <c r="S34" s="3226" t="s">
        <v>2227</v>
      </c>
      <c r="T34" s="314" t="str">
        <f>NUMBERSTRING(7-K34,1)&amp;"通"</f>
        <v>七通</v>
      </c>
      <c r="U34" s="2242"/>
      <c r="V34" s="2242"/>
    </row>
    <row r="35" spans="1:30">
      <c r="A35" s="2233"/>
      <c r="B35" s="3226" t="s">
        <v>2228</v>
      </c>
      <c r="C35" s="3226"/>
      <c r="D35" s="3226"/>
      <c r="E35" s="3226"/>
      <c r="F35" s="8">
        <f>C10</f>
        <v>0</v>
      </c>
      <c r="G35" s="2439"/>
      <c r="H35" s="2439"/>
      <c r="I35" s="2439"/>
      <c r="J35" s="2242"/>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2"/>
      <c r="V35" s="2242"/>
    </row>
    <row r="36" spans="1:30">
      <c r="A36" s="2182"/>
      <c r="B36" s="8" t="s">
        <v>2184</v>
      </c>
      <c r="C36" s="8" t="s">
        <v>2185</v>
      </c>
      <c r="D36" s="8" t="s">
        <v>2183</v>
      </c>
      <c r="E36" s="8" t="s">
        <v>2188</v>
      </c>
      <c r="F36" s="2797" t="s">
        <v>2569</v>
      </c>
      <c r="G36" s="2439"/>
      <c r="H36" s="2439"/>
      <c r="I36" s="2439"/>
      <c r="J36" s="2242"/>
      <c r="K36" s="2399"/>
      <c r="L36" s="2396"/>
      <c r="M36" s="2396"/>
      <c r="N36" s="2242"/>
      <c r="O36" s="1669"/>
      <c r="P36" s="2242"/>
      <c r="Q36" s="2242"/>
      <c r="R36" s="2242"/>
      <c r="S36" s="2242"/>
      <c r="T36" s="2242"/>
      <c r="U36" s="2242"/>
      <c r="V36" s="2242"/>
    </row>
    <row r="37" spans="1:30" ht="15">
      <c r="A37" s="2412" t="s">
        <v>2229</v>
      </c>
      <c r="B37" s="2234"/>
      <c r="C37" s="2234"/>
      <c r="D37" s="2234"/>
      <c r="E37" s="3525" t="s">
        <v>307</v>
      </c>
      <c r="F37" s="2234"/>
      <c r="G37" s="2439"/>
      <c r="H37" s="2439"/>
      <c r="I37" s="2439"/>
      <c r="J37" s="2242"/>
      <c r="K37" s="2399"/>
      <c r="L37" s="2396"/>
      <c r="M37" s="2396"/>
      <c r="N37" s="2242"/>
      <c r="O37" s="1669"/>
      <c r="P37" s="2242"/>
      <c r="Q37" s="2242"/>
      <c r="R37" s="2242"/>
      <c r="S37" s="2242"/>
      <c r="T37" s="2242"/>
      <c r="U37" s="2242"/>
      <c r="V37" s="2242"/>
    </row>
    <row r="38" spans="1:30" ht="15.6" thickBot="1">
      <c r="A38" s="2413" t="s">
        <v>2230</v>
      </c>
      <c r="B38" s="2235"/>
      <c r="C38" s="2235"/>
      <c r="D38" s="2235"/>
      <c r="E38" s="3526" t="s">
        <v>220</v>
      </c>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2232</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M33" sqref="M33"/>
      <selection pane="topRight" activeCell="M33" sqref="M33"/>
      <selection pane="bottomLeft" activeCell="M33" sqref="M33"/>
      <selection pane="bottomRight" activeCell="A13" sqref="A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2" width="9.44140625" style="1462" customWidth="1"/>
    <col min="13" max="14" width="9.44140625" style="1462" hidden="1" customWidth="1"/>
    <col min="15" max="15" width="9.88671875" style="1462" hidden="1" customWidth="1"/>
    <col min="16" max="16" width="9.77734375" style="1462" hidden="1"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8001.46</v>
      </c>
      <c r="B3" s="11">
        <f>IF(C3="否",G5-AT5,G5)</f>
        <v>1106.44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1106.44</v>
      </c>
      <c r="H5" s="13">
        <f t="shared" ref="H5:AT5" si="0">SUM(H13:H656)</f>
        <v>1106.44</v>
      </c>
      <c r="I5" s="13">
        <f t="shared" si="0"/>
        <v>1106.44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1106.44</v>
      </c>
      <c r="BA5" s="15">
        <f t="shared" si="1"/>
        <v>1106.44</v>
      </c>
      <c r="BB5" s="15">
        <f t="shared" si="1"/>
        <v>1106.44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8001.46</v>
      </c>
      <c r="F6" s="13" t="s">
        <v>0</v>
      </c>
      <c r="G6" s="13" t="s">
        <v>1</v>
      </c>
      <c r="H6" s="17">
        <f>SUMIF(I$12:AB$12,"总值",I6:AB6)</f>
        <v>8001.46</v>
      </c>
      <c r="I6" s="13">
        <f t="shared" ref="I6:AB6" si="2">ROUND($A$3*I5/$B$3,2)</f>
        <v>8001.46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8001.46</v>
      </c>
      <c r="AZ6" s="13" t="s">
        <v>2</v>
      </c>
      <c r="BA6" s="13">
        <f>ROUND($AY$6*BA5/$AZ$5,2)</f>
        <v>8001.46</v>
      </c>
      <c r="BB6" s="13">
        <f>ROUND($AY$6*BB5/$AZ$5,2)</f>
        <v>8001.46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3398</v>
      </c>
      <c r="J9" s="760"/>
      <c r="K9" s="1490" t="s">
        <v>3596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3602</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车库—商业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1"/>
      <c r="D13" s="1512" t="s">
        <v>3395</v>
      </c>
      <c r="E13" s="13">
        <f>IF($C$3="是",ROUND($A$3*G13/$B$3,2),ROUND($A$3*(G13-AT13)/$B$3,2))</f>
        <v>8001.46</v>
      </c>
      <c r="F13" s="29"/>
      <c r="G13" s="30">
        <f>H13+AC13+AT13</f>
        <v>1106.44</v>
      </c>
      <c r="H13" s="17">
        <f>SUMIF(I$12:AB$12,"总值",I13:AB13)</f>
        <v>1106.44</v>
      </c>
      <c r="I13" s="1513">
        <v>1106.44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8001.46</v>
      </c>
      <c r="AZ13" s="13">
        <f>BA13+BL13</f>
        <v>1106.44</v>
      </c>
      <c r="BA13" s="13">
        <f>SUM(BB13:BK13)</f>
        <v>1106.44</v>
      </c>
      <c r="BB13" s="13">
        <f>IF($D13="是",I13-J13,0)</f>
        <v>1106.44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61"/>
      <c r="D14" s="1512" t="s">
        <v>3395</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5" sqref="H15"/>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4" t="s">
        <v>1131</v>
      </c>
      <c r="B2" s="3264"/>
      <c r="C2" s="3264"/>
      <c r="D2" s="747" t="s">
        <v>1107</v>
      </c>
      <c r="E2" s="1522" t="s">
        <v>1108</v>
      </c>
      <c r="F2" s="2436"/>
      <c r="G2" s="2429"/>
      <c r="H2" s="2430"/>
      <c r="I2" s="2145" t="s">
        <v>1132</v>
      </c>
      <c r="J2" s="2436"/>
      <c r="K2" s="2436"/>
      <c r="L2" s="2436"/>
      <c r="M2" s="2436"/>
      <c r="N2" s="2437"/>
      <c r="O2" s="2436"/>
      <c r="P2" s="2436"/>
    </row>
    <row r="3" spans="1:16" ht="15" thickBot="1">
      <c r="A3" s="3265" t="s">
        <v>1105</v>
      </c>
      <c r="B3" s="3265"/>
      <c r="C3" s="3265"/>
      <c r="D3" s="41">
        <f>'数据-基础表'!AY6</f>
        <v>8001.46</v>
      </c>
      <c r="E3" s="41">
        <f>'数据-基础表'!AZ5</f>
        <v>1106.44</v>
      </c>
      <c r="F3" s="2436"/>
      <c r="G3" s="42"/>
      <c r="H3" s="43" t="s">
        <v>1106</v>
      </c>
      <c r="I3" s="801">
        <f>ROUND('数据-基础表'!B3/'数据-基础表'!A3,2)</f>
        <v>0.14000000000000001</v>
      </c>
      <c r="J3" s="2436"/>
      <c r="K3" s="2436"/>
      <c r="L3" s="2436"/>
      <c r="M3" s="2436"/>
      <c r="N3" s="2437"/>
      <c r="O3" s="2436"/>
      <c r="P3" s="2436"/>
    </row>
    <row r="4" spans="1:16" ht="14.4">
      <c r="A4" s="3266"/>
      <c r="B4" s="3267"/>
      <c r="C4" s="3268"/>
      <c r="D4" s="1523" t="s">
        <v>1107</v>
      </c>
      <c r="E4" s="1524" t="s">
        <v>1108</v>
      </c>
      <c r="F4" s="2436"/>
      <c r="G4" s="2431" t="s">
        <v>1133</v>
      </c>
      <c r="H4" s="43" t="s">
        <v>1113</v>
      </c>
      <c r="I4" s="801">
        <f>ROUND(SUMIF('数据-基础表'!I9:AS9,"地上",'数据-基础表'!I5:AS5)/'数据-基础表'!A3,2)</f>
        <v>0.14000000000000001</v>
      </c>
      <c r="J4" s="2436"/>
      <c r="K4" s="2436"/>
      <c r="L4" s="2436"/>
      <c r="M4" s="2436"/>
      <c r="N4" s="2437"/>
      <c r="O4" s="2436"/>
      <c r="P4" s="2436"/>
    </row>
    <row r="5" spans="1:16" ht="14.4">
      <c r="A5" s="42" t="s">
        <v>1109</v>
      </c>
      <c r="B5" s="3269" t="s">
        <v>1110</v>
      </c>
      <c r="C5" s="3269"/>
      <c r="D5" s="43">
        <f>ROUND($D$3*E5/$E$3,2)</f>
        <v>0</v>
      </c>
      <c r="E5" s="44">
        <f>SUMIF('数据-基础表'!$11:$11,"住宅",'数据-基础表'!$5:$5)</f>
        <v>0</v>
      </c>
      <c r="F5" s="2436"/>
      <c r="G5" s="42"/>
      <c r="H5" s="43" t="s">
        <v>1106</v>
      </c>
      <c r="I5" s="801">
        <f>ROUND(E31/D31,2)</f>
        <v>0.14000000000000001</v>
      </c>
      <c r="J5" s="2436"/>
      <c r="K5" s="2436"/>
      <c r="L5" s="2436"/>
      <c r="M5" s="2436"/>
      <c r="N5" s="2436"/>
      <c r="O5" s="2436"/>
      <c r="P5" s="2436"/>
    </row>
    <row r="6" spans="1:16" ht="15" thickBot="1">
      <c r="A6" s="1526"/>
      <c r="B6" s="3269" t="s">
        <v>1111</v>
      </c>
      <c r="C6" s="3269"/>
      <c r="D6" s="43">
        <f>ROUND($D$3*E6/$E$3,2)</f>
        <v>8001.46</v>
      </c>
      <c r="E6" s="44">
        <f>E3-E5</f>
        <v>1106.44</v>
      </c>
      <c r="F6" s="2436"/>
      <c r="G6" s="1528" t="s">
        <v>1112</v>
      </c>
      <c r="H6" s="45" t="s">
        <v>1113</v>
      </c>
      <c r="I6" s="2432">
        <f>ROUND(F31/D31,2)</f>
        <v>0.14000000000000001</v>
      </c>
      <c r="J6" s="2436"/>
      <c r="K6" s="2436"/>
      <c r="L6" s="2436"/>
      <c r="M6" s="2436"/>
      <c r="N6" s="2436"/>
      <c r="O6" s="2436"/>
      <c r="P6" s="2436"/>
    </row>
    <row r="7" spans="1:16" ht="15" thickBot="1">
      <c r="A7" s="3261"/>
      <c r="B7" s="3262"/>
      <c r="C7" s="3263"/>
      <c r="D7" s="1523" t="s">
        <v>1107</v>
      </c>
      <c r="E7" s="1527" t="s">
        <v>1114</v>
      </c>
      <c r="F7" s="2436"/>
      <c r="G7" s="2433" t="s">
        <v>1115</v>
      </c>
      <c r="H7" s="95"/>
      <c r="I7" s="2434">
        <v>1</v>
      </c>
      <c r="J7" s="2436"/>
      <c r="K7" s="2436"/>
      <c r="L7" s="2436"/>
      <c r="M7" s="2436"/>
      <c r="N7" s="2436"/>
      <c r="O7" s="2436"/>
      <c r="P7" s="2436"/>
    </row>
    <row r="8" spans="1:16" ht="14.4">
      <c r="A8" s="42" t="s">
        <v>1116</v>
      </c>
      <c r="B8" s="45" t="s">
        <v>1117</v>
      </c>
      <c r="C8" s="43" t="s">
        <v>1118</v>
      </c>
      <c r="D8" s="43">
        <f t="shared" ref="D8:D15" si="0">ROUND($D$3*E8/$E$3,2)</f>
        <v>8001.46</v>
      </c>
      <c r="E8" s="46">
        <f>SUMIF('数据-基础表'!BB10:BK10,"地上",'数据-基础表'!BB5:BK5)</f>
        <v>1106.44</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8001.46</v>
      </c>
      <c r="E16" s="48">
        <f>SUM(E8:E15)</f>
        <v>1106.44</v>
      </c>
      <c r="F16" s="2436"/>
      <c r="G16" s="2436"/>
      <c r="H16" s="1530" t="s">
        <v>1135</v>
      </c>
      <c r="I16" s="1531"/>
      <c r="J16" s="1070"/>
      <c r="K16" s="3258" t="s">
        <v>1135</v>
      </c>
      <c r="L16" s="3259"/>
      <c r="M16" s="3259"/>
      <c r="N16" s="3259"/>
      <c r="O16" s="3259"/>
      <c r="P16" s="3260"/>
    </row>
    <row r="17" spans="1:19" ht="14.4">
      <c r="A17" s="1532" t="s">
        <v>1136</v>
      </c>
      <c r="B17" s="1533" t="s">
        <v>1137</v>
      </c>
      <c r="C17" s="1534" t="s">
        <v>1138</v>
      </c>
      <c r="D17" s="1535" t="s">
        <v>1126</v>
      </c>
      <c r="E17" s="1536" t="s">
        <v>1127</v>
      </c>
      <c r="F17" s="1537"/>
      <c r="G17" s="1538"/>
      <c r="H17" s="1539" t="s">
        <v>1139</v>
      </c>
      <c r="I17" s="1540" t="s">
        <v>1124</v>
      </c>
      <c r="J17" s="1070"/>
      <c r="K17" s="3255" t="s">
        <v>1140</v>
      </c>
      <c r="L17" s="3256"/>
      <c r="M17" s="3257"/>
      <c r="N17" s="3255" t="s">
        <v>1141</v>
      </c>
      <c r="O17" s="3256"/>
      <c r="P17" s="325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3603</v>
      </c>
      <c r="D19" s="43">
        <f>ROUND($D$3*E19/$E$3,2)</f>
        <v>8001.46</v>
      </c>
      <c r="E19" s="51">
        <f t="shared" ref="E19:E26" si="1">SUM(F19:G19)</f>
        <v>1106.44</v>
      </c>
      <c r="F19" s="2554">
        <f>'数据-基础表'!I5</f>
        <v>1106.44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8001.46</v>
      </c>
      <c r="S19" s="51">
        <f t="shared" si="5"/>
        <v>1106.44</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8001.46</v>
      </c>
      <c r="E27" s="1072">
        <f>IF(SUM(E19:E26)='数据-基础表'!BA5,SUM(E19:E26),IF(F27="地上面积有误","面积有误","地下面积有误"))</f>
        <v>1106.44</v>
      </c>
      <c r="F27" s="1071">
        <f>IF(SUM(F19:F26)=E8,SUM(F19:F26),"地上面积有误")</f>
        <v>1106.44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8001.46</v>
      </c>
      <c r="S27" s="43">
        <f>IF(SUM(S19:S26)=$E$3,SUM(S19:S26),SUM(S19:S26)&amp;"误差"&amp;ROUND(SUM(S19:S26)-E3,2))</f>
        <v>1106.44</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8001.46</v>
      </c>
      <c r="E31" s="642">
        <f>E27+E30</f>
        <v>1106.44</v>
      </c>
      <c r="F31" s="643">
        <f>F27+F30</f>
        <v>1106.44</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M33" sqref="M33"/>
      <selection pane="topRight" activeCell="M33" sqref="M33"/>
      <selection pane="bottomLeft" activeCell="M33" sqref="M33"/>
      <selection pane="bottomRight" activeCell="H39" sqref="H39:H4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45734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3399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4">
      <c r="A6" s="1585" t="str">
        <f>'数据-汇总表'!C19</f>
        <v>商业</v>
      </c>
      <c r="B6" s="1586" t="str">
        <f>IF(A6=0,"","经营性")</f>
        <v>经营性</v>
      </c>
      <c r="C6" s="3180" t="s">
        <v>3</v>
      </c>
      <c r="D6" s="804">
        <f>SUMIF(项目基本情况!C$12:I$12,C6,项目基本情况!C$14:I$14)</f>
        <v>50</v>
      </c>
      <c r="E6" s="803">
        <f>IF(B6="","",SUMIF(项目基本情况!C$12:I$12,C6,项目基本情况!C$13:I$13))</f>
        <v>55793</v>
      </c>
      <c r="F6" s="61">
        <f>SUMIF(项目基本情况!C$12:I$12,C6,项目基本情况!C$15:I$15)</f>
        <v>27.55</v>
      </c>
      <c r="G6" s="62">
        <f>IF(ISERROR(ROUND(POWER(1+H6,D6-F6)*(POWER(1+H6,F6)-1)/(POWER(1+H6,D6)-1),3)),0,ROUND(POWER(1+H6,D6-F6)*(POWER(1+H6,F6)-1)/(POWER(1+H6,D6)-1),3))</f>
        <v>0.79</v>
      </c>
      <c r="H6" s="690">
        <v>4.4999999999999998E-2</v>
      </c>
      <c r="I6" s="690">
        <v>0.05</v>
      </c>
      <c r="J6" s="63">
        <v>7.0000000000000007E-2</v>
      </c>
      <c r="K6" s="969">
        <f>SUMIF('数据-汇总表'!C$19:C$33,A6,'数据-汇总表'!E$19:E$33)</f>
        <v>1106.44</v>
      </c>
      <c r="L6" s="691">
        <v>2500</v>
      </c>
      <c r="M6" s="64">
        <f t="shared" ref="M6:M14" si="0">ROUND(K6*L6/10000,0)</f>
        <v>277</v>
      </c>
      <c r="N6" s="689">
        <f>N21</f>
        <v>0.72</v>
      </c>
      <c r="O6" s="64" t="str">
        <f>IF($N$5="成新度","——",ROUND(M6*N6,0))</f>
        <v>——</v>
      </c>
      <c r="P6" s="65" t="str">
        <f>IF($N$5="成新度","——",M6-O6)</f>
        <v>——</v>
      </c>
      <c r="Q6" s="3169">
        <v>0.05</v>
      </c>
      <c r="R6" s="66">
        <f ca="1">SUMIF('数据-汇总表'!C$19:C$33,A6,'数据-汇总表'!R$19:R$27)</f>
        <v>8001.46</v>
      </c>
      <c r="S6" s="49">
        <f>IF('数据-汇总表'!$I$17="按面积比例",SUMIF('数据-汇总表'!C$19:C$33,A6,'数据-汇总表'!K$19:K$33),SUMIF('数据-汇总表'!C$19:C$33,A6,'数据-汇总表'!N$19:N$33))</f>
        <v>0</v>
      </c>
      <c r="T6" s="1091">
        <f>ROUND($L$14*S6/10000,0)</f>
        <v>0</v>
      </c>
      <c r="U6" s="3123">
        <v>1.6</v>
      </c>
      <c r="V6" s="67">
        <v>0.02</v>
      </c>
      <c r="W6" s="67">
        <v>0.1</v>
      </c>
      <c r="X6" s="978"/>
      <c r="Y6" s="68">
        <f>N6</f>
        <v>0.72</v>
      </c>
      <c r="Z6" s="69"/>
      <c r="AA6" s="63"/>
      <c r="AB6" s="63"/>
      <c r="AC6" s="978"/>
      <c r="AD6" s="70"/>
      <c r="AE6" s="979">
        <f ca="1">IF(AN6="",0,SUMIF(INDIRECT("'"&amp;AN6&amp;"'"&amp;"!E:E"),$AE$5,INDIRECT("'"&amp;AN6&amp;"'"&amp;"!F:F")))</f>
        <v>27.55</v>
      </c>
      <c r="AF6" s="74"/>
      <c r="AG6" s="130">
        <f>IF(AF6="",0,AE6-AF6)</f>
        <v>0</v>
      </c>
      <c r="AH6" s="71"/>
      <c r="AI6" s="73">
        <v>365</v>
      </c>
      <c r="AJ6" s="74"/>
      <c r="AK6" s="75">
        <v>3.0000000000000001E-3</v>
      </c>
      <c r="AL6" s="76">
        <v>1E-3</v>
      </c>
      <c r="AM6" s="77">
        <v>5.0000000000000001E-3</v>
      </c>
      <c r="AN6" s="1588" t="s">
        <v>3605</v>
      </c>
      <c r="AO6" s="50">
        <f ca="1">SUMIF(INDIRECT("'"&amp;AN6&amp;"'"&amp;"!A:A"),"总价",INDIRECT("'"&amp;AN6&amp;"'"&amp;"!B:B"))</f>
        <v>849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0.79</v>
      </c>
      <c r="H16" s="84">
        <f>ROUND(SUMPRODUCT(H6:H13,K6:K13)/SUMPRODUCT((H6:H13&gt;0)*(K6:K13)),3)</f>
        <v>4.4999999999999998E-2</v>
      </c>
      <c r="I16" s="85"/>
      <c r="J16" s="85"/>
      <c r="K16" s="86">
        <f>SUM(K6:K15)</f>
        <v>1106.44</v>
      </c>
      <c r="L16" s="87">
        <f>ROUND(M16*10000/SUM(K6:K14),0)</f>
        <v>2504</v>
      </c>
      <c r="M16" s="87">
        <f>SUM(M6:M14)</f>
        <v>277</v>
      </c>
      <c r="N16" s="88">
        <f>ROUND(SUMPRODUCT(M6:M14,N6:N14)/M16,3)</f>
        <v>0.72</v>
      </c>
      <c r="O16" s="87">
        <f>SUM(O6:O14)</f>
        <v>0</v>
      </c>
      <c r="P16" s="87">
        <f>SUM(P6:P14)</f>
        <v>0</v>
      </c>
      <c r="Q16" s="89">
        <f>ROUND(SUMPRODUCT(Q6:Q13,K6:K13)/SUMPRODUCT((Q6:Q13&gt;0)*(K6:K13)),2)</f>
        <v>0.05</v>
      </c>
      <c r="R16" s="973">
        <f ca="1">SUM(R6:R13)</f>
        <v>8001.46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1" t="s">
        <v>3400</v>
      </c>
      <c r="N18" s="3170">
        <v>2006</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3151" t="s">
        <v>3401</v>
      </c>
      <c r="N19" s="2445">
        <f>ROUND(1-(1-0)*(2025-N18)/60,2)</f>
        <v>0.68</v>
      </c>
      <c r="O19" s="2445"/>
      <c r="P19" s="2445"/>
      <c r="Q19" s="2445"/>
      <c r="R19" s="2445"/>
      <c r="S19" s="2445"/>
      <c r="T19" s="2445"/>
      <c r="U19" s="3151" t="s">
        <v>3597</v>
      </c>
      <c r="V19" s="3151" t="s">
        <v>3598</v>
      </c>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v>
      </c>
      <c r="C20" s="2558" t="s">
        <v>2290</v>
      </c>
      <c r="D20" s="2448"/>
      <c r="E20" s="2436"/>
      <c r="F20" s="2436"/>
      <c r="G20" s="2436"/>
      <c r="H20" s="2436"/>
      <c r="I20" s="2436"/>
      <c r="J20" s="2436"/>
      <c r="K20" s="2446"/>
      <c r="L20" s="2446"/>
      <c r="M20" s="3151" t="s">
        <v>3402</v>
      </c>
      <c r="N20" s="2445">
        <v>0.75</v>
      </c>
      <c r="O20" s="2445"/>
      <c r="P20" s="2445"/>
      <c r="Q20" s="2445"/>
      <c r="R20" s="2445"/>
      <c r="S20" s="2445"/>
      <c r="T20" s="3151" t="s">
        <v>3613</v>
      </c>
      <c r="U20" s="2445">
        <f>'数据-基础表'!I13</f>
        <v>1106.44</v>
      </c>
      <c r="W20" s="2445">
        <v>1</v>
      </c>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1</v>
      </c>
      <c r="C21" s="2436"/>
      <c r="D21" s="2448"/>
      <c r="E21" s="2436"/>
      <c r="F21" s="2436"/>
      <c r="G21" s="2436"/>
      <c r="H21" s="2436"/>
      <c r="I21" s="2436"/>
      <c r="J21" s="2436"/>
      <c r="K21" s="2446"/>
      <c r="L21" s="2446"/>
      <c r="M21" s="3151" t="s">
        <v>3403</v>
      </c>
      <c r="N21" s="2445">
        <f>ROUND((N20+N19)/2,2)</f>
        <v>0.72</v>
      </c>
      <c r="O21" s="2445"/>
      <c r="P21" s="2445"/>
      <c r="Q21" s="2445"/>
      <c r="R21" s="2445"/>
      <c r="S21" s="2445"/>
      <c r="T21" s="3151" t="s">
        <v>3618</v>
      </c>
      <c r="U21" s="2445">
        <f>'数据-基础表'!A3-'数据-基础表'!B3</f>
        <v>6895.02</v>
      </c>
      <c r="V21" s="2445">
        <v>0.1</v>
      </c>
      <c r="W21" s="3179">
        <f>U21*V21/U20</f>
        <v>0.62317161346299843</v>
      </c>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3179"/>
      <c r="W22" s="2445">
        <f>SUM(W20:W21)</f>
        <v>1.6231716134629983</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150</v>
      </c>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190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B28*K16/10000</f>
        <v>21.022359999999999</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0.06</v>
      </c>
      <c r="C33" s="2561" t="s">
        <v>3373</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3391</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0.03</v>
      </c>
      <c r="C37" s="2561" t="s">
        <v>3374</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3375</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2300</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0.05</v>
      </c>
      <c r="C44" s="2561" t="s">
        <v>3376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70" t="s">
        <v>2276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2273</v>
      </c>
      <c r="D2" s="1594"/>
      <c r="E2" s="2257"/>
      <c r="F2" s="2260"/>
      <c r="G2" s="2259" t="s">
        <v>2274</v>
      </c>
      <c r="H2" s="750"/>
      <c r="I2" s="750"/>
      <c r="J2" s="750"/>
      <c r="K2" s="750"/>
      <c r="L2" s="750"/>
      <c r="M2" s="750"/>
      <c r="N2" s="750"/>
      <c r="O2" s="750"/>
      <c r="P2" s="750"/>
      <c r="Q2" s="750"/>
    </row>
    <row r="3" spans="1:29" ht="24">
      <c r="A3" s="2244" t="s">
        <v>2275</v>
      </c>
      <c r="B3" s="2261" t="s">
        <v>2251</v>
      </c>
      <c r="C3" s="2262"/>
      <c r="D3" s="2263"/>
      <c r="E3" s="2245" t="s">
        <v>2275</v>
      </c>
      <c r="F3" s="2264" t="s">
        <v>2252</v>
      </c>
      <c r="G3" s="2265"/>
      <c r="H3" s="750"/>
      <c r="I3" s="750"/>
      <c r="J3" s="750"/>
      <c r="K3" s="750"/>
      <c r="L3" s="750"/>
      <c r="M3" s="750"/>
      <c r="N3" s="750"/>
      <c r="O3" s="750"/>
      <c r="P3" s="750"/>
      <c r="Q3" s="750"/>
    </row>
    <row r="4" spans="1:29">
      <c r="A4" s="2245"/>
      <c r="B4" s="314" t="s">
        <v>2253</v>
      </c>
      <c r="C4" s="2266"/>
      <c r="D4" s="2263"/>
      <c r="E4" s="2267"/>
      <c r="F4" s="1280" t="s">
        <v>2254</v>
      </c>
      <c r="G4" s="2268"/>
      <c r="H4" s="750"/>
      <c r="I4" s="750"/>
      <c r="J4" s="750"/>
      <c r="K4" s="750"/>
      <c r="L4" s="750"/>
      <c r="M4" s="750"/>
      <c r="N4" s="750"/>
      <c r="O4" s="750"/>
      <c r="P4" s="750"/>
      <c r="Q4" s="750"/>
    </row>
    <row r="5" spans="1:29">
      <c r="A5" s="2245"/>
      <c r="B5" s="314" t="s">
        <v>2255</v>
      </c>
      <c r="C5" s="3162" t="s">
        <v>3465</v>
      </c>
      <c r="D5" s="2263"/>
      <c r="E5" s="2267"/>
      <c r="F5" s="314" t="s">
        <v>2256</v>
      </c>
      <c r="G5" s="2268"/>
      <c r="H5" s="750"/>
      <c r="I5" s="750"/>
      <c r="J5" s="750"/>
      <c r="K5" s="750"/>
      <c r="L5" s="750"/>
      <c r="M5" s="750"/>
      <c r="N5" s="750"/>
      <c r="O5" s="750"/>
      <c r="P5" s="750"/>
      <c r="Q5" s="750"/>
    </row>
    <row r="6" spans="1:29">
      <c r="A6" s="2245"/>
      <c r="B6" s="314" t="s">
        <v>2257</v>
      </c>
      <c r="C6" s="3163" t="s">
        <v>3466</v>
      </c>
      <c r="D6" s="2263"/>
      <c r="E6" s="2267"/>
      <c r="F6" s="314" t="s">
        <v>2258</v>
      </c>
      <c r="G6" s="2268"/>
      <c r="H6" s="750"/>
      <c r="I6" s="750"/>
      <c r="J6" s="750"/>
      <c r="K6" s="750"/>
      <c r="L6" s="750"/>
      <c r="M6" s="750"/>
      <c r="N6" s="750"/>
      <c r="O6" s="750"/>
      <c r="P6" s="750"/>
      <c r="Q6" s="750"/>
    </row>
    <row r="7" spans="1:29" ht="14.4" thickBot="1">
      <c r="A7" s="2245"/>
      <c r="B7" s="314" t="s">
        <v>2256</v>
      </c>
      <c r="C7" s="3163" t="s">
        <v>3467</v>
      </c>
      <c r="D7" s="2242"/>
      <c r="E7" s="2269"/>
      <c r="F7" s="2270" t="s">
        <v>2259</v>
      </c>
      <c r="G7" s="2271"/>
      <c r="H7" s="750"/>
      <c r="I7" s="750"/>
      <c r="J7" s="750"/>
      <c r="K7" s="750"/>
      <c r="L7" s="750"/>
      <c r="M7" s="750"/>
      <c r="N7" s="750"/>
      <c r="O7" s="750"/>
      <c r="P7" s="750"/>
      <c r="Q7" s="750"/>
    </row>
    <row r="8" spans="1:29">
      <c r="A8" s="2245"/>
      <c r="B8" s="314" t="s">
        <v>2258</v>
      </c>
      <c r="C8" s="3163" t="s">
        <v>3468</v>
      </c>
      <c r="D8" s="2242"/>
      <c r="E8" s="2242"/>
      <c r="F8" s="121"/>
      <c r="G8" s="121"/>
      <c r="H8" s="750"/>
      <c r="I8" s="750"/>
      <c r="J8" s="750"/>
      <c r="K8" s="750"/>
      <c r="L8" s="750"/>
      <c r="M8" s="750"/>
      <c r="N8" s="750"/>
      <c r="O8" s="750"/>
      <c r="P8" s="750"/>
      <c r="Q8" s="750"/>
    </row>
    <row r="9" spans="1:29">
      <c r="A9" s="2245"/>
      <c r="B9" s="314" t="s">
        <v>2260</v>
      </c>
      <c r="C9" s="3162" t="s">
        <v>3467</v>
      </c>
      <c r="D9" s="2263"/>
      <c r="E9" s="2242"/>
      <c r="F9" s="121"/>
      <c r="G9" s="121"/>
      <c r="H9" s="750"/>
      <c r="I9" s="750"/>
      <c r="J9" s="750"/>
      <c r="K9" s="750"/>
      <c r="L9" s="750"/>
      <c r="M9" s="750"/>
      <c r="N9" s="750"/>
      <c r="O9" s="750"/>
      <c r="P9" s="750"/>
      <c r="Q9" s="750"/>
    </row>
    <row r="10" spans="1:29" ht="14.4" thickBot="1">
      <c r="A10" s="2246"/>
      <c r="B10" s="2272" t="s">
        <v>2261</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2277</v>
      </c>
      <c r="B13" s="2277"/>
      <c r="C13" s="2277"/>
      <c r="D13" s="2276"/>
      <c r="E13" s="2277"/>
      <c r="F13" s="2277"/>
      <c r="G13" s="2277"/>
    </row>
    <row r="14" spans="1:29" ht="14.4" thickBot="1">
      <c r="A14" s="2282"/>
      <c r="B14" s="2282"/>
      <c r="C14" s="2283" t="s">
        <v>2262</v>
      </c>
      <c r="D14" s="2263"/>
      <c r="E14" s="2284"/>
      <c r="F14" s="2284"/>
      <c r="G14" s="2259" t="s">
        <v>2263</v>
      </c>
    </row>
    <row r="15" spans="1:29" ht="24">
      <c r="A15" s="2247" t="s">
        <v>2264</v>
      </c>
      <c r="B15" s="2285" t="s">
        <v>2251</v>
      </c>
      <c r="C15" s="2286">
        <f>C3</f>
        <v>0</v>
      </c>
      <c r="D15" s="2263"/>
      <c r="E15" s="2248" t="s">
        <v>2265</v>
      </c>
      <c r="F15" s="2285" t="s">
        <v>2266</v>
      </c>
      <c r="G15" s="2287">
        <f>G3</f>
        <v>0</v>
      </c>
    </row>
    <row r="16" spans="1:29">
      <c r="A16" s="2249"/>
      <c r="B16" s="2288" t="s">
        <v>2253</v>
      </c>
      <c r="C16" s="2289">
        <f>C4</f>
        <v>0</v>
      </c>
      <c r="D16" s="2263"/>
      <c r="E16" s="2250"/>
      <c r="F16" s="2290" t="s">
        <v>2254</v>
      </c>
      <c r="G16" s="2291">
        <f>G4</f>
        <v>0</v>
      </c>
    </row>
    <row r="17" spans="1:17">
      <c r="A17" s="2249"/>
      <c r="B17" s="2288" t="s">
        <v>2255</v>
      </c>
      <c r="C17" s="2289" t="str">
        <f>C5</f>
        <v>一般</v>
      </c>
      <c r="D17" s="2242"/>
      <c r="E17" s="2250"/>
      <c r="F17" s="2290" t="s">
        <v>2267</v>
      </c>
      <c r="G17" s="2292"/>
    </row>
    <row r="18" spans="1:17">
      <c r="A18" s="2249"/>
      <c r="B18" s="2290" t="s">
        <v>2257</v>
      </c>
      <c r="C18" s="2291" t="str">
        <f>C6</f>
        <v>一般</v>
      </c>
      <c r="D18" s="2242"/>
      <c r="E18" s="2250"/>
      <c r="F18" s="2290" t="s">
        <v>2259</v>
      </c>
      <c r="G18" s="2291">
        <f>G7</f>
        <v>0</v>
      </c>
    </row>
    <row r="19" spans="1:17">
      <c r="A19" s="2249"/>
      <c r="B19" s="2290" t="s">
        <v>2268</v>
      </c>
      <c r="C19" s="2292"/>
      <c r="D19" s="2263"/>
      <c r="E19" s="2250"/>
      <c r="F19" s="314" t="s">
        <v>2256</v>
      </c>
      <c r="G19" s="2291">
        <f>G5</f>
        <v>0</v>
      </c>
    </row>
    <row r="20" spans="1:17">
      <c r="A20" s="2249"/>
      <c r="B20" s="2290" t="s">
        <v>2269</v>
      </c>
      <c r="C20" s="2289" t="str">
        <f>C9</f>
        <v>较好</v>
      </c>
      <c r="D20" s="2242"/>
      <c r="E20" s="2250"/>
      <c r="F20" s="314" t="s">
        <v>2258</v>
      </c>
      <c r="G20" s="2291">
        <f>G6</f>
        <v>0</v>
      </c>
    </row>
    <row r="21" spans="1:17">
      <c r="A21" s="2249"/>
      <c r="B21" s="314" t="s">
        <v>2256</v>
      </c>
      <c r="C21" s="2291" t="str">
        <f>C7</f>
        <v>较好</v>
      </c>
      <c r="D21" s="2263"/>
      <c r="E21" s="2250"/>
      <c r="F21" s="2290" t="s">
        <v>2270</v>
      </c>
      <c r="G21" s="2293"/>
    </row>
    <row r="22" spans="1:17" ht="13.5" customHeight="1">
      <c r="A22" s="2249"/>
      <c r="B22" s="314" t="s">
        <v>2258</v>
      </c>
      <c r="C22" s="2291" t="str">
        <f>C8</f>
        <v>七通</v>
      </c>
      <c r="D22" s="2263"/>
      <c r="E22" s="2250"/>
      <c r="F22" s="2290" t="s">
        <v>2261</v>
      </c>
      <c r="G22" s="2292"/>
    </row>
    <row r="23" spans="1:17" s="750" customFormat="1" ht="14.4" thickBot="1">
      <c r="A23" s="2249"/>
      <c r="B23" s="2290" t="s">
        <v>2270</v>
      </c>
      <c r="C23" s="2293"/>
      <c r="D23" s="1613"/>
      <c r="E23" s="2251"/>
      <c r="F23" s="2294" t="s">
        <v>2271</v>
      </c>
      <c r="G23" s="2295"/>
      <c r="H23" s="2274"/>
      <c r="I23" s="2274"/>
      <c r="J23" s="2274"/>
      <c r="K23" s="2274"/>
      <c r="L23" s="2274"/>
      <c r="M23" s="2274"/>
      <c r="N23" s="2274"/>
      <c r="O23" s="2274"/>
      <c r="P23" s="2274"/>
      <c r="Q23" s="2274"/>
    </row>
    <row r="24" spans="1:17" s="750" customFormat="1" ht="14.4" thickBot="1">
      <c r="A24" s="2252"/>
      <c r="B24" s="2294" t="s">
        <v>2272</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4" width="15.77734375" style="2298" customWidth="1"/>
    <col min="5" max="5" width="19.21875" style="2298" customWidth="1"/>
    <col min="6" max="9" width="15.77734375" style="2298" customWidth="1"/>
    <col min="10" max="16384" width="9" style="2298"/>
  </cols>
  <sheetData>
    <row r="1" spans="1:11" ht="16.2">
      <c r="A1" s="2297" t="s">
        <v>665</v>
      </c>
      <c r="B1" s="2297">
        <f>SUM(B14:B23)</f>
        <v>1106.44</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45734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900</v>
      </c>
      <c r="C5" s="2297">
        <f ca="1">IF(B5=D14,结果表!H102,ROUND(B5*10000/$B$1,0))</f>
        <v>8134</v>
      </c>
      <c r="D5" s="2297" t="e">
        <f ca="1">ROUND(B5*10000/$B$2,0)</f>
        <v>#DIV/0!</v>
      </c>
      <c r="E5" s="2458"/>
      <c r="F5" s="2459"/>
      <c r="G5" s="2459"/>
      <c r="H5" s="2459"/>
      <c r="I5" s="2459"/>
      <c r="J5" s="2459"/>
      <c r="K5" s="2459"/>
    </row>
    <row r="6" spans="1:11" ht="15.6">
      <c r="A6" s="2297" t="s">
        <v>656</v>
      </c>
      <c r="B6" s="2297">
        <f ca="1">SUM(G14:G23)</f>
        <v>900</v>
      </c>
      <c r="C6" s="2297">
        <f ca="1">IF(B6=G14,结果表!H108,ROUND(B6*10000/$B$1,0))</f>
        <v>8134</v>
      </c>
      <c r="D6" s="2297" t="e">
        <f ca="1">ROUND(B6*10000/$B$2,0)</f>
        <v>#DIV/0!</v>
      </c>
      <c r="E6" s="3272" t="str">
        <f ca="1">NUMBERSTRING(INT(B6*10000),2)&amp;"元整"</f>
        <v>玖佰万元整</v>
      </c>
      <c r="F6" s="3273"/>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1106.44</v>
      </c>
      <c r="C14" s="2303"/>
      <c r="D14" s="2303">
        <f ca="1">结果表!G19</f>
        <v>900</v>
      </c>
      <c r="E14" s="2303">
        <f ca="1">典型户型修正!R24</f>
        <v>8136</v>
      </c>
      <c r="F14" s="2303" t="e">
        <f ca="1">ROUND(D14*10000/C14,0)</f>
        <v>#DIV/0!</v>
      </c>
      <c r="G14" s="2303">
        <f ca="1">D14</f>
        <v>900</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3" ht="15.6">
      <c r="A17" s="2302" t="s">
        <v>647</v>
      </c>
      <c r="B17" s="2304"/>
      <c r="C17" s="2304"/>
      <c r="D17" s="2304"/>
      <c r="E17" s="2303" t="e">
        <f t="shared" si="0"/>
        <v>#DIV/0!</v>
      </c>
      <c r="F17" s="2303" t="e">
        <f t="shared" si="1"/>
        <v>#DIV/0!</v>
      </c>
      <c r="G17" s="1243"/>
      <c r="H17" s="1243"/>
      <c r="I17" s="2304"/>
      <c r="J17" s="2459"/>
      <c r="K17" s="2459"/>
    </row>
    <row r="18" spans="1:13" ht="15.6">
      <c r="A18" s="2302" t="s">
        <v>646</v>
      </c>
      <c r="B18" s="2304"/>
      <c r="C18" s="2304"/>
      <c r="D18" s="2304"/>
      <c r="E18" s="2303" t="e">
        <f t="shared" si="0"/>
        <v>#DIV/0!</v>
      </c>
      <c r="F18" s="2303" t="e">
        <f t="shared" si="1"/>
        <v>#DIV/0!</v>
      </c>
      <c r="G18" s="2304"/>
      <c r="H18" s="2304"/>
      <c r="I18" s="2304"/>
      <c r="J18" s="2459"/>
      <c r="K18" s="2459"/>
    </row>
    <row r="19" spans="1:13" ht="15.6">
      <c r="A19" s="2302" t="s">
        <v>645</v>
      </c>
      <c r="B19" s="2304"/>
      <c r="C19" s="2304"/>
      <c r="D19" s="2304"/>
      <c r="E19" s="2303" t="e">
        <f t="shared" si="0"/>
        <v>#DIV/0!</v>
      </c>
      <c r="F19" s="2303" t="e">
        <f t="shared" si="1"/>
        <v>#DIV/0!</v>
      </c>
      <c r="G19" s="2304"/>
      <c r="H19" s="2304"/>
      <c r="I19" s="2304"/>
      <c r="J19" s="2459"/>
      <c r="K19" s="2459"/>
    </row>
    <row r="20" spans="1:13" ht="15.6">
      <c r="A20" s="2302" t="s">
        <v>644</v>
      </c>
      <c r="B20" s="2304"/>
      <c r="C20" s="2304"/>
      <c r="D20" s="2304"/>
      <c r="E20" s="2303" t="e">
        <f t="shared" si="0"/>
        <v>#DIV/0!</v>
      </c>
      <c r="F20" s="2303" t="e">
        <f t="shared" si="1"/>
        <v>#DIV/0!</v>
      </c>
      <c r="G20" s="2304"/>
      <c r="H20" s="2304"/>
      <c r="I20" s="2304"/>
      <c r="J20" s="2459"/>
      <c r="K20" s="2459"/>
    </row>
    <row r="21" spans="1:13" ht="15.6">
      <c r="A21" s="2302" t="s">
        <v>643</v>
      </c>
      <c r="B21" s="2304"/>
      <c r="C21" s="2304"/>
      <c r="D21" s="2304"/>
      <c r="E21" s="2303" t="e">
        <f t="shared" si="0"/>
        <v>#DIV/0!</v>
      </c>
      <c r="F21" s="2303" t="e">
        <f t="shared" si="1"/>
        <v>#DIV/0!</v>
      </c>
      <c r="G21" s="2304"/>
      <c r="H21" s="2304"/>
      <c r="I21" s="2304"/>
      <c r="J21" s="2459"/>
      <c r="K21" s="2459"/>
      <c r="M21" s="3168" t="s">
        <v>3595</v>
      </c>
    </row>
    <row r="22" spans="1:13" ht="15.6">
      <c r="A22" s="2302" t="s">
        <v>642</v>
      </c>
      <c r="B22" s="2304"/>
      <c r="C22" s="2304"/>
      <c r="D22" s="2304"/>
      <c r="E22" s="2303" t="e">
        <f t="shared" si="0"/>
        <v>#DIV/0!</v>
      </c>
      <c r="F22" s="2303" t="e">
        <f t="shared" si="1"/>
        <v>#DIV/0!</v>
      </c>
      <c r="G22" s="2304"/>
      <c r="H22" s="2304"/>
      <c r="I22" s="2304"/>
      <c r="J22" s="2459"/>
      <c r="K22" s="2459"/>
    </row>
    <row r="23" spans="1:13" ht="15.6">
      <c r="A23" s="2302" t="s">
        <v>641</v>
      </c>
      <c r="B23" s="2304"/>
      <c r="C23" s="2304"/>
      <c r="D23" s="2304"/>
      <c r="E23" s="1243" t="e">
        <f t="shared" si="0"/>
        <v>#DIV/0!</v>
      </c>
      <c r="F23" s="1243" t="e">
        <f t="shared" si="1"/>
        <v>#DIV/0!</v>
      </c>
      <c r="G23" s="2304"/>
      <c r="H23" s="2304"/>
      <c r="I23" s="2304"/>
      <c r="J23" s="2459"/>
      <c r="K23" s="2459"/>
    </row>
    <row r="24" spans="1:13">
      <c r="A24" s="2459"/>
      <c r="B24" s="2459"/>
      <c r="C24" s="2459"/>
      <c r="D24" s="2459"/>
      <c r="E24" s="2459"/>
      <c r="F24" s="2459"/>
      <c r="G24" s="2459"/>
      <c r="H24" s="2459"/>
      <c r="I24" s="2459"/>
      <c r="J24" s="2459"/>
      <c r="K24" s="2459"/>
    </row>
    <row r="25" spans="1:13">
      <c r="A25" s="2459"/>
      <c r="B25" s="2459"/>
      <c r="C25" s="2459"/>
      <c r="D25" s="2459"/>
      <c r="E25" s="2459"/>
      <c r="F25" s="2459"/>
      <c r="G25" s="2459"/>
      <c r="H25" s="2459"/>
      <c r="I25" s="2459"/>
      <c r="J25" s="2459"/>
      <c r="K25" s="2459"/>
    </row>
    <row r="26" spans="1:13">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3" bestFit="1" customWidth="1"/>
    <col min="21" max="45" width="9" style="683"/>
    <col min="46" max="16384" width="9" style="122"/>
  </cols>
  <sheetData>
    <row r="1" spans="1:45" ht="14.25" customHeight="1" thickBot="1">
      <c r="A1" s="138"/>
      <c r="B1" s="928" t="s">
        <v>2083</v>
      </c>
      <c r="C1" s="3277" t="s">
        <v>2084</v>
      </c>
      <c r="D1" s="3278"/>
      <c r="E1" s="3278"/>
      <c r="F1" s="3278"/>
      <c r="G1" s="3278"/>
      <c r="H1" s="3278"/>
      <c r="I1" s="3278"/>
      <c r="J1" s="3278"/>
      <c r="K1" s="3278"/>
      <c r="L1" s="3278"/>
      <c r="M1" s="3278"/>
      <c r="N1" s="3278"/>
      <c r="O1" s="3278"/>
      <c r="P1" s="3278"/>
      <c r="Q1" s="3278"/>
      <c r="R1" s="3278"/>
      <c r="S1" s="3279"/>
      <c r="T1" s="928" t="s">
        <v>2085</v>
      </c>
    </row>
    <row r="2" spans="1:45" s="624" customFormat="1" ht="39.6">
      <c r="A2" s="929"/>
      <c r="B2" s="621" t="s">
        <v>2086</v>
      </c>
      <c r="C2" s="14" t="str">
        <f t="shared" ref="C2:L2" si="0">C3&amp;"(含)"&amp;"-"&amp;D3</f>
        <v>0(含)-100</v>
      </c>
      <c r="D2" s="622" t="str">
        <f t="shared" si="0"/>
        <v>100(含)-300</v>
      </c>
      <c r="E2" s="622" t="str">
        <f t="shared" si="0"/>
        <v>300(含)-500</v>
      </c>
      <c r="F2" s="622" t="str">
        <f t="shared" si="0"/>
        <v>500(含)-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300</v>
      </c>
      <c r="F3" s="1219">
        <v>500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100</v>
      </c>
      <c r="D4" s="935">
        <f>C4-1</f>
        <v>99</v>
      </c>
      <c r="E4" s="935">
        <f t="shared" ref="E4:F4" si="7">D4-1</f>
        <v>98</v>
      </c>
      <c r="F4" s="935">
        <f t="shared" si="7"/>
        <v>97</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5">
        <f ca="1">IF(D20="——",S22,S22-F20)</f>
        <v>1800</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5">
        <f ca="1">ROUND(B20*10000/B22,0)</f>
        <v>8134</v>
      </c>
      <c r="C21" s="151"/>
      <c r="D21" s="151"/>
      <c r="E21" s="151"/>
      <c r="F21" s="151"/>
      <c r="G21" s="151"/>
      <c r="H21" s="151"/>
      <c r="I21" s="151"/>
      <c r="J21" s="151"/>
      <c r="K21" s="151"/>
      <c r="L21" s="151"/>
      <c r="M21" s="151"/>
      <c r="N21" s="151"/>
      <c r="O21" s="151"/>
      <c r="P21" s="151"/>
      <c r="Q21" s="151"/>
      <c r="R21" s="151"/>
      <c r="S21" s="121"/>
    </row>
    <row r="22" spans="1:45" ht="13.8">
      <c r="A22" s="307" t="s">
        <v>2099</v>
      </c>
      <c r="B22" s="21">
        <f>SUM(B24:B10000)</f>
        <v>2212.88</v>
      </c>
      <c r="C22" s="3274" t="s">
        <v>27</v>
      </c>
      <c r="D22" s="3275"/>
      <c r="E22" s="3275"/>
      <c r="F22" s="3275"/>
      <c r="G22" s="3275"/>
      <c r="H22" s="3275"/>
      <c r="I22" s="3275"/>
      <c r="J22" s="3275"/>
      <c r="K22" s="3275"/>
      <c r="L22" s="3275"/>
      <c r="M22" s="3275"/>
      <c r="N22" s="3275"/>
      <c r="O22" s="3275"/>
      <c r="P22" s="3275"/>
      <c r="Q22" s="3276"/>
      <c r="R22" s="21">
        <f ca="1">ROUND(S22*10000/B22,0)</f>
        <v>8134</v>
      </c>
      <c r="S22" s="21">
        <f ca="1">SUM(S24:S10000)</f>
        <v>1800</v>
      </c>
      <c r="T22" s="683">
        <f ca="1">SUM(T24:T25)</f>
        <v>18003992</v>
      </c>
      <c r="U22" s="3272" t="str">
        <f ca="1">NUMBERSTRING(INT(T22*10000),2)&amp;"元整"</f>
        <v>壹仟捌佰亿叁仟玖佰玖拾贰万元整</v>
      </c>
      <c r="V22" s="3273"/>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67">
        <f>'数据-基础表'!C13</f>
        <v>0</v>
      </c>
      <c r="B24" s="632">
        <f>'数据-基础表'!I13</f>
        <v>1106.44</v>
      </c>
      <c r="C24" s="2567">
        <v>1</v>
      </c>
      <c r="D24" s="2568"/>
      <c r="E24" s="2567">
        <v>1</v>
      </c>
      <c r="F24" s="2568"/>
      <c r="G24" s="2567">
        <v>1</v>
      </c>
      <c r="H24" s="2568"/>
      <c r="I24" s="2567">
        <v>1</v>
      </c>
      <c r="J24" s="2568"/>
      <c r="K24" s="2567">
        <v>1</v>
      </c>
      <c r="L24" s="2568"/>
      <c r="M24" s="2567">
        <v>1</v>
      </c>
      <c r="N24" s="2568"/>
      <c r="O24" s="2567">
        <v>1</v>
      </c>
      <c r="P24" s="2568"/>
      <c r="Q24" s="2567">
        <v>1</v>
      </c>
      <c r="R24" s="632">
        <f ca="1">结果表!G20</f>
        <v>8136</v>
      </c>
      <c r="S24" s="633">
        <f t="shared" ref="S24:S54" ca="1" si="12">ROUND(R24*B24/10000,0)</f>
        <v>900</v>
      </c>
      <c r="T24" s="688">
        <f ca="1">ROUND(R24*B24,0)</f>
        <v>9001996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67">
        <f>'数据-基础表'!C14</f>
        <v>0</v>
      </c>
      <c r="B25" s="52">
        <f>B24</f>
        <v>1106.44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8136</v>
      </c>
      <c r="S25" s="307">
        <f t="shared" ca="1" si="12"/>
        <v>900</v>
      </c>
      <c r="T25" s="688">
        <f ca="1">ROUND(R25*B25,0)</f>
        <v>9001996</v>
      </c>
    </row>
    <row r="26" spans="1:45">
      <c r="A26" s="142"/>
      <c r="B26" s="52"/>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7">
        <f t="shared"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7">
        <f t="shared" si="12"/>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7">
        <f t="shared" si="12"/>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7">
        <f t="shared" si="12"/>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7">
        <f t="shared" si="12"/>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7">
        <f t="shared" si="12"/>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7">
        <f t="shared" si="12"/>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7">
        <f t="shared" si="12"/>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7">
        <f t="shared" si="12"/>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7">
        <f t="shared" si="12"/>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7">
        <f t="shared" si="12"/>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7">
        <f t="shared" si="12"/>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7">
        <f t="shared" si="12"/>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7">
        <f t="shared" si="12"/>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7">
        <f t="shared" si="12"/>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7">
        <f t="shared" si="12"/>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7">
        <f t="shared" si="12"/>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7">
        <f t="shared" si="12"/>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7">
        <f t="shared" si="12"/>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7">
        <f t="shared" si="12"/>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7">
        <f t="shared" si="12"/>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7">
        <f t="shared" si="12"/>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7">
        <f t="shared" si="1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7">
        <f t="shared" si="1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7">
        <f t="shared" si="1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7">
        <f t="shared" si="1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7">
        <f t="shared" si="1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7">
        <f t="shared" si="1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7">
        <f t="shared" si="1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7">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7">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7">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7">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7">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7">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7">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7">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7">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7">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7">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7">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7">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7">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7">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7">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7">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7">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7">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7">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7">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7">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7">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7">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7">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7">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7">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7">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7">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7">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7">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7">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7">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7">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7">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7">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7">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7">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7">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7">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7">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7">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7">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7">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7">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7">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7">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7">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7">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7">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7">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7">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7">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7">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7">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7">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7">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7">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7">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7">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7">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7">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7">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7">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7">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7">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7">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7">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7">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7">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7">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7">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7">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7">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7">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7">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7">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7">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7">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7">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7">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7">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7">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7">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7">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7">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7">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7">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7">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7">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7">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7">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7">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7">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7">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7">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7">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7">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7">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7">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7">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7">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7">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7">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7">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7">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7">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7">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7">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7">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7">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7">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7">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7">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7">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7">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7">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7">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7">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7">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7">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7">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7">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7">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7">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7">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7">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7">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7">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7">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7">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7">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7">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7">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7">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7">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7">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7">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7">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7">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7">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7">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7">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7">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7">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7">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7">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7">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7">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7">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7">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7">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7">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7">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7">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7">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7">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7">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7">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7">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7">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7">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7">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7">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7">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7">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7">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7">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7">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7">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7">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7">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7">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7">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7">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7">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7">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7">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7">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7">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7">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7">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7">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7">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7">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7">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7">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7">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7">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7">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7">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7">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7">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7">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7">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7">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7">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7">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7">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7">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7">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7">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7">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7">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7">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7">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7">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7">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7">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7">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7">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7">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7">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7">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7">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7">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7">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7">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7">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7">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7">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7">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7">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7">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7">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7">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7">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7">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7">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7">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7">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7">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7">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7">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7">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7">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7">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7">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7">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7">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7">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7">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7">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7">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7">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7">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7">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7">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7">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7">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7">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7">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7">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7">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7">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7">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7">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7">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7">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7">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7">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7">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7">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7">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7">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7">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7">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7">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7">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7">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7">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7">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7">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7">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7">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7">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7">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7">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7">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7">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7">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7">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7">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7">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7">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7">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7">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7">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7">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7">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7">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7">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7">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7">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7">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7">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7">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7">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7">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7">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7">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7">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7">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7">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7">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7">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7">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7">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7">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7">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7">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7">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7">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7">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7">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7">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7">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7">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7">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7">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7">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7">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7">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7">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7">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7">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7">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7">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7">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7">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7">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7">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7">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7">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7">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7">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7">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7">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7">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7">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7">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7">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7">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7">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7">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7">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7">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7">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7">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7">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7">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7">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7">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7">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7">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7">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7">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7">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7">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7">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7">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7">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7">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7">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7">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7">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7">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7">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7">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7">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7">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7">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7">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7">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7">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7">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7">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7">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7">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7">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7">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7">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7">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7">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7">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7">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7">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7">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7">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7">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7">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7">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7">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7">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7">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7">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7">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7">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7">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7">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7">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7">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7">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7">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7">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7">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7">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7">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7">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7">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7">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7">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7">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7">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7">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7">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7">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7">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7">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7">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7">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7">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7">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7">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7">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7">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7">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7">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7">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7">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7">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7">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7">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7">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7">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7">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7">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7">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7">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7">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7">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7">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7">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7">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7">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7">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7">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7">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7">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7">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7">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7">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7">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7">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7">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7">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7">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7">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7">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7">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7">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7">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7">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7">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7">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7">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7">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7">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7">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7">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K24" sqref="K24"/>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t="s">
        <v>3397</v>
      </c>
      <c r="H1" s="1620" t="str">
        <f>IF(G1="现房","——","估价对象范围")</f>
        <v>——</v>
      </c>
      <c r="I1" s="1621"/>
    </row>
    <row r="2" spans="1:12" ht="21.75" customHeight="1" thickBot="1">
      <c r="A2" s="3314" t="str">
        <f>项目基本情况!S2</f>
        <v>北京市通州区光华路18号院房地产</v>
      </c>
      <c r="B2" s="3315"/>
      <c r="C2" s="3315"/>
      <c r="D2" s="3315"/>
      <c r="E2" s="3315"/>
      <c r="F2" s="3315"/>
      <c r="G2" s="3315"/>
      <c r="H2" s="3315"/>
      <c r="I2" s="3316"/>
    </row>
    <row r="3" spans="1:12" ht="13.2">
      <c r="A3" s="3318" t="s">
        <v>1264</v>
      </c>
      <c r="B3" s="3319"/>
      <c r="C3" s="3319"/>
      <c r="D3" s="3319"/>
      <c r="E3" s="3319"/>
      <c r="F3" s="3319"/>
      <c r="G3" s="3319"/>
      <c r="H3" s="3319"/>
      <c r="I3" s="3319"/>
    </row>
    <row r="4" spans="1:12" ht="14.4">
      <c r="A4" s="1623" t="s">
        <v>1265</v>
      </c>
      <c r="B4" s="1624" t="s">
        <v>1266</v>
      </c>
      <c r="C4" s="1625" t="s">
        <v>3609</v>
      </c>
      <c r="D4" s="1625" t="s">
        <v>3610</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4" t="s">
        <v>1268</v>
      </c>
      <c r="B5" s="3281">
        <v>25</v>
      </c>
      <c r="C5" s="3297"/>
      <c r="D5" s="3317"/>
      <c r="E5" s="123" t="s">
        <v>1269</v>
      </c>
      <c r="F5" s="1626"/>
      <c r="G5" s="1626"/>
      <c r="H5" s="1626"/>
      <c r="I5" s="1280"/>
    </row>
    <row r="6" spans="1:12" ht="13.2">
      <c r="A6" s="3294"/>
      <c r="B6" s="3281"/>
      <c r="C6" s="3298"/>
      <c r="D6" s="3317"/>
      <c r="E6" s="123" t="s">
        <v>1270</v>
      </c>
      <c r="F6" s="1626"/>
      <c r="G6" s="1626"/>
      <c r="H6" s="1626"/>
      <c r="I6" s="1280"/>
    </row>
    <row r="7" spans="1:12" ht="13.2">
      <c r="A7" s="3294"/>
      <c r="B7" s="3281"/>
      <c r="C7" s="3299"/>
      <c r="D7" s="3317"/>
      <c r="E7" s="123" t="s">
        <v>1271</v>
      </c>
      <c r="F7" s="1626"/>
      <c r="G7" s="1626"/>
      <c r="H7" s="1626"/>
      <c r="I7" s="1280"/>
    </row>
    <row r="8" spans="1:12" ht="13.2">
      <c r="A8" s="3294" t="s">
        <v>1272</v>
      </c>
      <c r="B8" s="3281">
        <v>15</v>
      </c>
      <c r="C8" s="3297"/>
      <c r="D8" s="3317"/>
      <c r="E8" s="123" t="s">
        <v>1273</v>
      </c>
      <c r="F8" s="1626"/>
      <c r="G8" s="1626"/>
      <c r="H8" s="1626"/>
      <c r="I8" s="1280"/>
    </row>
    <row r="9" spans="1:12" ht="13.2">
      <c r="A9" s="3294"/>
      <c r="B9" s="3281"/>
      <c r="C9" s="3299"/>
      <c r="D9" s="3317"/>
      <c r="E9" s="123" t="s">
        <v>1274</v>
      </c>
      <c r="F9" s="1626"/>
      <c r="G9" s="1626"/>
      <c r="H9" s="1626"/>
      <c r="I9" s="1280"/>
    </row>
    <row r="10" spans="1:12" ht="13.2">
      <c r="A10" s="3294" t="s">
        <v>1275</v>
      </c>
      <c r="B10" s="3281">
        <v>15</v>
      </c>
      <c r="C10" s="3297"/>
      <c r="D10" s="3317"/>
      <c r="E10" s="123" t="s">
        <v>1276</v>
      </c>
      <c r="F10" s="1626"/>
      <c r="G10" s="1626"/>
      <c r="H10" s="1626"/>
      <c r="I10" s="1280"/>
    </row>
    <row r="11" spans="1:12" ht="13.2">
      <c r="A11" s="3294"/>
      <c r="B11" s="3281"/>
      <c r="C11" s="3299"/>
      <c r="D11" s="3317"/>
      <c r="E11" s="123" t="s">
        <v>1277</v>
      </c>
      <c r="F11" s="1626"/>
      <c r="G11" s="1626"/>
      <c r="H11" s="1626"/>
      <c r="I11" s="1280"/>
    </row>
    <row r="12" spans="1:12" ht="13.2">
      <c r="A12" s="3294" t="s">
        <v>1278</v>
      </c>
      <c r="B12" s="3281">
        <v>15</v>
      </c>
      <c r="C12" s="3297"/>
      <c r="D12" s="3317"/>
      <c r="E12" s="123" t="s">
        <v>1279</v>
      </c>
      <c r="F12" s="1626"/>
      <c r="G12" s="1626"/>
      <c r="H12" s="1626"/>
      <c r="I12" s="1280"/>
    </row>
    <row r="13" spans="1:12" ht="13.2">
      <c r="A13" s="3294"/>
      <c r="B13" s="3281"/>
      <c r="C13" s="3299"/>
      <c r="D13" s="3317"/>
      <c r="E13" s="123" t="s">
        <v>1280</v>
      </c>
      <c r="F13" s="1626"/>
      <c r="G13" s="1626"/>
      <c r="H13" s="1626"/>
      <c r="I13" s="1280"/>
    </row>
    <row r="14" spans="1:12" ht="13.2">
      <c r="A14" s="3294" t="s">
        <v>1281</v>
      </c>
      <c r="B14" s="3281">
        <v>30</v>
      </c>
      <c r="C14" s="3297">
        <v>5</v>
      </c>
      <c r="D14" s="3317">
        <v>5</v>
      </c>
      <c r="E14" s="123" t="s">
        <v>1282</v>
      </c>
      <c r="F14" s="1626"/>
      <c r="G14" s="1626"/>
      <c r="H14" s="1626"/>
      <c r="I14" s="1280"/>
    </row>
    <row r="15" spans="1:12" ht="13.2">
      <c r="A15" s="3294"/>
      <c r="B15" s="3281"/>
      <c r="C15" s="3298"/>
      <c r="D15" s="3317"/>
      <c r="E15" s="123" t="s">
        <v>1283</v>
      </c>
      <c r="F15" s="1626"/>
      <c r="G15" s="1626"/>
      <c r="H15" s="1626"/>
      <c r="I15" s="1280"/>
    </row>
    <row r="16" spans="1:12" ht="13.2">
      <c r="A16" s="3294"/>
      <c r="B16" s="3281"/>
      <c r="C16" s="3299"/>
      <c r="D16" s="3317"/>
      <c r="E16" s="123" t="s">
        <v>1284</v>
      </c>
      <c r="F16" s="1626"/>
      <c r="G16" s="1626"/>
      <c r="H16" s="1626"/>
      <c r="I16" s="1280"/>
    </row>
    <row r="17" spans="1:36" ht="14.4">
      <c r="A17" s="1627" t="s">
        <v>1285</v>
      </c>
      <c r="B17" s="54"/>
      <c r="C17" s="124">
        <f>SUM(C5:C16)</f>
        <v>5</v>
      </c>
      <c r="D17" s="124">
        <f>SUM(D5:D16)</f>
        <v>5</v>
      </c>
      <c r="E17" s="121"/>
      <c r="F17" s="121"/>
      <c r="G17" s="121"/>
      <c r="H17" s="121"/>
      <c r="I17" s="121"/>
      <c r="K17" s="293"/>
      <c r="L17" s="293" t="s">
        <v>1286</v>
      </c>
      <c r="M17" s="293" t="s">
        <v>1287</v>
      </c>
    </row>
    <row r="18" spans="1:36" ht="31.95" customHeight="1" thickBot="1">
      <c r="A18" s="1628" t="s">
        <v>1288</v>
      </c>
      <c r="B18" s="1541"/>
      <c r="C18" s="125">
        <f>ROUND(C17/SUM(C17:D17),2)</f>
        <v>0.5</v>
      </c>
      <c r="D18" s="125">
        <f>1-C18</f>
        <v>0.5</v>
      </c>
      <c r="E18" s="3304" t="s">
        <v>2130</v>
      </c>
      <c r="F18" s="3305"/>
      <c r="G18" s="3305"/>
      <c r="H18" s="3305"/>
      <c r="I18" s="3305"/>
      <c r="K18" s="293" t="s">
        <v>1289</v>
      </c>
      <c r="L18" s="293">
        <f>IF(C1="",'数据-汇总表'!E3,SUMIF(项目类型,C1,'数据-汇总表'!E17:E26)+SUMIF(项目类型,C1,'数据-汇总表'!I17:I26))</f>
        <v>1106.44</v>
      </c>
      <c r="M18" s="293">
        <f>IF(C1="",'数据-汇总表'!E3,SUMIF(项目类型,C1,'数据-汇总表'!E17:E26))</f>
        <v>1106.44</v>
      </c>
    </row>
    <row r="19" spans="1:36" ht="14.4">
      <c r="A19" s="1629" t="s">
        <v>1290</v>
      </c>
      <c r="B19" s="1630" t="s">
        <v>1291</v>
      </c>
      <c r="C19" s="126">
        <f ca="1">SUMIF(INDIRECT("'"&amp;C4&amp;"'"&amp;"!A:A"),结果表!B19,INDIRECT("'"&amp;C4&amp;"'"&amp;"!B:B"))</f>
        <v>942.93529999999998</v>
      </c>
      <c r="D19" s="127">
        <f ca="1">SUMIF(INDIRECT("'"&amp;D4&amp;"'"&amp;"!A:A"),结果表!B19,INDIRECT("'"&amp;D4&amp;"'"&amp;"!B:B"))</f>
        <v>857.34069999999997</v>
      </c>
      <c r="E19" s="1629" t="s">
        <v>1292</v>
      </c>
      <c r="F19" s="1630" t="s">
        <v>1291</v>
      </c>
      <c r="G19" s="128">
        <f ca="1">ROUND(C19*$C$18+D19*$D$18,0)</f>
        <v>900</v>
      </c>
      <c r="H19" s="1631" t="s">
        <v>1293</v>
      </c>
      <c r="I19" s="121"/>
      <c r="K19" s="293" t="s">
        <v>1294</v>
      </c>
      <c r="L19" s="293">
        <f>IF(C1="",'数据-汇总表'!D3,SUMIF(项目类型,C1,'数据-汇总表'!D17:D26)+SUMIF(项目类型,C1,'数据-汇总表'!H17:H27))</f>
        <v>8001.46</v>
      </c>
      <c r="M19" s="293">
        <f>IF(C1="",'数据-汇总表'!D3,SUMIF(项目类型,C1,'数据-汇总表'!D17:D26))</f>
        <v>8001.46</v>
      </c>
    </row>
    <row r="20" spans="1:36" ht="14.4">
      <c r="A20" s="1632"/>
      <c r="B20" s="43" t="s">
        <v>1295</v>
      </c>
      <c r="C20" s="129">
        <f ca="1">SUMIF(INDIRECT("'"&amp;C4&amp;"'"&amp;"!A:A"),结果表!B20,INDIRECT("'"&amp;C4&amp;"'"&amp;"!B:B"))</f>
        <v>8522</v>
      </c>
      <c r="D20" s="130">
        <f ca="1">SUMIF(INDIRECT("'"&amp;D4&amp;"'"&amp;"!A:A"),结果表!B20,INDIRECT("'"&amp;D4&amp;"'"&amp;"!B:B"))</f>
        <v>7749</v>
      </c>
      <c r="E20" s="1632"/>
      <c r="F20" s="43" t="s">
        <v>1295</v>
      </c>
      <c r="G20" s="131">
        <f ca="1">ROUND(C20*$C$18+D20*$D$18,0)</f>
        <v>8136</v>
      </c>
      <c r="H20" s="759" t="s">
        <v>1296</v>
      </c>
      <c r="I20" s="121"/>
    </row>
    <row r="21" spans="1:36" ht="15" customHeight="1" thickBot="1">
      <c r="A21" s="448"/>
      <c r="B21" s="93" t="s">
        <v>1297</v>
      </c>
      <c r="C21" s="677">
        <f ca="1">ROUND(C19*10000/L19,0)</f>
        <v>1178</v>
      </c>
      <c r="D21" s="678">
        <f ca="1">ROUND(D19*10000/L19,0)</f>
        <v>1071</v>
      </c>
      <c r="E21" s="448"/>
      <c r="F21" s="93" t="s">
        <v>1297</v>
      </c>
      <c r="G21" s="132">
        <f ca="1">ROUND(G19*10000/L19,0)</f>
        <v>1125</v>
      </c>
      <c r="H21" s="1633" t="s">
        <v>1296</v>
      </c>
      <c r="I21" s="121"/>
    </row>
    <row r="22" spans="1:36" ht="15" thickBot="1">
      <c r="A22" s="1563" t="s">
        <v>1298</v>
      </c>
      <c r="B22" s="1634"/>
      <c r="C22" s="1635"/>
      <c r="D22" s="679">
        <f ca="1">IF(C19&lt;D19,D19/C19-1,C19/D19-1)</f>
        <v>9.9837322548667062E-2</v>
      </c>
      <c r="E22" s="121"/>
      <c r="F22" s="121"/>
      <c r="G22" s="121"/>
      <c r="H22" s="121"/>
      <c r="I22" s="121"/>
      <c r="K22" s="683">
        <f ca="1">G19/'数据-汇总表'!F31</f>
        <v>0.81341961606594115</v>
      </c>
      <c r="M22" s="683">
        <f ca="1">K22/0.76</f>
        <v>1.0702889685078172</v>
      </c>
    </row>
    <row r="23" spans="1:36" ht="13.8" thickBot="1">
      <c r="A23" s="645"/>
      <c r="B23" s="645"/>
      <c r="C23" s="645"/>
      <c r="D23" s="645"/>
      <c r="E23" s="121"/>
      <c r="F23" s="121"/>
      <c r="G23" s="121"/>
      <c r="H23" s="121"/>
      <c r="I23" s="121"/>
    </row>
    <row r="24" spans="1:36" ht="14.4">
      <c r="A24" s="3288" t="s">
        <v>1299</v>
      </c>
      <c r="B24" s="1630" t="s">
        <v>1291</v>
      </c>
      <c r="C24" s="128">
        <f>IF(B30=0,0,D30)</f>
        <v>0</v>
      </c>
      <c r="D24" s="1636"/>
      <c r="E24" s="121"/>
      <c r="F24" s="121"/>
      <c r="G24" s="3160" t="s">
        <v>3454</v>
      </c>
      <c r="H24" s="121">
        <f>650/B118</f>
        <v>0.58746972271429088</v>
      </c>
      <c r="I24" s="121"/>
    </row>
    <row r="25" spans="1:36" ht="14.4">
      <c r="A25" s="328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900</v>
      </c>
      <c r="D32" s="1640" t="s">
        <v>3611</v>
      </c>
      <c r="E32" s="121"/>
      <c r="F32" s="121"/>
      <c r="G32" s="121"/>
      <c r="H32" s="121"/>
      <c r="I32" s="121"/>
    </row>
    <row r="33" spans="1:15" ht="14.4">
      <c r="A33" s="739" t="s">
        <v>1306</v>
      </c>
      <c r="B33" s="123"/>
      <c r="C33" s="1641" t="s">
        <v>3599</v>
      </c>
      <c r="D33" s="1642" t="s">
        <v>3600</v>
      </c>
      <c r="E33" s="1643" t="s">
        <v>1307</v>
      </c>
      <c r="F33" s="1644" t="str">
        <f>IF(D32="楼面单价","取值（单价）","取值（总价）")</f>
        <v>取值（总价）</v>
      </c>
      <c r="G33" s="121"/>
      <c r="H33" s="121"/>
      <c r="I33" s="121"/>
    </row>
    <row r="34" spans="1:15" ht="14.4">
      <c r="A34" s="1645"/>
      <c r="B34" s="1646" t="s">
        <v>1308</v>
      </c>
      <c r="C34" s="140" t="e">
        <f ca="1">IF(C33="自定义",F34,C32-C35)</f>
        <v>#VALUE!</v>
      </c>
      <c r="D34" s="807" t="e">
        <f ca="1">IF(C33="自定义",ROUND(C34/C32,3),IF(C33="收益比率",SUMIF(INDIRECT("'"&amp;D33&amp;"'"&amp;"!b:b"),"土地收益比率",INDIRECT("'"&amp;D33&amp;"'"&amp;"!c:c")),SUMIF(INDIRECT("'"&amp;D33&amp;"'"&amp;"!b:b"),"土地成本比率",INDIRECT("'"&amp;D33&amp;"'"&amp;"!c:c"))))</f>
        <v>#VALUE!</v>
      </c>
      <c r="E34" s="1647" t="s">
        <v>1309</v>
      </c>
      <c r="F34" s="1242"/>
      <c r="G34" s="121"/>
      <c r="H34" s="121"/>
      <c r="I34" s="121"/>
    </row>
    <row r="35" spans="1:15" ht="15" thickBot="1">
      <c r="A35" s="1648"/>
      <c r="B35" s="1649" t="s">
        <v>1310</v>
      </c>
      <c r="C35" s="1089" t="e">
        <f ca="1">IF(C33="自定义",F35,ROUND(C32*D35,0))</f>
        <v>#VALUE!</v>
      </c>
      <c r="D35" s="1090" t="e">
        <f ca="1">IF(C33="自定义",ROUND(C35/C32,3),IF(C33="收益比率",SUMIF(INDIRECT("'"&amp;D33&amp;"'"&amp;"!b:b"),"建筑物收益比率",INDIRECT("'"&amp;D33&amp;"'"&amp;"!c:c")),SUMIF(INDIRECT("'"&amp;D33&amp;"'"&amp;"!b:b"),"建筑物成本比率",INDIRECT("'"&amp;D33&amp;"'"&amp;"!c:c"))))</f>
        <v>#VALUE!</v>
      </c>
      <c r="E35" s="1650" t="s">
        <v>1311</v>
      </c>
      <c r="F35" s="146"/>
      <c r="G35" s="121"/>
      <c r="H35" s="121"/>
      <c r="I35" s="121"/>
    </row>
    <row r="36" spans="1:15" ht="15" thickBot="1">
      <c r="A36" s="3308" t="s">
        <v>1312</v>
      </c>
      <c r="B36" s="1651" t="s">
        <v>1313</v>
      </c>
      <c r="C36" s="137"/>
      <c r="D36" s="1652"/>
      <c r="E36" s="1566"/>
      <c r="F36" s="1653"/>
      <c r="G36" s="121"/>
      <c r="H36" s="121"/>
      <c r="I36" s="121"/>
    </row>
    <row r="37" spans="1:15" ht="15" thickBot="1">
      <c r="A37" s="3309"/>
      <c r="B37" s="1554" t="s">
        <v>1314</v>
      </c>
      <c r="C37" s="139"/>
      <c r="D37" s="1070"/>
      <c r="E37" s="1070"/>
      <c r="F37" s="1653"/>
      <c r="G37" s="121"/>
      <c r="H37" s="121"/>
      <c r="I37" s="121"/>
    </row>
    <row r="38" spans="1:15" ht="15" thickBot="1">
      <c r="A38" s="3310"/>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5" t="s">
        <v>1326</v>
      </c>
      <c r="B45" s="3286"/>
      <c r="C45" s="3287"/>
      <c r="D45" s="147">
        <f ca="1">ROUND(H101*F45,0)</f>
        <v>900</v>
      </c>
      <c r="E45" s="148" t="s">
        <v>1327</v>
      </c>
      <c r="F45" s="149">
        <v>1</v>
      </c>
      <c r="G45" s="150" t="s">
        <v>1328</v>
      </c>
      <c r="H45" s="121"/>
      <c r="I45" s="121"/>
      <c r="J45" s="3363" t="s">
        <v>1329</v>
      </c>
      <c r="K45" s="3363"/>
      <c r="L45" s="3363"/>
      <c r="M45" s="3363"/>
      <c r="N45" s="3363"/>
      <c r="O45" s="3363"/>
    </row>
    <row r="46" spans="1:15" ht="14.25" customHeight="1">
      <c r="A46" s="3282" t="s">
        <v>1330</v>
      </c>
      <c r="B46" s="3283"/>
      <c r="C46" s="3283"/>
      <c r="D46" s="3283"/>
      <c r="E46" s="3283"/>
      <c r="F46" s="3283"/>
      <c r="G46" s="3284"/>
      <c r="H46" s="1667"/>
      <c r="I46" s="151"/>
      <c r="J46" s="2307">
        <v>1</v>
      </c>
      <c r="K46" s="3344" t="s">
        <v>1331</v>
      </c>
      <c r="L46" s="3344"/>
      <c r="M46" s="3364"/>
      <c r="N46" s="3364"/>
      <c r="O46" s="3364"/>
    </row>
    <row r="47" spans="1:15" ht="12" customHeight="1">
      <c r="A47" s="152" t="s">
        <v>1332</v>
      </c>
      <c r="B47" s="153"/>
      <c r="C47" s="154"/>
      <c r="D47" s="1023" t="s">
        <v>1333</v>
      </c>
      <c r="E47" s="293" t="s">
        <v>1334</v>
      </c>
      <c r="F47" s="155" t="s">
        <v>1335</v>
      </c>
      <c r="G47" s="2330" t="s">
        <v>1336</v>
      </c>
      <c r="H47" s="2331"/>
      <c r="I47" s="151"/>
      <c r="J47" s="2307">
        <v>2</v>
      </c>
      <c r="K47" s="3344" t="s">
        <v>1337</v>
      </c>
      <c r="L47" s="3344"/>
      <c r="M47" s="3365">
        <f>'数据-取费表'!B2</f>
        <v>45734</v>
      </c>
      <c r="N47" s="3365"/>
      <c r="O47" s="3365"/>
    </row>
    <row r="48" spans="1:15" ht="26.4">
      <c r="A48" s="3313" t="s">
        <v>1338</v>
      </c>
      <c r="B48" s="3296"/>
      <c r="C48" s="3296"/>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44" t="s">
        <v>1340</v>
      </c>
      <c r="L48" s="3344"/>
      <c r="M48" s="3366">
        <f ca="1">H101</f>
        <v>900</v>
      </c>
      <c r="N48" s="3366"/>
      <c r="O48" s="3366"/>
    </row>
    <row r="49" spans="1:35" ht="25.5" customHeight="1">
      <c r="A49" s="2151" t="s">
        <v>1341</v>
      </c>
      <c r="B49" s="3280" t="s">
        <v>1342</v>
      </c>
      <c r="C49" s="3280"/>
      <c r="D49" s="1477">
        <v>0</v>
      </c>
      <c r="E49" s="315" t="s">
        <v>1343</v>
      </c>
      <c r="F49" s="2230" t="s">
        <v>28</v>
      </c>
      <c r="G49" s="3350"/>
      <c r="H49" s="2133" t="s">
        <v>2133</v>
      </c>
      <c r="I49" s="2134"/>
      <c r="J49" s="2307">
        <v>4</v>
      </c>
      <c r="K49" s="3344" t="str">
        <f>IF(项目基本情况!E8="房地产抵押价值","房地产抵押价值","抵押担保权已注销时的房地产抵押价值")</f>
        <v>房地产抵押价值</v>
      </c>
      <c r="L49" s="3344"/>
      <c r="M49" s="3366">
        <f ca="1">IF(项目基本情况!E8="房地产抵押价值",H107,H109)</f>
        <v>900</v>
      </c>
      <c r="N49" s="3366"/>
      <c r="O49" s="3366"/>
    </row>
    <row r="50" spans="1:35" ht="25.5" customHeight="1">
      <c r="A50" s="2335"/>
      <c r="B50" s="3280" t="s">
        <v>1344</v>
      </c>
      <c r="C50" s="3280"/>
      <c r="D50" s="2188"/>
      <c r="E50" s="322"/>
      <c r="F50" s="2230"/>
      <c r="G50" s="3351"/>
      <c r="H50" s="2135" t="s">
        <v>2134</v>
      </c>
      <c r="I50" s="2134"/>
      <c r="J50" s="3363" t="s">
        <v>1345</v>
      </c>
      <c r="K50" s="3363"/>
      <c r="L50" s="3363"/>
      <c r="M50" s="3363"/>
      <c r="N50" s="3363"/>
      <c r="O50" s="3363"/>
    </row>
    <row r="51" spans="1:35" ht="20.399999999999999" customHeight="1">
      <c r="A51" s="2336"/>
      <c r="B51" s="3280" t="s">
        <v>1346</v>
      </c>
      <c r="C51" s="3280"/>
      <c r="D51" s="1023"/>
      <c r="E51" s="318"/>
      <c r="F51" s="2230"/>
      <c r="G51" s="3352"/>
      <c r="H51" s="2135" t="s">
        <v>2135</v>
      </c>
      <c r="I51" s="2134"/>
      <c r="J51" s="2308" t="s">
        <v>1347</v>
      </c>
      <c r="K51" s="3344" t="s">
        <v>1348</v>
      </c>
      <c r="L51" s="3344"/>
      <c r="M51" s="2308" t="s">
        <v>1349</v>
      </c>
      <c r="N51" s="2308" t="s">
        <v>1350</v>
      </c>
      <c r="O51" s="2308" t="s">
        <v>1351</v>
      </c>
    </row>
    <row r="52" spans="1:35" ht="24" customHeight="1">
      <c r="A52" s="2152" t="s">
        <v>1352</v>
      </c>
      <c r="B52" s="3280" t="s">
        <v>1353</v>
      </c>
      <c r="C52" s="3280"/>
      <c r="D52" s="1023">
        <f ca="1">ROUND(D45*'数据-取费表'!B41/(1+'数据-取费表'!C42),0)</f>
        <v>47</v>
      </c>
      <c r="E52" s="1255" t="s">
        <v>1354</v>
      </c>
      <c r="F52" s="2337">
        <f>'数据-取费表'!B41</f>
        <v>5.5000000000000007E-2</v>
      </c>
      <c r="G52" s="2338"/>
      <c r="H52" s="2328"/>
      <c r="I52" s="1668"/>
      <c r="J52" s="2307">
        <v>1</v>
      </c>
      <c r="K52" s="3345" t="s">
        <v>1355</v>
      </c>
      <c r="L52" s="3345"/>
      <c r="M52" s="2309" t="b">
        <f>D48</f>
        <v>0</v>
      </c>
      <c r="N52" s="2307" t="str">
        <f>E48</f>
        <v>销售额×税（费）率</v>
      </c>
      <c r="O52" s="2310">
        <f>F48</f>
        <v>5.5000000000000007E-2</v>
      </c>
    </row>
    <row r="53" spans="1:35" ht="12" customHeight="1">
      <c r="A53" s="2152" t="s">
        <v>1356</v>
      </c>
      <c r="B53" s="3306" t="s">
        <v>2281</v>
      </c>
      <c r="C53" s="3307"/>
      <c r="D53" s="1023">
        <f ca="1">ROUND(D45*'数据-取费表'!B41/(1+'数据-取费表'!C42),0)</f>
        <v>47</v>
      </c>
      <c r="E53" s="1255" t="s">
        <v>1354</v>
      </c>
      <c r="F53" s="2337">
        <f>'数据-取费表'!B41</f>
        <v>5.5000000000000007E-2</v>
      </c>
      <c r="G53" s="2338"/>
      <c r="H53" s="2328"/>
      <c r="I53" s="1668"/>
      <c r="J53" s="2307">
        <v>2</v>
      </c>
      <c r="K53" s="3345" t="s">
        <v>1357</v>
      </c>
      <c r="L53" s="3345"/>
      <c r="M53" s="2309">
        <f t="shared" ref="M53:O54" ca="1" si="0">D55</f>
        <v>0</v>
      </c>
      <c r="N53" s="2307" t="str">
        <f t="shared" si="0"/>
        <v>销售额×税（费）率</v>
      </c>
      <c r="O53" s="2310" t="str">
        <f t="shared" si="0"/>
        <v>免征</v>
      </c>
    </row>
    <row r="54" spans="1:35" ht="12" customHeight="1">
      <c r="A54" s="2152" t="s">
        <v>1358</v>
      </c>
      <c r="B54" s="3306" t="s">
        <v>2282</v>
      </c>
      <c r="C54" s="3307"/>
      <c r="D54" s="1023">
        <f ca="1">C68</f>
        <v>47</v>
      </c>
      <c r="E54" s="318" t="s">
        <v>1359</v>
      </c>
      <c r="F54" s="2337">
        <f>'数据-取费表'!B41</f>
        <v>5.5000000000000007E-2</v>
      </c>
      <c r="G54" s="2338"/>
      <c r="H54" s="2339"/>
      <c r="I54" s="1668"/>
      <c r="J54" s="2307">
        <v>3</v>
      </c>
      <c r="K54" s="3345" t="s">
        <v>1360</v>
      </c>
      <c r="L54" s="3345"/>
      <c r="M54" s="2309">
        <f t="shared" ca="1" si="0"/>
        <v>510</v>
      </c>
      <c r="N54" s="2307" t="str">
        <f t="shared" si="0"/>
        <v>增值额×税（费）率</v>
      </c>
      <c r="O54" s="2311" t="str">
        <f t="shared" si="0"/>
        <v>免征</v>
      </c>
    </row>
    <row r="55" spans="1:35" ht="24" customHeight="1">
      <c r="A55" s="3295" t="s">
        <v>1361</v>
      </c>
      <c r="B55" s="3296"/>
      <c r="C55" s="3296"/>
      <c r="D55" s="12">
        <f ca="1">IF(H55="个人住宅",0,ROUND(D45*I55,0))</f>
        <v>0</v>
      </c>
      <c r="E55" s="1255" t="s">
        <v>1362</v>
      </c>
      <c r="F55" s="2337" t="str">
        <f>IF(H55="正常",I55,"免征")</f>
        <v>免征</v>
      </c>
      <c r="G55" s="2338"/>
      <c r="H55" s="2334"/>
      <c r="I55" s="157">
        <f>'数据-取费表'!B49</f>
        <v>5.0000000000000001E-4</v>
      </c>
      <c r="J55" s="2307">
        <f>IF(H59="非个人房产","",4)</f>
        <v>4</v>
      </c>
      <c r="K55" s="3345" t="str">
        <f>IF(H59="非个人房产","——","个人所得税")</f>
        <v>个人所得税</v>
      </c>
      <c r="L55" s="3345"/>
      <c r="M55" s="2312">
        <f ca="1">D59</f>
        <v>9</v>
      </c>
      <c r="N55" s="1882" t="str">
        <f>E59</f>
        <v>差额计税</v>
      </c>
      <c r="O55" s="2313">
        <f>F59</f>
        <v>0.01</v>
      </c>
    </row>
    <row r="56" spans="1:35" ht="25.2">
      <c r="A56" s="3295" t="s">
        <v>1363</v>
      </c>
      <c r="B56" s="3296"/>
      <c r="C56" s="3296"/>
      <c r="D56" s="12">
        <f ca="1">IF(H56="个人住宅",D57,D58)</f>
        <v>510</v>
      </c>
      <c r="E56" s="1255" t="s">
        <v>1364</v>
      </c>
      <c r="F56" s="2337" t="str">
        <f>IF(H56="正常",F58,"免征")</f>
        <v>免征</v>
      </c>
      <c r="G56" s="2340" t="s">
        <v>1365</v>
      </c>
      <c r="H56" s="2341"/>
      <c r="I56" s="1669"/>
      <c r="J56" s="2307" t="str">
        <f>IF(项目基本情况!K6="上海银行",IF(J55="",4,J55+1),"")</f>
        <v/>
      </c>
      <c r="K56" s="3368" t="str">
        <f>IF(项目基本情况!K6="上海银行","其他处置费用","")</f>
        <v/>
      </c>
      <c r="L56" s="3369"/>
      <c r="M56" s="2309" t="str">
        <f>IF(项目基本情况!K6="上海银行",M69,"")</f>
        <v/>
      </c>
      <c r="N56" s="3368" t="str">
        <f>IF(项目基本情况!K6="上海银行","包含处置中涉及的律师、诉讼、拍卖、评估等费用","")</f>
        <v/>
      </c>
      <c r="O56" s="3371"/>
    </row>
    <row r="57" spans="1:35" ht="13.2">
      <c r="A57" s="2152" t="s">
        <v>1341</v>
      </c>
      <c r="B57" s="3306" t="s">
        <v>1366</v>
      </c>
      <c r="C57" s="3307"/>
      <c r="D57" s="1477">
        <v>0</v>
      </c>
      <c r="E57" s="315" t="s">
        <v>1343</v>
      </c>
      <c r="F57" s="293"/>
      <c r="G57" s="2338"/>
      <c r="H57" s="2342"/>
      <c r="I57" s="1669"/>
      <c r="J57" s="3345">
        <f>IF(AND(J55="",J56=""),4,IF(项目基本情况!K6="上海银行",结果表!J56+1,结果表!J55+1))</f>
        <v>5</v>
      </c>
      <c r="K57" s="3345" t="s">
        <v>1367</v>
      </c>
      <c r="L57" s="2314" t="s">
        <v>1368</v>
      </c>
      <c r="M57" s="2315"/>
      <c r="N57" s="2316">
        <f ca="1">SUMIF(M52:M56,"&lt;9e307")</f>
        <v>519</v>
      </c>
      <c r="O57" s="2317"/>
      <c r="P57" s="2461">
        <f ca="1">N57/M49</f>
        <v>0.57666666666666666</v>
      </c>
    </row>
    <row r="58" spans="1:35" ht="25.2">
      <c r="A58" s="2152" t="s">
        <v>1352</v>
      </c>
      <c r="B58" s="3306" t="s">
        <v>1369</v>
      </c>
      <c r="C58" s="3280"/>
      <c r="D58" s="12">
        <f ca="1">IF(H58="转让取得",C81,C97)</f>
        <v>510</v>
      </c>
      <c r="E58" s="1255" t="s">
        <v>1364</v>
      </c>
      <c r="F58" s="293" t="s">
        <v>28</v>
      </c>
      <c r="G58" s="2338"/>
      <c r="H58" s="2341"/>
      <c r="I58" s="1669"/>
      <c r="J58" s="3345"/>
      <c r="K58" s="3345"/>
      <c r="L58" s="2314" t="s">
        <v>1370</v>
      </c>
      <c r="M58" s="2318"/>
      <c r="N58" s="2319" t="str">
        <f ca="1">NUMBERSTRING(INT(N57*10000),2)&amp;"元整"</f>
        <v>伍佰壹拾玖万元整</v>
      </c>
      <c r="O58" s="2320"/>
    </row>
    <row r="59" spans="1:35" ht="24.6" thickBot="1">
      <c r="A59" s="3348" t="s">
        <v>1371</v>
      </c>
      <c r="B59" s="3349"/>
      <c r="C59" s="3349"/>
      <c r="D59" s="2343">
        <f ca="1">IF(H59="非个人房产","——",IF(H59="个人住宅（满五唯一有凭证）",0,IF(H59="个人其他（无凭证）",ROUND(D45*F59,0),ROUND(C67*F59,0))))</f>
        <v>9</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46">
        <f>J57+1</f>
        <v>6</v>
      </c>
      <c r="K59" s="3345" t="s">
        <v>1372</v>
      </c>
      <c r="L59" s="2307" t="s">
        <v>1368</v>
      </c>
      <c r="M59" s="2321"/>
      <c r="N59" s="2322">
        <f ca="1">M49-N57</f>
        <v>381</v>
      </c>
      <c r="O59" s="2323"/>
    </row>
    <row r="60" spans="1:35" ht="12" customHeight="1">
      <c r="A60" s="1670"/>
      <c r="B60" s="645"/>
      <c r="C60" s="645"/>
      <c r="D60" s="645"/>
      <c r="E60" s="1465"/>
      <c r="F60" s="1669"/>
      <c r="G60" s="1669"/>
      <c r="H60" s="151"/>
      <c r="I60" s="121"/>
      <c r="J60" s="3347"/>
      <c r="K60" s="3345"/>
      <c r="L60" s="2314" t="s">
        <v>1370</v>
      </c>
      <c r="M60" s="2318"/>
      <c r="N60" s="2319" t="str">
        <f ca="1">NUMBERSTRING(INT(N59*10000),2)&amp;"元整"</f>
        <v>叁佰捌拾壹万元整</v>
      </c>
      <c r="O60" s="2320"/>
    </row>
    <row r="61" spans="1:35" ht="13.8" thickBot="1">
      <c r="A61" s="3293" t="s">
        <v>1373</v>
      </c>
      <c r="B61" s="3293"/>
      <c r="C61" s="3293"/>
      <c r="D61" s="3293"/>
      <c r="E61" s="3293"/>
      <c r="F61" s="1669"/>
      <c r="G61" s="1669"/>
      <c r="H61" s="151"/>
      <c r="I61" s="121"/>
      <c r="J61" s="2307">
        <f>J59+1</f>
        <v>7</v>
      </c>
      <c r="K61" s="3345" t="s">
        <v>1374</v>
      </c>
      <c r="L61" s="3345"/>
      <c r="M61" s="2324"/>
      <c r="N61" s="2325">
        <f ca="1">ROUND(N59*10000/'数据-汇总表'!E3,0)</f>
        <v>3443</v>
      </c>
      <c r="O61" s="2326"/>
    </row>
    <row r="62" spans="1:35" ht="13.2">
      <c r="A62" s="3311" t="s">
        <v>1375</v>
      </c>
      <c r="B62" s="3312"/>
      <c r="C62" s="1864"/>
      <c r="D62" s="1864" t="s">
        <v>1376</v>
      </c>
      <c r="E62" s="158" t="s">
        <v>1377</v>
      </c>
      <c r="F62" s="1669"/>
      <c r="G62" s="1669"/>
      <c r="H62" s="151"/>
      <c r="I62" s="121"/>
    </row>
    <row r="63" spans="1:35" ht="13.2">
      <c r="A63" s="165" t="s">
        <v>330</v>
      </c>
      <c r="B63" s="159" t="s">
        <v>1378</v>
      </c>
      <c r="C63" s="2347">
        <f ca="1">ROUND((C64+C65)/(1+'数据-取费表'!C42),0)</f>
        <v>857</v>
      </c>
      <c r="D63" s="159"/>
      <c r="E63" s="160"/>
      <c r="F63" s="1669"/>
      <c r="G63" s="1669"/>
      <c r="H63" s="151"/>
      <c r="I63" s="121"/>
      <c r="J63" s="3370" t="s">
        <v>1379</v>
      </c>
      <c r="K63" s="1244" t="s">
        <v>1380</v>
      </c>
      <c r="L63" s="1244">
        <f ca="1">IF(M49&gt;10000,M49*0.5%,IF(AND(M49&gt;1000,M49&lt;=10000),M49*1%,IF(AND(M49&gt;100,M49&lt;=1000),M49*3%,IF(AND(M49&gt;10,M49&lt;=100),M49*5%,M49*8%))))</f>
        <v>27</v>
      </c>
      <c r="M63" s="293">
        <f ca="1">ROUND(L63,1)</f>
        <v>27</v>
      </c>
      <c r="N63" s="2327"/>
      <c r="Z63" s="1622"/>
      <c r="AI63" s="1560"/>
    </row>
    <row r="64" spans="1:35" ht="14.25" customHeight="1">
      <c r="A64" s="161" t="s">
        <v>325</v>
      </c>
      <c r="B64" s="162" t="s">
        <v>1381</v>
      </c>
      <c r="C64" s="2348">
        <f ca="1">D45</f>
        <v>900</v>
      </c>
      <c r="D64" s="162" t="s">
        <v>26</v>
      </c>
      <c r="E64" s="164"/>
      <c r="F64" s="1669"/>
      <c r="G64" s="1669"/>
      <c r="H64" s="151"/>
      <c r="I64" s="121"/>
      <c r="J64" s="3370"/>
      <c r="K64" s="1244" t="s">
        <v>1382</v>
      </c>
      <c r="L64" s="1244">
        <f ca="1">IF(M49&gt;2000,M49*0.5%,IF(AND(M49&gt;1000,M49&lt;=2000),M49*0.6%,IF(AND(M49&gt;500,M49&lt;=1000),M49*0.7%,IF(AND(M49&gt;200,M49&lt;=500),M49*0.8%,IF(AND(M49&gt;100,M49&lt;=200),M49*0.9%,IF(AND(M49&gt;50,M49&lt;=100),M49*1%,IF(AND(M49&gt;20,M49&lt;=50),M49*1.5%,IF(AND(M49&gt;10,M49&lt;=20),M49*2%,IF(AND(M49&gt;1,M49&lt;=10),M49*2.5%)))))))))</f>
        <v>6.2999999999999989</v>
      </c>
      <c r="M64" s="293">
        <f t="shared" ref="M64:M65" ca="1" si="1">ROUND(L64,1)</f>
        <v>6.3</v>
      </c>
      <c r="N64" s="2328" t="s">
        <v>1383</v>
      </c>
      <c r="Z64" s="1622"/>
      <c r="AI64" s="1560"/>
    </row>
    <row r="65" spans="1:35" ht="14.25" customHeight="1">
      <c r="A65" s="161" t="s">
        <v>326</v>
      </c>
      <c r="B65" s="162" t="s">
        <v>1384</v>
      </c>
      <c r="C65" s="2349"/>
      <c r="D65" s="162"/>
      <c r="E65" s="164"/>
      <c r="F65" s="1669"/>
      <c r="G65" s="1669"/>
      <c r="H65" s="151"/>
      <c r="I65" s="121"/>
      <c r="J65" s="3370"/>
      <c r="K65" s="1244" t="s">
        <v>1385</v>
      </c>
      <c r="L65" s="1244">
        <f ca="1">IF(M49&gt;1000,M49*0.1%,IF(AND(M49&gt;500,M49&lt;=1000),M49*0.5%,IF(AND(M49&gt;50,M49&lt;=500),M49*1%,IF(AND(M49&gt;1,M49&lt;=50),M49*1.5%))))</f>
        <v>4.5</v>
      </c>
      <c r="M65" s="293">
        <f t="shared" ca="1" si="1"/>
        <v>4.5</v>
      </c>
      <c r="N65" s="2328" t="s">
        <v>1383</v>
      </c>
      <c r="Z65" s="1622"/>
      <c r="AI65" s="1560"/>
    </row>
    <row r="66" spans="1:35" ht="14.25" customHeight="1">
      <c r="A66" s="165" t="s">
        <v>327</v>
      </c>
      <c r="B66" s="166" t="s">
        <v>1386</v>
      </c>
      <c r="C66" s="2350"/>
      <c r="D66" s="166" t="s">
        <v>26</v>
      </c>
      <c r="E66" s="1250" t="s">
        <v>671</v>
      </c>
      <c r="F66" s="1669"/>
      <c r="G66" s="1669"/>
      <c r="H66" s="151"/>
      <c r="I66" s="121"/>
      <c r="J66" s="3370"/>
      <c r="K66" s="1244" t="s">
        <v>1387</v>
      </c>
      <c r="L66" s="1244">
        <f ca="1">M49*0.5%</f>
        <v>4.5</v>
      </c>
      <c r="M66" s="293">
        <f ca="1">IF(L66&gt;0.5,0.5,ROUND(L66,0))</f>
        <v>0.5</v>
      </c>
      <c r="N66" s="2328" t="s">
        <v>1388</v>
      </c>
      <c r="Z66" s="1622"/>
      <c r="AI66" s="1560"/>
    </row>
    <row r="67" spans="1:35" ht="14.25" customHeight="1">
      <c r="A67" s="165" t="s">
        <v>328</v>
      </c>
      <c r="B67" s="166" t="s">
        <v>1389</v>
      </c>
      <c r="C67" s="2351">
        <f ca="1">C63-C66</f>
        <v>857</v>
      </c>
      <c r="D67" s="162" t="s">
        <v>26</v>
      </c>
      <c r="E67" s="164"/>
      <c r="F67" s="1669"/>
      <c r="G67" s="1669"/>
      <c r="H67" s="151"/>
      <c r="I67" s="121"/>
      <c r="J67" s="3370"/>
      <c r="K67" s="1244" t="s">
        <v>1390</v>
      </c>
      <c r="L67" s="1244">
        <f ca="1">IF(M49&gt;=10000,(8.25+(M49-10000)*0.01%),IF(AND(M49&gt;=8000,M49&lt;10000),(7.85+(M49-8000)*0.02%),IF(AND(M49&gt;=5000,M49&lt;8000),(6.65+(M49-5000)*0.04%),IF(AND(M49&gt;=2000,M49&lt;5000),(4.25+(PM49-2000)*0.08%),IF(AND(M49&gt;=1000,M49&lt;2000),(2.75+(M49-1000)*0.15%),IF(AND(M49&gt;=100,M49&lt;1000),(0.5+(M49-100)*0.25%),IF(AND(M49&gt;0,M49&lt;100),M49*0.5%)))))))</f>
        <v>2.5</v>
      </c>
      <c r="M67" s="293">
        <f ca="1">ROUND(L67*0.9,1)</f>
        <v>2.2999999999999998</v>
      </c>
      <c r="N67" s="2327"/>
      <c r="Z67" s="1622"/>
      <c r="AI67" s="1560"/>
    </row>
    <row r="68" spans="1:35" ht="14.25" customHeight="1" thickBot="1">
      <c r="A68" s="168" t="s">
        <v>329</v>
      </c>
      <c r="B68" s="169" t="s">
        <v>1391</v>
      </c>
      <c r="C68" s="2352">
        <f ca="1">IF(C67&lt;=0,0,ROUND(C67*D68,0))</f>
        <v>47</v>
      </c>
      <c r="D68" s="2353">
        <f>'数据-取费表'!B41</f>
        <v>5.5000000000000007E-2</v>
      </c>
      <c r="E68" s="170"/>
      <c r="F68" s="1669"/>
      <c r="G68" s="1669"/>
      <c r="H68" s="151"/>
      <c r="I68" s="121"/>
      <c r="J68" s="3370"/>
      <c r="K68" s="1244" t="s">
        <v>1392</v>
      </c>
      <c r="L68" s="1244">
        <f ca="1">IF(M49&gt;10000,M49*0.5%,IF(AND(M49&gt;5000,M49&lt;=10000),M49*1%,IF(AND(M49&gt;1000,M49&lt;=5000),M49*2%,IF(AND(M49&gt;200,M49&lt;=1000),M49*3%,M49*5%))))</f>
        <v>27</v>
      </c>
      <c r="M68" s="293">
        <f ca="1">ROUND(L68,1)</f>
        <v>27</v>
      </c>
      <c r="N68" s="2327"/>
      <c r="Z68" s="1622"/>
      <c r="AI68" s="1560"/>
    </row>
    <row r="69" spans="1:35" ht="16.5" customHeight="1">
      <c r="A69" s="1671"/>
      <c r="B69" s="1672"/>
      <c r="C69" s="1673"/>
      <c r="D69" s="1674"/>
      <c r="E69" s="1675"/>
      <c r="F69" s="1465"/>
      <c r="G69" s="1465"/>
      <c r="H69" s="1466"/>
      <c r="I69" s="645"/>
      <c r="J69" s="3370"/>
      <c r="K69" s="1244" t="s">
        <v>1393</v>
      </c>
      <c r="L69" s="1244"/>
      <c r="M69" s="293">
        <f ca="1">ROUND(SUM(M63:M68),0)</f>
        <v>68</v>
      </c>
      <c r="N69" s="2329">
        <f ca="1">M69/M49</f>
        <v>7.5555555555555556E-2</v>
      </c>
      <c r="Z69" s="1622"/>
      <c r="AI69" s="1560"/>
    </row>
    <row r="70" spans="1:35" s="641" customFormat="1" ht="14.4" thickBot="1">
      <c r="A70" s="3332" t="s">
        <v>1394</v>
      </c>
      <c r="B70" s="3333"/>
      <c r="C70" s="3333"/>
      <c r="D70" s="3333"/>
      <c r="E70" s="3333"/>
      <c r="F70" s="3333"/>
      <c r="G70" s="3333"/>
      <c r="H70" s="333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1" t="s">
        <v>1375</v>
      </c>
      <c r="B71" s="3312"/>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f ca="1">ROUND(D45/(1+'数据-取费表'!C42),0)</f>
        <v>857</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f ca="1">C74+C78</f>
        <v>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6" t="s">
        <v>1401</v>
      </c>
      <c r="C76" s="162">
        <f>IF(F75="购房发票",ROUND(C75*H75*D76,0),0)</f>
        <v>0</v>
      </c>
      <c r="D76" s="2357">
        <v>0.05</v>
      </c>
      <c r="E76" s="3306" t="s">
        <v>1402</v>
      </c>
      <c r="F76" s="3280"/>
      <c r="G76" s="3280"/>
      <c r="H76" s="333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4</v>
      </c>
      <c r="D78" s="2360">
        <f>'数据-取费表'!B43</f>
        <v>5.000000000000001E-3</v>
      </c>
      <c r="E78" s="3290" t="s">
        <v>1406</v>
      </c>
      <c r="F78" s="3291"/>
      <c r="G78" s="3291"/>
      <c r="H78" s="330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f ca="1">C72-C73</f>
        <v>853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213.25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f ca="1">ROUND(IF(C79&lt;=0,0,IF(C80&gt;=200%,C79*60%-C73*35%,IF(C80&gt;=100%,C79*50%-C73*15%,IF(C80&gt;=50%,C79*40%-C73*5%,IF(C80&lt;50%,C79*30%,0))))),0)</f>
        <v>510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2" t="s">
        <v>1410</v>
      </c>
      <c r="B83" s="3333"/>
      <c r="C83" s="3333"/>
      <c r="D83" s="3333"/>
      <c r="E83" s="3333"/>
      <c r="F83" s="3333"/>
      <c r="G83" s="3333"/>
      <c r="H83" s="333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1" t="s">
        <v>1375</v>
      </c>
      <c r="B84" s="3312"/>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f ca="1">ROUND(D45/(1+'数据-取费表'!C42),0)</f>
        <v>857</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f ca="1">IF(H88="仅含出让金",C87+C90+C91+C92+C93+C94,C87+C91+C92+C93+C94)</f>
        <v>4</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4" t="str">
        <f>IF(H88="-","土地取得成本中已包含该笔费用"," ")</f>
        <v xml:space="preserve"> </v>
      </c>
      <c r="F90" s="2147"/>
      <c r="G90" s="3372" t="s">
        <v>2128</v>
      </c>
      <c r="H90" s="3373"/>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90" t="s">
        <v>1419</v>
      </c>
      <c r="F91" s="3291"/>
      <c r="G91" s="329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90" t="s">
        <v>1422</v>
      </c>
      <c r="F92" s="3291"/>
      <c r="G92" s="3291"/>
      <c r="H92" s="3300"/>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4</v>
      </c>
      <c r="D93" s="2360">
        <f>'数据-取费表'!B43</f>
        <v>5.000000000000001E-3</v>
      </c>
      <c r="E93" s="3290" t="s">
        <v>1406</v>
      </c>
      <c r="F93" s="3291"/>
      <c r="G93" s="3291"/>
      <c r="H93" s="330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01" t="s">
        <v>1426</v>
      </c>
      <c r="F94" s="3302"/>
      <c r="G94" s="3302"/>
      <c r="H94" s="330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f ca="1">ROUND(C85-C86,0)</f>
        <v>853</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213.25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f ca="1">ROUND(IF(C95&lt;=0,0,IF(C96&gt;=200%,C95*60%-C86*35%,IF(C96&gt;=100%,C95*50%-C86*15%,IF(C96&gt;=50%,C95*40%-C86*5%,IF(C96&lt;50%,C95*30%,0))))),0)</f>
        <v>510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6" t="s">
        <v>1428</v>
      </c>
      <c r="B100" s="3267"/>
      <c r="C100" s="3267"/>
      <c r="D100" s="3292"/>
      <c r="E100" s="3267" t="s">
        <v>1429</v>
      </c>
      <c r="F100" s="3267"/>
      <c r="G100" s="3267"/>
      <c r="H100" s="3292"/>
      <c r="I100" s="121"/>
    </row>
    <row r="101" spans="1:35" ht="18.75" customHeight="1">
      <c r="A101" s="3353" t="s">
        <v>1430</v>
      </c>
      <c r="B101" s="3354"/>
      <c r="C101" s="2368" t="str">
        <f>C4</f>
        <v>成本法 (元)</v>
      </c>
      <c r="D101" s="2369" t="str">
        <f>D4</f>
        <v>收益法 (元)</v>
      </c>
      <c r="E101" s="3367" t="s">
        <v>1431</v>
      </c>
      <c r="F101" s="3324"/>
      <c r="G101" s="1686" t="s">
        <v>1432</v>
      </c>
      <c r="H101" s="2378">
        <f ca="1">H118</f>
        <v>900</v>
      </c>
      <c r="I101" s="121"/>
    </row>
    <row r="102" spans="1:35" ht="18.75" customHeight="1">
      <c r="A102" s="3326" t="s">
        <v>1433</v>
      </c>
      <c r="B102" s="2367" t="s">
        <v>1432</v>
      </c>
      <c r="C102" s="2368">
        <f ca="1">IF(D32="楼面单价",ROUND(C19,0),C19)</f>
        <v>942.93529999999998</v>
      </c>
      <c r="D102" s="2369">
        <f ca="1">IF(D32="楼面单价",ROUND(D19,0),D19)</f>
        <v>857.34069999999997</v>
      </c>
      <c r="E102" s="3367"/>
      <c r="F102" s="3324"/>
      <c r="G102" s="1686" t="s">
        <v>1434</v>
      </c>
      <c r="H102" s="2338">
        <f ca="1">I118</f>
        <v>8134</v>
      </c>
      <c r="I102" s="121"/>
    </row>
    <row r="103" spans="1:35" ht="42.75" customHeight="1">
      <c r="A103" s="3326"/>
      <c r="B103" s="2367" t="s">
        <v>1434</v>
      </c>
      <c r="C103" s="2370">
        <f ca="1">C20</f>
        <v>8522</v>
      </c>
      <c r="D103" s="2371">
        <f ca="1">D20</f>
        <v>7749</v>
      </c>
      <c r="E103" s="3361" t="s">
        <v>1435</v>
      </c>
      <c r="F103" s="3362"/>
      <c r="G103" s="1687" t="s">
        <v>1436</v>
      </c>
      <c r="H103" s="2378">
        <f>IF(D36="正常操作",H104+H105+H106,H105+H106)</f>
        <v>0</v>
      </c>
      <c r="I103" s="121"/>
    </row>
    <row r="104" spans="1:35" ht="18.75" customHeight="1">
      <c r="A104" s="3326" t="s">
        <v>1437</v>
      </c>
      <c r="B104" s="2372" t="s">
        <v>1432</v>
      </c>
      <c r="C104" s="2373">
        <f ca="1">H118</f>
        <v>900</v>
      </c>
      <c r="D104" s="2374"/>
      <c r="E104" s="1554" t="s">
        <v>1438</v>
      </c>
      <c r="F104" s="1547"/>
      <c r="G104" s="1687" t="s">
        <v>1436</v>
      </c>
      <c r="H104" s="2379">
        <f>IF(D36="同一抵押权人同一抵押物续贷",C36&amp;"（续贷，未扣减，详见特别提示）",C36)</f>
        <v>0</v>
      </c>
      <c r="I104" s="121"/>
    </row>
    <row r="105" spans="1:35" ht="18.75" customHeight="1" thickBot="1">
      <c r="A105" s="3327"/>
      <c r="B105" s="2375" t="s">
        <v>1434</v>
      </c>
      <c r="C105" s="2376">
        <f ca="1">I118</f>
        <v>8134</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23" t="str">
        <f>IF(项目基本情况!E8="已注销","——","3.房地产抵押价值")</f>
        <v>3.房地产抵押价值</v>
      </c>
      <c r="F107" s="3324"/>
      <c r="G107" s="1686" t="s">
        <v>1432</v>
      </c>
      <c r="H107" s="2378">
        <f ca="1">IF(E107="——","——",H101-H103)</f>
        <v>900</v>
      </c>
      <c r="I107" s="121"/>
    </row>
    <row r="108" spans="1:35" ht="18.75" customHeight="1">
      <c r="A108" s="121"/>
      <c r="B108" s="121"/>
      <c r="C108" s="121"/>
      <c r="D108" s="121"/>
      <c r="E108" s="3323"/>
      <c r="F108" s="3324"/>
      <c r="G108" s="1686" t="s">
        <v>1434</v>
      </c>
      <c r="H108" s="2338">
        <f ca="1">IF(H107=H101,H102,ROUND(H107*10000/'数据-汇总表'!E3,0))</f>
        <v>8134</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324"/>
      <c r="G109" s="1686" t="s">
        <v>1432</v>
      </c>
      <c r="H109" s="2381" t="str">
        <f>IF(E109="——","——",H101-H105-H106)</f>
        <v>——</v>
      </c>
      <c r="I109" s="121"/>
    </row>
    <row r="110" spans="1:35" ht="18.75" customHeight="1">
      <c r="A110" s="121"/>
      <c r="B110" s="121"/>
      <c r="C110" s="121"/>
      <c r="D110" s="121"/>
      <c r="E110" s="3323"/>
      <c r="F110" s="3324"/>
      <c r="G110" s="1686" t="s">
        <v>1434</v>
      </c>
      <c r="H110" s="2338" t="str">
        <f>IF(H109="——","——",ROUND(H109*10000/'数据-汇总表'!E3,0))</f>
        <v>——</v>
      </c>
      <c r="I110" s="121"/>
    </row>
    <row r="111" spans="1:35" ht="18.75" customHeight="1">
      <c r="A111" s="121"/>
      <c r="B111" s="121"/>
      <c r="C111" s="121"/>
      <c r="D111" s="121"/>
      <c r="E111" s="3355" t="str">
        <f>IF(项目基本情况!E9="抵押净值",IF(OR(项目基本情况!E8="已注销",项目基本情况!E8="房地产抵押价值"),"4.抵押净值","5.抵押净值"),"——")</f>
        <v>——</v>
      </c>
      <c r="F111" s="3325"/>
      <c r="G111" s="1686" t="s">
        <v>1432</v>
      </c>
      <c r="H111" s="2378" t="str">
        <f>IF(E111="——","——",N59)</f>
        <v>——</v>
      </c>
      <c r="I111" s="121"/>
    </row>
    <row r="112" spans="1:35" ht="18.75" customHeight="1" thickBot="1">
      <c r="A112" s="121"/>
      <c r="B112" s="121"/>
      <c r="C112" s="121"/>
      <c r="D112" s="121"/>
      <c r="E112" s="3356"/>
      <c r="F112" s="3357"/>
      <c r="G112" s="1689" t="s">
        <v>1434</v>
      </c>
      <c r="H112" s="2382" t="str">
        <f>IF(E111="——","——",N61)</f>
        <v>——</v>
      </c>
      <c r="I112" s="121"/>
    </row>
    <row r="113" spans="1:27" ht="18.75" customHeight="1">
      <c r="A113" s="121"/>
      <c r="B113" s="121"/>
      <c r="C113" s="121"/>
      <c r="D113" s="121"/>
      <c r="E113" s="3328" t="s">
        <v>1440</v>
      </c>
      <c r="F113" s="3328"/>
      <c r="G113" s="3328"/>
      <c r="H113" s="3328"/>
      <c r="I113" s="121"/>
    </row>
    <row r="114" spans="1:27" ht="3.75" customHeight="1">
      <c r="A114" s="645"/>
      <c r="B114" s="645"/>
      <c r="C114" s="645"/>
      <c r="D114" s="645"/>
      <c r="E114" s="1670"/>
      <c r="F114" s="1670"/>
      <c r="G114" s="1670"/>
      <c r="H114" s="1670"/>
      <c r="I114" s="645"/>
    </row>
    <row r="115" spans="1:27" ht="18.75" customHeight="1">
      <c r="A115" s="3338" t="s">
        <v>1442</v>
      </c>
      <c r="B115" s="3339"/>
      <c r="C115" s="3339"/>
      <c r="D115" s="3339"/>
      <c r="E115" s="3339"/>
      <c r="F115" s="3339"/>
      <c r="G115" s="3339"/>
      <c r="H115" s="3339"/>
      <c r="I115" s="3340"/>
    </row>
    <row r="116" spans="1:27" ht="27" customHeight="1">
      <c r="A116" s="3294" t="s">
        <v>1443</v>
      </c>
      <c r="B116" s="3329" t="s">
        <v>1444</v>
      </c>
      <c r="C116" s="3329" t="s">
        <v>1445</v>
      </c>
      <c r="D116" s="3342" t="s">
        <v>1446</v>
      </c>
      <c r="E116" s="3343"/>
      <c r="F116" s="3337" t="s">
        <v>1447</v>
      </c>
      <c r="G116" s="3337"/>
      <c r="H116" s="3294" t="s">
        <v>1448</v>
      </c>
      <c r="I116" s="3294"/>
    </row>
    <row r="117" spans="1:27" ht="18.75" customHeight="1">
      <c r="A117" s="3294"/>
      <c r="B117" s="3330"/>
      <c r="C117" s="3330"/>
      <c r="D117" s="2149" t="s">
        <v>1449</v>
      </c>
      <c r="E117" s="2149" t="s">
        <v>1450</v>
      </c>
      <c r="F117" s="2149" t="s">
        <v>1449</v>
      </c>
      <c r="G117" s="2149" t="s">
        <v>1451</v>
      </c>
      <c r="H117" s="2149" t="s">
        <v>1449</v>
      </c>
      <c r="I117" s="2149" t="s">
        <v>1451</v>
      </c>
    </row>
    <row r="118" spans="1:27" ht="24.75" customHeight="1">
      <c r="A118" s="2383" t="str">
        <f>项目基本情况!S2</f>
        <v>北京市通州区光华路18号院房地产</v>
      </c>
      <c r="B118" s="2149">
        <f>M18</f>
        <v>1106.44</v>
      </c>
      <c r="C118" s="2149">
        <f>M19</f>
        <v>8001.46</v>
      </c>
      <c r="D118" s="2149" t="e">
        <f ca="1">ROUND(IF(D32="总价",C34,E118*B118/10000),0)</f>
        <v>#VALUE!</v>
      </c>
      <c r="E118" s="2149" t="e">
        <f ca="1">ROUND(IF(C33="自定义",IF(D32="楼面单价",C34,D118*10000/B118),I118-G118),0)</f>
        <v>#VALUE!</v>
      </c>
      <c r="F118" s="2149" t="e">
        <f ca="1">ROUND(IF(D32="总价",C35,G118*B118/10000),0)</f>
        <v>#VALUE!</v>
      </c>
      <c r="G118" s="2149" t="e">
        <f ca="1">ROUND(IF(D32="楼面单价",C35,F118*10000/B118),0)</f>
        <v>#VALUE!</v>
      </c>
      <c r="H118" s="2149">
        <f ca="1">ROUND(IF(D32="总价",C32,I118*B118/10000),4)</f>
        <v>900</v>
      </c>
      <c r="I118" s="2149">
        <f ca="1">ROUND(IF(D32="楼面单价",C32,H118*10000/B118),0)</f>
        <v>8134</v>
      </c>
    </row>
    <row r="119" spans="1:27" ht="32.4" customHeight="1">
      <c r="A119" s="3294" t="s">
        <v>1452</v>
      </c>
      <c r="B119" s="3294"/>
      <c r="C119" s="3294"/>
      <c r="D119" s="3334" t="e">
        <f ca="1">NUMBERSTRING(INT(D118*10000),2)&amp;"元整"</f>
        <v>#VALUE!</v>
      </c>
      <c r="E119" s="3336"/>
      <c r="F119" s="3334" t="e">
        <f ca="1">NUMBERSTRING(INT(F118*10000),2)&amp;"元整"</f>
        <v>#VALUE!</v>
      </c>
      <c r="G119" s="3336"/>
      <c r="H119" s="3334" t="str">
        <f ca="1">NUMBERSTRING(INT(H118*10000),2)&amp;"元整"</f>
        <v>玖佰万元整</v>
      </c>
      <c r="I119" s="3336"/>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4" t="s">
        <v>1452</v>
      </c>
      <c r="B121" s="3335"/>
      <c r="C121" s="3336"/>
      <c r="D121" s="3334" t="str">
        <f>IF(D120=0,"零元整",NUMBERSTRING(INT(D120*10000),2)&amp;"元整")</f>
        <v>零元整</v>
      </c>
      <c r="E121" s="3335"/>
      <c r="F121" s="3335"/>
      <c r="G121" s="3335"/>
      <c r="H121" s="3335"/>
      <c r="I121" s="3336"/>
      <c r="AA121" s="683"/>
    </row>
    <row r="122" spans="1:27" ht="18.75" customHeight="1">
      <c r="A122" s="3325" t="str">
        <f>IF(项目基本情况!B9="房地产市场价值","",MID(E107,3,LEN(E107)-2))</f>
        <v>房地产抵押价值</v>
      </c>
      <c r="B122" s="3325"/>
      <c r="C122" s="3325"/>
      <c r="D122" s="3358">
        <f ca="1">H107</f>
        <v>900</v>
      </c>
      <c r="E122" s="3359"/>
      <c r="F122" s="3359"/>
      <c r="G122" s="3359"/>
      <c r="H122" s="3359"/>
      <c r="I122" s="3360"/>
      <c r="AA122" s="683"/>
    </row>
    <row r="123" spans="1:27" ht="18.75" customHeight="1">
      <c r="A123" s="3294" t="s">
        <v>1452</v>
      </c>
      <c r="B123" s="3294"/>
      <c r="C123" s="3294"/>
      <c r="D123" s="3334" t="str">
        <f ca="1">NUMBERSTRING(INT(D122*10000),2)&amp;"元整"</f>
        <v>玖佰万元整</v>
      </c>
      <c r="E123" s="3335"/>
      <c r="F123" s="3335"/>
      <c r="G123" s="3335"/>
      <c r="H123" s="3335"/>
      <c r="I123" s="3336"/>
      <c r="AA123" s="683"/>
    </row>
    <row r="124" spans="1:27" ht="18.75" customHeight="1">
      <c r="A124" s="3325" t="str">
        <f>IF(项目基本情况!B9="房地产市场价值","",MID(E109,3,LEN(E109)-2))</f>
        <v/>
      </c>
      <c r="B124" s="3325"/>
      <c r="C124" s="3325"/>
      <c r="D124" s="3358" t="str">
        <f>H109</f>
        <v>——</v>
      </c>
      <c r="E124" s="3359"/>
      <c r="F124" s="3359"/>
      <c r="G124" s="3359"/>
      <c r="H124" s="3359"/>
      <c r="I124" s="3360"/>
      <c r="AA124" s="683"/>
    </row>
    <row r="125" spans="1:27" ht="18.75" customHeight="1">
      <c r="A125" s="3294" t="s">
        <v>1452</v>
      </c>
      <c r="B125" s="3294"/>
      <c r="C125" s="3294"/>
      <c r="D125" s="3334" t="e">
        <f>NUMBERSTRING(INT(D124*10000),2)&amp;"元整"</f>
        <v>#VALUE!</v>
      </c>
      <c r="E125" s="3335"/>
      <c r="F125" s="3335"/>
      <c r="G125" s="3335"/>
      <c r="H125" s="3335"/>
      <c r="I125" s="3336"/>
      <c r="AA125" s="683"/>
    </row>
    <row r="126" spans="1:27" ht="18.75" customHeight="1">
      <c r="A126" s="3325" t="str">
        <f>IF(项目基本情况!B9="房地产市场价值","",MID(E111,3,LEN(E111)-2))</f>
        <v/>
      </c>
      <c r="B126" s="3325"/>
      <c r="C126" s="3325"/>
      <c r="D126" s="3358" t="str">
        <f>H111</f>
        <v>——</v>
      </c>
      <c r="E126" s="3359"/>
      <c r="F126" s="3359"/>
      <c r="G126" s="3359"/>
      <c r="H126" s="3359"/>
      <c r="I126" s="3360"/>
      <c r="AA126" s="683"/>
    </row>
    <row r="127" spans="1:27" ht="18.75" customHeight="1">
      <c r="A127" s="3294" t="s">
        <v>1452</v>
      </c>
      <c r="B127" s="3294"/>
      <c r="C127" s="3294"/>
      <c r="D127" s="3334" t="e">
        <f>NUMBERSTRING(INT(D126*10000),2)&amp;"元整"</f>
        <v>#VALUE!</v>
      </c>
      <c r="E127" s="3335"/>
      <c r="F127" s="3335"/>
      <c r="G127" s="3335"/>
      <c r="H127" s="3335"/>
      <c r="I127" s="3336"/>
      <c r="AA127" s="683"/>
    </row>
    <row r="128" spans="1:27" ht="21.75" customHeight="1">
      <c r="A128" s="3341" t="s">
        <v>1453</v>
      </c>
      <c r="B128" s="3341"/>
      <c r="C128" s="3341"/>
      <c r="D128" s="3341"/>
      <c r="E128" s="3341"/>
      <c r="F128" s="3341"/>
      <c r="G128" s="3341"/>
      <c r="H128" s="3341"/>
      <c r="I128" s="334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北京市通州区光华路18号院房地产抵押价值预评估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7" zoomScale="85" zoomScaleNormal="70" zoomScaleSheetLayoutView="85" workbookViewId="0">
      <selection activeCell="M46" sqref="M46"/>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t="s">
        <v>3412</v>
      </c>
      <c r="F1" s="1734" t="s">
        <v>3413</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e">
        <f>IF(E1="项目模式",IF(C2="——",ROUND(C49*D3/10000,0),ROUND(C49*D3/10000,0)-D2),IF(E1="单套模式",IF(C2="——",ROUND(C49*D3/10000,4),ROUND(C49*D3/10000,4)-D2)))</f>
        <v>#DIV/0!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t="e">
        <f>IF(C2="——",C49,ROUND(B2*10000/D3,0))</f>
        <v>#DIV/0!</v>
      </c>
      <c r="C3" s="343" t="s">
        <v>1768</v>
      </c>
      <c r="D3" s="342">
        <f>IF(D1="",'数据-汇总表'!E3,SUMIF('数据-汇总表'!$C19:$C33,D1,'数据-汇总表'!$E19:$E33))</f>
        <v>1106.44</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402" t="s">
        <v>1771</v>
      </c>
      <c r="S4" s="3403"/>
      <c r="T4" s="3402" t="s">
        <v>1772</v>
      </c>
      <c r="U4" s="3403"/>
      <c r="V4" s="3375" t="s">
        <v>1773</v>
      </c>
      <c r="W4" s="3375"/>
      <c r="X4" s="1264"/>
      <c r="Y4" s="3402" t="s">
        <v>1775</v>
      </c>
      <c r="Z4" s="3403"/>
      <c r="AA4" s="3389" t="s">
        <v>1771</v>
      </c>
      <c r="AB4" s="3375" t="s">
        <v>1772</v>
      </c>
      <c r="AC4" s="3389" t="s">
        <v>1773</v>
      </c>
    </row>
    <row r="5" spans="1:29">
      <c r="A5" s="347"/>
      <c r="B5" s="348"/>
      <c r="C5" s="3410" t="s">
        <v>1673</v>
      </c>
      <c r="D5" s="3411"/>
      <c r="E5" s="3417" t="s">
        <v>1674</v>
      </c>
      <c r="F5" s="3418"/>
      <c r="G5" s="3410" t="s">
        <v>1675</v>
      </c>
      <c r="H5" s="3411"/>
      <c r="I5" s="3410" t="s">
        <v>1676</v>
      </c>
      <c r="J5" s="3411"/>
      <c r="K5" s="536"/>
      <c r="L5" s="2483"/>
      <c r="M5" s="2484"/>
      <c r="N5" s="2484"/>
      <c r="O5" s="2484"/>
      <c r="P5" s="3398"/>
      <c r="Q5" s="3399"/>
      <c r="R5" s="3404"/>
      <c r="S5" s="3405"/>
      <c r="T5" s="3404"/>
      <c r="U5" s="3405"/>
      <c r="V5" s="3375"/>
      <c r="W5" s="3375"/>
      <c r="X5" s="1264"/>
      <c r="Y5" s="3404"/>
      <c r="Z5" s="3405"/>
      <c r="AA5" s="3390"/>
      <c r="AB5" s="3375"/>
      <c r="AC5" s="3390"/>
    </row>
    <row r="6" spans="1:29" ht="15" thickBot="1">
      <c r="A6" s="349"/>
      <c r="B6" s="350"/>
      <c r="C6" s="3408" t="s">
        <v>1677</v>
      </c>
      <c r="D6" s="3409"/>
      <c r="E6" s="3415" t="s">
        <v>1677</v>
      </c>
      <c r="F6" s="3416"/>
      <c r="G6" s="3408" t="s">
        <v>1677</v>
      </c>
      <c r="H6" s="3409"/>
      <c r="I6" s="3408" t="s">
        <v>1677</v>
      </c>
      <c r="J6" s="3409"/>
      <c r="K6" s="536" t="s">
        <v>1678</v>
      </c>
      <c r="L6" s="2483"/>
      <c r="M6" s="2484"/>
      <c r="N6" s="2484"/>
      <c r="O6" s="2484"/>
      <c r="P6" s="3400"/>
      <c r="Q6" s="3401"/>
      <c r="R6" s="3404"/>
      <c r="S6" s="3405"/>
      <c r="T6" s="3406"/>
      <c r="U6" s="3407"/>
      <c r="V6" s="3375"/>
      <c r="W6" s="3375"/>
      <c r="X6" s="1264"/>
      <c r="Y6" s="3406"/>
      <c r="Z6" s="3407"/>
      <c r="AA6" s="3391"/>
      <c r="AB6" s="3375"/>
      <c r="AC6" s="3391"/>
    </row>
    <row r="7" spans="1:29" s="102" customFormat="1" ht="15" thickBot="1">
      <c r="A7" s="351" t="s">
        <v>1679</v>
      </c>
      <c r="B7" s="352"/>
      <c r="C7" s="353">
        <f>'数据-取费表'!B2</f>
        <v>45734</v>
      </c>
      <c r="D7" s="354">
        <v>100</v>
      </c>
      <c r="E7" s="355">
        <v>45689</v>
      </c>
      <c r="F7" s="356">
        <f>SUMIF(58:58,YEAR(E7)&amp;"-"&amp;MONTH(E7),59:59)</f>
        <v>0</v>
      </c>
      <c r="G7" s="355">
        <v>45689</v>
      </c>
      <c r="H7" s="354">
        <f>SUMIF(58:58,YEAR(G7)&amp;"-"&amp;MONTH(G7),59:59)</f>
        <v>0</v>
      </c>
      <c r="I7" s="355">
        <v>45689</v>
      </c>
      <c r="J7" s="354">
        <f>SUMIF(58:58,YEAR(I7)&amp;"-"&amp;MONTH(I7),59:59)</f>
        <v>0</v>
      </c>
      <c r="K7" s="38"/>
      <c r="L7" s="2485"/>
      <c r="M7" s="2437"/>
      <c r="N7" s="2437"/>
      <c r="O7" s="2437"/>
      <c r="P7" s="3412" t="s">
        <v>1680</v>
      </c>
      <c r="Q7" s="341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12" t="s">
        <v>1683</v>
      </c>
      <c r="Q8" s="3413"/>
      <c r="R8" s="663" t="s">
        <v>14</v>
      </c>
      <c r="S8" s="664">
        <f t="shared" si="0"/>
        <v>100</v>
      </c>
      <c r="T8" s="663" t="s">
        <v>14</v>
      </c>
      <c r="U8" s="664">
        <f t="shared" si="1"/>
        <v>100</v>
      </c>
      <c r="V8" s="663" t="s">
        <v>14</v>
      </c>
      <c r="W8" s="664">
        <f t="shared" si="2"/>
        <v>100</v>
      </c>
      <c r="X8" s="665"/>
      <c r="Y8" s="3412" t="s">
        <v>1683</v>
      </c>
      <c r="Z8" s="3413"/>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88" t="s">
        <v>1686</v>
      </c>
      <c r="Q9" s="529" t="str">
        <f t="shared" ref="Q9:Q15" si="6">B9</f>
        <v>用途</v>
      </c>
      <c r="R9" s="663" t="s">
        <v>14</v>
      </c>
      <c r="S9" s="664">
        <f t="shared" si="0"/>
        <v>100</v>
      </c>
      <c r="T9" s="663" t="s">
        <v>14</v>
      </c>
      <c r="U9" s="664">
        <f t="shared" si="1"/>
        <v>100</v>
      </c>
      <c r="V9" s="663" t="s">
        <v>14</v>
      </c>
      <c r="W9" s="664">
        <f t="shared" si="2"/>
        <v>100</v>
      </c>
      <c r="X9" s="665"/>
      <c r="Y9" s="3281"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38"/>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1689</v>
      </c>
      <c r="C11" s="367">
        <v>2</v>
      </c>
      <c r="D11" s="119">
        <v>100</v>
      </c>
      <c r="E11" s="368">
        <v>2</v>
      </c>
      <c r="F11" s="363">
        <f>LOOKUP(E11,68:68,69:69)-LOOKUP(C11,68:68,69:69)+100</f>
        <v>100</v>
      </c>
      <c r="G11" s="367">
        <v>2</v>
      </c>
      <c r="H11" s="119">
        <f>LOOKUP(G11,68:68,69:69)-LOOKUP(C11,68:68,69:69)+100</f>
        <v>100</v>
      </c>
      <c r="I11" s="367">
        <v>2</v>
      </c>
      <c r="J11" s="119">
        <f>LOOKUP(I11,68:68,69:69)-LOOKUP(C11,68:68,69:69)+100</f>
        <v>100</v>
      </c>
      <c r="K11" s="537"/>
      <c r="L11" s="2488"/>
      <c r="M11" s="2484"/>
      <c r="N11" s="2484"/>
      <c r="O11" s="2484"/>
      <c r="P11" s="3388"/>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7"/>
      <c r="N12" s="2437"/>
      <c r="O12" s="2437"/>
      <c r="P12" s="3388"/>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8"/>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8"/>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379" t="s">
        <v>1691</v>
      </c>
      <c r="Q15" s="1262" t="str">
        <f t="shared" si="6"/>
        <v>商业繁华度</v>
      </c>
      <c r="R15" s="666" t="s">
        <v>14</v>
      </c>
      <c r="S15" s="667">
        <f t="shared" si="0"/>
        <v>100</v>
      </c>
      <c r="T15" s="666" t="s">
        <v>14</v>
      </c>
      <c r="U15" s="667">
        <f t="shared" si="1"/>
        <v>100</v>
      </c>
      <c r="V15" s="666" t="s">
        <v>14</v>
      </c>
      <c r="W15" s="667">
        <f t="shared" si="2"/>
        <v>100</v>
      </c>
      <c r="X15" s="1264"/>
      <c r="Y15" s="3381"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380"/>
      <c r="Q16" s="1262"/>
      <c r="R16" s="666"/>
      <c r="S16" s="667"/>
      <c r="T16" s="666"/>
      <c r="U16" s="667"/>
      <c r="V16" s="666"/>
      <c r="W16" s="667"/>
      <c r="X16" s="1264"/>
      <c r="Y16" s="3382"/>
      <c r="Z16" s="1263"/>
      <c r="AA16" s="1263">
        <v>1</v>
      </c>
      <c r="AB16" s="1263">
        <v>1</v>
      </c>
      <c r="AC16" s="1263">
        <v>1</v>
      </c>
    </row>
    <row r="17" spans="1:29" ht="15">
      <c r="A17" s="366"/>
      <c r="B17" s="389" t="s">
        <v>1259</v>
      </c>
      <c r="C17" s="1753"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380"/>
      <c r="Q18" s="1262"/>
      <c r="R18" s="666"/>
      <c r="S18" s="667"/>
      <c r="T18" s="666"/>
      <c r="U18" s="667"/>
      <c r="V18" s="666"/>
      <c r="W18" s="667"/>
      <c r="X18" s="1264"/>
      <c r="Y18" s="3382"/>
      <c r="Z18" s="1263"/>
      <c r="AA18" s="1263">
        <v>1</v>
      </c>
      <c r="AB18" s="1263">
        <v>1</v>
      </c>
      <c r="AC18" s="1263">
        <v>1</v>
      </c>
    </row>
    <row r="19" spans="1:29" ht="15">
      <c r="A19" s="366"/>
      <c r="B19" s="389" t="s">
        <v>1778</v>
      </c>
      <c r="C19" s="175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380"/>
      <c r="Q20" s="1262"/>
      <c r="R20" s="666"/>
      <c r="S20" s="667"/>
      <c r="T20" s="666"/>
      <c r="U20" s="667"/>
      <c r="V20" s="666"/>
      <c r="W20" s="667"/>
      <c r="X20" s="1264"/>
      <c r="Y20" s="3382"/>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380"/>
      <c r="Q22" s="1262"/>
      <c r="R22" s="666"/>
      <c r="S22" s="667"/>
      <c r="T22" s="666"/>
      <c r="U22" s="667"/>
      <c r="V22" s="666"/>
      <c r="W22" s="667"/>
      <c r="X22" s="1264"/>
      <c r="Y22" s="3382"/>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380"/>
      <c r="Q24" s="1262"/>
      <c r="R24" s="666"/>
      <c r="S24" s="667"/>
      <c r="T24" s="666"/>
      <c r="U24" s="667"/>
      <c r="V24" s="666"/>
      <c r="W24" s="667"/>
      <c r="X24" s="1264"/>
      <c r="Y24" s="3382"/>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380"/>
      <c r="Q25" s="1262" t="str">
        <f t="shared" ref="Q25:Q46" si="11">B25</f>
        <v>临街状况</v>
      </c>
      <c r="R25" s="666" t="s">
        <v>14</v>
      </c>
      <c r="S25" s="667">
        <f>F25</f>
        <v>100</v>
      </c>
      <c r="T25" s="666" t="s">
        <v>14</v>
      </c>
      <c r="U25" s="667">
        <f>H25</f>
        <v>100</v>
      </c>
      <c r="V25" s="666" t="s">
        <v>14</v>
      </c>
      <c r="W25" s="667">
        <f>J25</f>
        <v>100</v>
      </c>
      <c r="X25" s="1264"/>
      <c r="Y25" s="3382"/>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80"/>
      <c r="Q26" s="1262" t="str">
        <f t="shared" si="11"/>
        <v>平面位置/可视性</v>
      </c>
      <c r="R26" s="666" t="s">
        <v>14</v>
      </c>
      <c r="S26" s="667">
        <f>F26</f>
        <v>100</v>
      </c>
      <c r="T26" s="666" t="s">
        <v>14</v>
      </c>
      <c r="U26" s="667">
        <f>H26</f>
        <v>100</v>
      </c>
      <c r="V26" s="666" t="s">
        <v>14</v>
      </c>
      <c r="W26" s="667">
        <f>J26</f>
        <v>100</v>
      </c>
      <c r="X26" s="1264"/>
      <c r="Y26" s="3382"/>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380"/>
      <c r="Q27" s="529" t="str">
        <f t="shared" si="11"/>
        <v>人流量</v>
      </c>
      <c r="R27" s="663" t="s">
        <v>14</v>
      </c>
      <c r="S27" s="664">
        <f>F27</f>
        <v>100</v>
      </c>
      <c r="T27" s="663" t="s">
        <v>14</v>
      </c>
      <c r="U27" s="664">
        <f>H27</f>
        <v>100</v>
      </c>
      <c r="V27" s="663" t="s">
        <v>14</v>
      </c>
      <c r="W27" s="664">
        <f>J27</f>
        <v>100</v>
      </c>
      <c r="X27" s="665"/>
      <c r="Y27" s="3382"/>
      <c r="Z27" s="50" t="str">
        <f>Q27</f>
        <v>人流量</v>
      </c>
      <c r="AA27" s="1263">
        <f>D27/F27</f>
        <v>1</v>
      </c>
      <c r="AB27" s="1263">
        <f>D27/H27</f>
        <v>1</v>
      </c>
      <c r="AC27" s="1263">
        <f>D27/J27</f>
        <v>1</v>
      </c>
    </row>
    <row r="28" spans="1:29" ht="15">
      <c r="A28" s="366"/>
      <c r="B28" s="363" t="s">
        <v>1783</v>
      </c>
      <c r="C28" s="541" t="s">
        <v>3607</v>
      </c>
      <c r="D28" s="373">
        <v>100</v>
      </c>
      <c r="E28" s="541">
        <v>1</v>
      </c>
      <c r="F28" s="399">
        <f>SUMIF(92:92,E28,93:93)-SUMIF(92:92,C28,93:93)+100</f>
        <v>125</v>
      </c>
      <c r="G28" s="541">
        <v>1</v>
      </c>
      <c r="H28" s="373">
        <f>SUMIF(92:92,G28,93:93)-SUMIF(92:92,C28,93:93)+100</f>
        <v>125</v>
      </c>
      <c r="I28" s="541">
        <v>1</v>
      </c>
      <c r="J28" s="373">
        <f>SUMIF(92:92,I28,93:93)-SUMIF(92:92,C28,93:93)+100</f>
        <v>125</v>
      </c>
      <c r="K28" s="538"/>
      <c r="L28" s="2489"/>
      <c r="M28" s="2484"/>
      <c r="N28" s="2484"/>
      <c r="O28" s="2484"/>
      <c r="P28" s="3380"/>
      <c r="Q28" s="1262" t="str">
        <f t="shared" si="11"/>
        <v>楼层</v>
      </c>
      <c r="R28" s="666" t="s">
        <v>14</v>
      </c>
      <c r="S28" s="667">
        <f t="shared" ref="S28:S46" si="12">F28</f>
        <v>125</v>
      </c>
      <c r="T28" s="666" t="s">
        <v>14</v>
      </c>
      <c r="U28" s="667">
        <f t="shared" ref="U28:U46" si="13">H28</f>
        <v>125</v>
      </c>
      <c r="V28" s="666" t="s">
        <v>14</v>
      </c>
      <c r="W28" s="667">
        <f t="shared" ref="W28:W46" si="14">J28</f>
        <v>125</v>
      </c>
      <c r="X28" s="1264"/>
      <c r="Y28" s="3382"/>
      <c r="Z28" s="1263" t="str">
        <f t="shared" ref="Z28:Z46" si="15">Q28</f>
        <v>楼层</v>
      </c>
      <c r="AA28" s="1263">
        <f t="shared" si="3"/>
        <v>0.8</v>
      </c>
      <c r="AB28" s="1263">
        <f t="shared" si="4"/>
        <v>0.8</v>
      </c>
      <c r="AC28" s="1263">
        <f t="shared" si="5"/>
        <v>0.8</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383" t="s">
        <v>1696</v>
      </c>
      <c r="Q32" s="1262" t="str">
        <f t="shared" si="11"/>
        <v>商业类型</v>
      </c>
      <c r="R32" s="666" t="s">
        <v>14</v>
      </c>
      <c r="S32" s="667">
        <f t="shared" si="12"/>
        <v>100</v>
      </c>
      <c r="T32" s="666" t="s">
        <v>14</v>
      </c>
      <c r="U32" s="667">
        <f t="shared" si="13"/>
        <v>100</v>
      </c>
      <c r="V32" s="666" t="s">
        <v>14</v>
      </c>
      <c r="W32" s="667">
        <f t="shared" si="14"/>
        <v>100</v>
      </c>
      <c r="X32" s="1264"/>
      <c r="Y32" s="3386" t="s">
        <v>1696</v>
      </c>
      <c r="Z32" s="1263" t="str">
        <f t="shared" si="15"/>
        <v>商业类型</v>
      </c>
      <c r="AA32" s="1263">
        <f t="shared" si="3"/>
        <v>1</v>
      </c>
      <c r="AB32" s="1263">
        <f t="shared" si="4"/>
        <v>1</v>
      </c>
      <c r="AC32" s="1263">
        <f t="shared" si="5"/>
        <v>1</v>
      </c>
    </row>
    <row r="33" spans="1:29" s="407" customFormat="1" ht="15">
      <c r="A33" s="405"/>
      <c r="B33" s="363" t="s">
        <v>1697</v>
      </c>
      <c r="C33" s="406">
        <v>100</v>
      </c>
      <c r="D33" s="119">
        <v>100</v>
      </c>
      <c r="E33" s="406">
        <v>100</v>
      </c>
      <c r="F33" s="363">
        <f>LOOKUP(E33,103:103,104:104)-LOOKUP(C33,103:103,104:104)+100</f>
        <v>100</v>
      </c>
      <c r="G33" s="406">
        <v>100</v>
      </c>
      <c r="H33" s="119">
        <f>LOOKUP(G33,103:103,104:104)-LOOKUP(C33,103:103,104:104)+100</f>
        <v>100</v>
      </c>
      <c r="I33" s="406">
        <v>100</v>
      </c>
      <c r="J33" s="119">
        <f>LOOKUP(I33,103:103,104:104)-LOOKUP(C33,103:103,104:104)+100</f>
        <v>100</v>
      </c>
      <c r="K33" s="538"/>
      <c r="L33" s="2488"/>
      <c r="M33" s="2490"/>
      <c r="N33" s="2490"/>
      <c r="O33" s="2490"/>
      <c r="P33" s="3384"/>
      <c r="Q33" s="530" t="str">
        <f t="shared" si="11"/>
        <v>项目建筑规模</v>
      </c>
      <c r="R33" s="668" t="s">
        <v>14</v>
      </c>
      <c r="S33" s="669">
        <f t="shared" si="12"/>
        <v>100</v>
      </c>
      <c r="T33" s="668" t="s">
        <v>14</v>
      </c>
      <c r="U33" s="669">
        <f t="shared" si="13"/>
        <v>100</v>
      </c>
      <c r="V33" s="668" t="s">
        <v>14</v>
      </c>
      <c r="W33" s="669">
        <f t="shared" si="14"/>
        <v>100</v>
      </c>
      <c r="X33" s="670"/>
      <c r="Y33" s="3386"/>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89"/>
      <c r="M36" s="2484"/>
      <c r="N36" s="2484"/>
      <c r="O36" s="2484"/>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09"/>
      <c r="B37" s="363" t="s">
        <v>1787</v>
      </c>
      <c r="C37" s="1759"/>
      <c r="D37" s="119">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84"/>
      <c r="Q37" s="529"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384" t="s">
        <v>1696</v>
      </c>
      <c r="Q38" s="1262" t="str">
        <f t="shared" si="11"/>
        <v>业态</v>
      </c>
      <c r="R38" s="666" t="s">
        <v>14</v>
      </c>
      <c r="S38" s="667">
        <f t="shared" si="12"/>
        <v>100</v>
      </c>
      <c r="T38" s="666" t="s">
        <v>14</v>
      </c>
      <c r="U38" s="667">
        <f t="shared" si="13"/>
        <v>100</v>
      </c>
      <c r="V38" s="666" t="s">
        <v>14</v>
      </c>
      <c r="W38" s="667">
        <f t="shared" si="14"/>
        <v>100</v>
      </c>
      <c r="X38" s="1264"/>
      <c r="Y38" s="3386"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84"/>
      <c r="Q41" s="530"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7"/>
      <c r="N44" s="2437"/>
      <c r="O44" s="2437"/>
      <c r="P44" s="3384"/>
      <c r="Q44" s="529">
        <f t="shared" si="11"/>
        <v>111</v>
      </c>
      <c r="R44" s="663" t="s">
        <v>14</v>
      </c>
      <c r="S44" s="664">
        <f t="shared" si="12"/>
        <v>100</v>
      </c>
      <c r="T44" s="663" t="s">
        <v>14</v>
      </c>
      <c r="U44" s="664">
        <f t="shared" si="13"/>
        <v>100</v>
      </c>
      <c r="V44" s="663" t="s">
        <v>14</v>
      </c>
      <c r="W44" s="664">
        <f t="shared" si="14"/>
        <v>100</v>
      </c>
      <c r="X44" s="665"/>
      <c r="Y44" s="3386"/>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4.4">
      <c r="A47" s="415" t="s">
        <v>1708</v>
      </c>
      <c r="B47" s="416"/>
      <c r="C47" s="1080" t="s">
        <v>0</v>
      </c>
      <c r="D47" s="417"/>
      <c r="E47" s="418">
        <v>15000</v>
      </c>
      <c r="F47" s="419"/>
      <c r="G47" s="418">
        <f>E47</f>
        <v>15000</v>
      </c>
      <c r="H47" s="421"/>
      <c r="I47" s="418">
        <f>G47</f>
        <v>15000</v>
      </c>
      <c r="J47" s="421"/>
      <c r="K47" s="673"/>
      <c r="L47" s="2491"/>
      <c r="M47" s="2484"/>
      <c r="N47" s="2484"/>
      <c r="O47" s="2484"/>
      <c r="P47" s="3374" t="str">
        <f>A47</f>
        <v>成交单价（元/平方米）</v>
      </c>
      <c r="Q47" s="3374"/>
      <c r="R47" s="3375">
        <f>E47</f>
        <v>15000</v>
      </c>
      <c r="S47" s="3375"/>
      <c r="T47" s="3375">
        <f>G47</f>
        <v>15000</v>
      </c>
      <c r="U47" s="3375"/>
      <c r="V47" s="3375">
        <f>I47</f>
        <v>15000</v>
      </c>
      <c r="W47" s="3375"/>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6"/>
      <c r="Q58" s="2507"/>
      <c r="R58" s="2507"/>
      <c r="S58" s="2507"/>
      <c r="T58" s="2507"/>
      <c r="U58" s="2507"/>
      <c r="V58" s="2507"/>
      <c r="W58" s="2507"/>
      <c r="X58" s="2507"/>
      <c r="Y58" s="2507"/>
      <c r="Z58" s="2507"/>
      <c r="AA58" s="2507"/>
      <c r="AB58" s="2507"/>
      <c r="AC58" s="2507"/>
    </row>
    <row r="59" spans="1:29" s="102"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1</v>
      </c>
      <c r="E68" s="479">
        <v>2</v>
      </c>
      <c r="F68" s="479">
        <v>3</v>
      </c>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3181">
        <v>1</v>
      </c>
      <c r="D92" s="3181" t="s">
        <v>3606</v>
      </c>
      <c r="E92" s="3181" t="s">
        <v>3608</v>
      </c>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v>100</v>
      </c>
      <c r="D93" s="466">
        <v>85</v>
      </c>
      <c r="E93" s="3182">
        <v>75</v>
      </c>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cfRule type="containsText" dxfId="125" priority="17" stopIfTrue="1" operator="containsText" text="超过">
      <formula>NOT(ISERROR(SEARCH("超过",F52)))</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G54">
    <cfRule type="expression" dxfId="122" priority="13"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conditionalFormatting sqref="J52:J54">
    <cfRule type="containsText" dxfId="116"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A25" zoomScale="115" zoomScaleNormal="80" zoomScaleSheetLayoutView="115" workbookViewId="0">
      <selection activeCell="H30" sqref="H3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8001.46</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26.4">
      <c r="A2" s="192" t="s">
        <v>1934</v>
      </c>
      <c r="B2" s="195" t="e">
        <f>C30</f>
        <v>#VALUE!</v>
      </c>
      <c r="C2" s="1845" t="s">
        <v>1935</v>
      </c>
      <c r="D2" s="162" t="s">
        <v>1936</v>
      </c>
      <c r="E2" s="3117"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Ⅹ-昌2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1002</v>
      </c>
      <c r="U2" s="1129">
        <f>'数据-基础表'!I13</f>
        <v>1106.44</v>
      </c>
      <c r="V2" s="3060">
        <f>ROUND(T2*U2/10000,0)</f>
        <v>111</v>
      </c>
      <c r="W2" s="1132"/>
      <c r="X2" s="1132"/>
      <c r="Y2" s="1132"/>
      <c r="Z2" s="1132"/>
      <c r="AA2" s="1132"/>
      <c r="AB2" s="1132"/>
      <c r="AC2" s="1133"/>
      <c r="AD2" s="1134"/>
      <c r="AE2" s="1134"/>
      <c r="AF2" s="1134"/>
      <c r="AG2" s="1134"/>
      <c r="AH2" s="1134"/>
      <c r="AI2" s="1134"/>
      <c r="AJ2" s="1135"/>
    </row>
    <row r="3" spans="1:36" ht="15.6">
      <c r="A3" s="194" t="s">
        <v>1940</v>
      </c>
      <c r="B3" s="195" t="e">
        <f>ROUND(B2*10000/D1,0)</f>
        <v>#VALUE!</v>
      </c>
      <c r="C3" s="1845" t="s">
        <v>1941</v>
      </c>
      <c r="D3" s="162" t="s">
        <v>1942</v>
      </c>
      <c r="E3" s="3115" t="s">
        <v>2469</v>
      </c>
      <c r="F3" s="1847" t="s">
        <v>3469</v>
      </c>
      <c r="G3" s="707">
        <f>IF(F3="宗地容积率",'数据-汇总表'!I4,IF(F3="估价对象容积率",'数据-汇总表'!I6,'数据-汇总表'!I7))</f>
        <v>1</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773</v>
      </c>
      <c r="U3" s="1129">
        <f>'数据-基础表'!I14</f>
        <v>0</v>
      </c>
      <c r="V3" s="3060">
        <f t="shared" ref="V3:V16" si="1">ROUND(T3*U3/10000,0)</f>
        <v>0</v>
      </c>
      <c r="W3" s="1132"/>
      <c r="X3" s="1132"/>
      <c r="Y3" s="1132"/>
      <c r="Z3" s="1132"/>
      <c r="AA3" s="1132"/>
      <c r="AB3" s="1132"/>
      <c r="AC3" s="1133"/>
      <c r="AD3" s="1134"/>
      <c r="AE3" s="1134"/>
      <c r="AF3" s="1134"/>
      <c r="AG3" s="1134"/>
      <c r="AH3" s="1134"/>
      <c r="AI3" s="1134"/>
      <c r="AJ3" s="1135"/>
    </row>
    <row r="4" spans="1:36" ht="15.6">
      <c r="A4" s="3426"/>
      <c r="B4" s="3427"/>
      <c r="C4" s="3427"/>
      <c r="D4" s="3428"/>
      <c r="E4" s="3428"/>
      <c r="F4" s="3428"/>
      <c r="G4" s="3428"/>
      <c r="H4" s="3428"/>
      <c r="I4" s="3428"/>
      <c r="J4" s="342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630</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790</v>
      </c>
      <c r="D5" s="1251">
        <f>ROUND(C6*C17+C20,0)</f>
        <v>790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535</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790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487</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3227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十级</v>
      </c>
      <c r="Y7" s="1130" t="s">
        <v>1956</v>
      </c>
      <c r="Z7" s="1131">
        <f>G3</f>
        <v>1</v>
      </c>
      <c r="AA7" s="1132"/>
      <c r="AB7" s="1132"/>
      <c r="AC7" s="1133"/>
      <c r="AD7" s="1134"/>
      <c r="AE7" s="1134"/>
      <c r="AF7" s="1134"/>
      <c r="AG7" s="1134"/>
      <c r="AH7" s="1134"/>
      <c r="AI7" s="1134"/>
      <c r="AJ7" s="1135"/>
    </row>
    <row r="8" spans="1:36" ht="26.4">
      <c r="A8" s="3006"/>
      <c r="B8" s="162" t="s">
        <v>1957</v>
      </c>
      <c r="C8" s="1869" t="s">
        <v>3619</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3" t="s">
        <v>1960</v>
      </c>
      <c r="X8" s="342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5"/>
      <c r="X9" s="3061" t="s">
        <v>3256</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790</v>
      </c>
      <c r="N10" s="812">
        <f>SUMPRODUCT((因素修正幅度!B327:B357=I2)*(因素修正幅度!C3:G3=E2)*(因素修正幅度!C327:G357))</f>
        <v>0.15</v>
      </c>
      <c r="O10" s="1055"/>
      <c r="P10" s="1055"/>
      <c r="Q10" s="1055"/>
      <c r="R10" s="1128">
        <v>9</v>
      </c>
      <c r="S10" s="1129"/>
      <c r="T10" s="3060">
        <f t="shared" si="0"/>
        <v>0</v>
      </c>
      <c r="U10" s="1129"/>
      <c r="V10" s="3060">
        <f t="shared" si="1"/>
        <v>0</v>
      </c>
      <c r="W10" s="342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3228</v>
      </c>
      <c r="B12" s="3010" t="s">
        <v>3229</v>
      </c>
      <c r="C12" s="3011"/>
      <c r="D12" s="3012" t="s">
        <v>3230</v>
      </c>
      <c r="E12" s="3013" t="s">
        <v>3231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3233</v>
      </c>
      <c r="G14" s="3017" t="s">
        <v>3233</v>
      </c>
      <c r="H14" s="3017" t="s">
        <v>3233</v>
      </c>
      <c r="I14" s="3017" t="s">
        <v>3233</v>
      </c>
      <c r="J14" s="3017" t="s">
        <v>3233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3235</v>
      </c>
      <c r="B17" s="3024" t="s">
        <v>3236</v>
      </c>
      <c r="C17" s="3033">
        <f>ROUND(IF(OR(E2="工业",E2="公共服务"),1,IF(AND(E18=0,E19=0),1,IF(AND(E18=J24,E19=G19),0.8,IF(E19=0,1+E17*(-0.2),1+E17*G17*(-0.2))))),4)</f>
        <v>1</v>
      </c>
      <c r="D17" s="3025" t="s">
        <v>3237</v>
      </c>
      <c r="E17" s="3033">
        <f>ROUND(G18/I18,2)</f>
        <v>0</v>
      </c>
      <c r="F17" s="3025" t="s">
        <v>3240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3238</v>
      </c>
      <c r="E18" s="2354"/>
      <c r="F18" s="3027" t="s">
        <v>3241</v>
      </c>
      <c r="G18" s="3031">
        <f>ROUND(1-(1/(POWER(1+G24,E18))),4)</f>
        <v>0</v>
      </c>
      <c r="H18" s="3027" t="s">
        <v>3243</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3239</v>
      </c>
      <c r="E19" s="3040"/>
      <c r="F19" s="3041" t="s">
        <v>3242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30" t="s">
        <v>3244</v>
      </c>
      <c r="B20" s="159" t="s">
        <v>1994</v>
      </c>
      <c r="C20" s="3028">
        <f>ROUND(IF(F21="与级别开发程度一致",0,(G21-E21)/C21),0)</f>
        <v>0</v>
      </c>
      <c r="D20" s="3043" t="s">
        <v>1998</v>
      </c>
      <c r="E20" s="3044"/>
      <c r="F20" s="3436" t="s">
        <v>1995</v>
      </c>
      <c r="G20" s="3437"/>
      <c r="H20" s="3029" t="s">
        <v>3456</v>
      </c>
      <c r="I20" s="3029" t="s">
        <v>3457</v>
      </c>
      <c r="J20" s="3030" t="s">
        <v>3458</v>
      </c>
      <c r="K20" s="1888" t="s">
        <v>3459</v>
      </c>
      <c r="L20" s="1888" t="s">
        <v>3460</v>
      </c>
      <c r="M20" s="1888" t="s">
        <v>3461</v>
      </c>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431"/>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3455</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1.0161</v>
      </c>
      <c r="D23" s="1895" t="s">
        <v>2002</v>
      </c>
      <c r="E23" s="716">
        <v>44197</v>
      </c>
      <c r="F23" s="1895" t="s">
        <v>2003</v>
      </c>
      <c r="G23" s="717">
        <f>'数据-取费表'!B2</f>
        <v>45734</v>
      </c>
      <c r="H23" s="3045" t="s">
        <v>3616</v>
      </c>
      <c r="I23" s="3046">
        <f>IF(H23="季度增幅（自定义）",SUMIF(N25:N28,E2,O25:O28),"")</f>
        <v>1E-3</v>
      </c>
      <c r="J23" s="3138" t="s">
        <v>3617</v>
      </c>
      <c r="K23" s="1060"/>
      <c r="L23" s="1896" t="s">
        <v>2004</v>
      </c>
      <c r="M23" s="1240">
        <f>ROUND(SUMIF(地价!B2:G2,E2,地价!B16:G16),0)</f>
        <v>318</v>
      </c>
      <c r="N23" s="1897" t="s">
        <v>2005</v>
      </c>
      <c r="O23" s="718">
        <f>ROUNDDOWN(DATEDIF(E23,G23,"M")/3,0)</f>
        <v>16</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0.80989999999999995</v>
      </c>
      <c r="D24" s="1901" t="s">
        <v>2007</v>
      </c>
      <c r="E24" s="1247">
        <f>存贷款利率!E27/100</f>
        <v>4.3499999999999997E-2</v>
      </c>
      <c r="F24" s="1901" t="s">
        <v>1999</v>
      </c>
      <c r="G24" s="723">
        <f>SUMIF(M30:Q30,E2,M33:Q33)</f>
        <v>0.05</v>
      </c>
      <c r="H24" s="1901" t="s">
        <v>2008</v>
      </c>
      <c r="I24" s="724">
        <f>SUMIF('数据-取费表'!C6:C15,E2,'数据-取费表'!F6:F15)/COUNTIF('数据-取费表'!C6:C15,E2)</f>
        <v>27.55</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3615</v>
      </c>
      <c r="C25" s="460">
        <f>IF(B25="容积率修正",IF(G3&lt;10,D26,J26),C27)</f>
        <v>1</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3245</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3246</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1.5418000000000001</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v>
      </c>
      <c r="D28" s="1893"/>
      <c r="E28" s="1918"/>
      <c r="F28" s="1918"/>
      <c r="G28" s="1918"/>
      <c r="H28" s="1918"/>
      <c r="I28" s="1918"/>
      <c r="J28" s="1919"/>
      <c r="K28" s="1060"/>
      <c r="L28" s="2549"/>
      <c r="M28" s="2549"/>
      <c r="N28" s="1920" t="s">
        <v>2021</v>
      </c>
      <c r="O28" s="1094">
        <v>1E-3</v>
      </c>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#VALUE!</v>
      </c>
      <c r="D30" s="1924"/>
      <c r="E30" s="1841"/>
      <c r="F30" s="1925"/>
      <c r="G30" s="1841"/>
      <c r="H30" s="1841"/>
      <c r="I30" s="1841"/>
      <c r="J30" s="1926"/>
      <c r="K30" s="1055"/>
      <c r="L30" s="3052" t="s">
        <v>1936</v>
      </c>
      <c r="M30" s="3053" t="s">
        <v>1990</v>
      </c>
      <c r="N30" s="3053" t="s">
        <v>1991</v>
      </c>
      <c r="O30" s="3053" t="s">
        <v>1992</v>
      </c>
      <c r="P30" s="3053" t="s">
        <v>1993</v>
      </c>
      <c r="Q30" s="3056"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#VALUE!</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650</v>
      </c>
      <c r="D33" s="1939">
        <f>'数据-汇总表'!D3</f>
        <v>8001.46</v>
      </c>
      <c r="E33" s="726">
        <f>ROUND(C33*D33/10000,0)</f>
        <v>520</v>
      </c>
      <c r="F33" s="3047" t="s">
        <v>3248</v>
      </c>
      <c r="G33" s="1940"/>
      <c r="H33" s="1940"/>
      <c r="I33" s="1940"/>
      <c r="J33" s="1941"/>
      <c r="K33" s="1055"/>
      <c r="L33" s="3050" t="s">
        <v>3251</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98</v>
      </c>
      <c r="D34" s="1944"/>
      <c r="E34" s="726">
        <f>ROUND(IF(B25="楼层修正",SUM(V2:V16)*M40,C34*D34/10000),0)</f>
        <v>0</v>
      </c>
      <c r="F34" s="1945" t="s">
        <v>2032</v>
      </c>
      <c r="G34" s="1946"/>
      <c r="H34" s="1946"/>
      <c r="I34" s="1946"/>
      <c r="J34" s="1947"/>
      <c r="K34" s="1055"/>
      <c r="L34" s="3050" t="s">
        <v>3252</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3253</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34"/>
      <c r="B37" s="1954" t="s">
        <v>2036</v>
      </c>
      <c r="C37" s="167">
        <f>ROUND(D5*C22*C23*C24*C28*F37,0)</f>
        <v>325</v>
      </c>
      <c r="D37" s="1939"/>
      <c r="E37" s="163">
        <f>ROUND(C37*D37/10000,0)</f>
        <v>0</v>
      </c>
      <c r="F37" s="163">
        <f>SUMIF(修正!A57:A68,G2,修正!B57:B68)</f>
        <v>0.5</v>
      </c>
      <c r="G37" s="163">
        <f>ROUND(IF(E2="工业",C37*$M$42,C37*$M$41),0)</f>
        <v>49</v>
      </c>
      <c r="H37" s="163">
        <f>D37</f>
        <v>0</v>
      </c>
      <c r="I37" s="163">
        <f>ROUND(G37*H37/10000,0)</f>
        <v>0</v>
      </c>
      <c r="J37" s="2751"/>
      <c r="K37" s="3058" t="s">
        <v>3254</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5"/>
      <c r="B38" s="1883" t="s">
        <v>2037</v>
      </c>
      <c r="C38" s="167">
        <f>ROUND(D5*C22*C23*C24*C28*F38,0)</f>
        <v>130</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35"/>
      <c r="B39" s="1883" t="s">
        <v>3247</v>
      </c>
      <c r="C39" s="167">
        <f>ROUND(D5*C22*C23*C24*C28*F39,0)</f>
        <v>130</v>
      </c>
      <c r="D39" s="1939"/>
      <c r="E39" s="163">
        <f t="shared" si="4"/>
        <v>0</v>
      </c>
      <c r="F39" s="163">
        <f>SUMIF(修正!A57:A68,G2,修正!D57:D68)</f>
        <v>0.2</v>
      </c>
      <c r="G39" s="163">
        <f>ROUND(IF(E2="工业",C39*$M$42,C39*$M$41),0)</f>
        <v>20</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130</v>
      </c>
      <c r="D40" s="1939"/>
      <c r="E40" s="163">
        <f t="shared" si="4"/>
        <v>0</v>
      </c>
      <c r="F40" s="167">
        <f>SUMIF(修正!A57:A68,G2,修正!E57:E68)</f>
        <v>0.2</v>
      </c>
      <c r="G40" s="163">
        <f>ROUND(IF(E2="工业",C40*$M$42,C40*$M$41),0)</f>
        <v>20</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0.2</v>
      </c>
      <c r="G41" s="163" t="e">
        <f>ROUND(IF(E2="工业",C41*$M$42,C41*$M$41),0)</f>
        <v>#VALUE!</v>
      </c>
      <c r="H41" s="163">
        <f t="shared" si="5"/>
        <v>0</v>
      </c>
      <c r="I41" s="163" t="e">
        <f t="shared" si="6"/>
        <v>#VALUE!</v>
      </c>
      <c r="J41" s="938"/>
      <c r="L41" s="3059" t="s">
        <v>3255</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3175" t="e">
        <f>ROUND(D5*C22*C23*C44*C28*F42,0)</f>
        <v>#VALUE!</v>
      </c>
      <c r="D42" s="1944">
        <f>'数据-基础表'!K13</f>
        <v>0</v>
      </c>
      <c r="E42" s="178" t="e">
        <f t="shared" si="4"/>
        <v>#VALUE!</v>
      </c>
      <c r="F42" s="722">
        <f>SUMIF(修正!A57:A68,G2,修正!G57:G68)</f>
        <v>0.1</v>
      </c>
      <c r="G42" s="178" t="e">
        <f>ROUND(IF(E2="工业",C42*$M$42,C42*$M$41),0)</f>
        <v>#VALUE!</v>
      </c>
      <c r="H42" s="178">
        <f t="shared" si="5"/>
        <v>0</v>
      </c>
      <c r="I42" s="178"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#VALUE!</v>
      </c>
      <c r="D44" s="163" t="s">
        <v>1999</v>
      </c>
      <c r="E44" s="1990">
        <f>G24</f>
        <v>0.05</v>
      </c>
      <c r="F44" s="163" t="s">
        <v>2008</v>
      </c>
      <c r="G44" s="3176" t="str">
        <f>项目基本情况!F15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hidden="1">
      <c r="A51" s="1969" t="s">
        <v>2053</v>
      </c>
      <c r="B51" s="1261" t="str">
        <f>估价对象房地状况!C18</f>
        <v>一般</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7" t="s">
        <v>3257</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2059</v>
      </c>
      <c r="B56" s="1239" t="str">
        <f>估价对象房地状况!C21</f>
        <v>较好</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2060</v>
      </c>
      <c r="B57" s="1261" t="str">
        <f>估价对象房地状况!C22</f>
        <v>七通</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1.0576000000000001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一般</v>
      </c>
      <c r="C61" s="1886" t="s">
        <v>3405</v>
      </c>
      <c r="D61" s="1001">
        <f t="shared" ref="D61:D69" si="12">SUMIF($J$60:$N$60,C61,J61:N61)</f>
        <v>1.4E-2</v>
      </c>
      <c r="E61" s="701">
        <f>ROUND(SUM(D61:D69),4)</f>
        <v>5.7599999999999998E-2</v>
      </c>
      <c r="F61" s="1674" t="str">
        <f>IF(E2="办公",SUMIF(L1:L12,G2,N1:N12),"——")</f>
        <v>——</v>
      </c>
      <c r="G61" s="999">
        <v>1.4E-2</v>
      </c>
      <c r="H61" s="1002" t="str">
        <f t="shared" ref="H61:H69" si="13">IFERROR(ROUNDDOWN($F$61*I61/2,4),"——")</f>
        <v>——</v>
      </c>
      <c r="I61" s="3065">
        <v>0.25</v>
      </c>
      <c r="J61" s="1000">
        <f t="shared" ref="J61:J69" si="14">K61+$G61</f>
        <v>2.8000000000000001E-2</v>
      </c>
      <c r="K61" s="1000">
        <f t="shared" ref="K61:K69" si="15">$L61+$G61</f>
        <v>1.4E-2</v>
      </c>
      <c r="L61" s="1000">
        <v>0</v>
      </c>
      <c r="M61" s="1000">
        <f t="shared" ref="M61:N69" si="16">L61-$G61</f>
        <v>-1.4E-2</v>
      </c>
      <c r="N61" s="1000">
        <f t="shared" si="16"/>
        <v>-2.8000000000000001E-2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t="s">
        <v>3405</v>
      </c>
      <c r="D62" s="1001">
        <f t="shared" si="12"/>
        <v>1.4999999999999999E-2</v>
      </c>
      <c r="E62" s="702"/>
      <c r="F62" s="1674"/>
      <c r="G62" s="999">
        <v>1.4999999999999999E-2</v>
      </c>
      <c r="H62" s="1002" t="str">
        <f t="shared" si="13"/>
        <v>——</v>
      </c>
      <c r="I62" s="3065">
        <v>0.26</v>
      </c>
      <c r="J62" s="1000">
        <f t="shared" si="14"/>
        <v>0.03</v>
      </c>
      <c r="K62" s="1000">
        <f t="shared" si="15"/>
        <v>1.4999999999999999E-2</v>
      </c>
      <c r="L62" s="1000">
        <v>0</v>
      </c>
      <c r="M62" s="1000">
        <f t="shared" si="16"/>
        <v>-1.4999999999999999E-2</v>
      </c>
      <c r="N62" s="1000">
        <f t="shared" si="16"/>
        <v>-0.03</v>
      </c>
      <c r="AA62" s="1056"/>
      <c r="AB62" s="1056"/>
      <c r="AC62" s="1056"/>
      <c r="AD62" s="1056"/>
      <c r="AE62" s="1056"/>
      <c r="AF62" s="1056"/>
      <c r="AG62" s="1056"/>
      <c r="AH62" s="1056"/>
      <c r="AI62" s="1056"/>
      <c r="AJ62" s="1056"/>
      <c r="AK62" s="1056"/>
    </row>
    <row r="63" spans="1:37" s="1055" customFormat="1" ht="48">
      <c r="A63" s="3067" t="s">
        <v>3257</v>
      </c>
      <c r="B63" s="1261">
        <f>估价对象房地状况!C19</f>
        <v>0</v>
      </c>
      <c r="C63" s="1886" t="s">
        <v>3405</v>
      </c>
      <c r="D63" s="1001">
        <f t="shared" si="12"/>
        <v>6.8999999999999999E-3</v>
      </c>
      <c r="E63" s="702"/>
      <c r="F63" s="1674"/>
      <c r="G63" s="999">
        <v>6.8999999999999999E-3</v>
      </c>
      <c r="H63" s="1002" t="str">
        <f t="shared" si="13"/>
        <v>——</v>
      </c>
      <c r="I63" s="3065">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3405</v>
      </c>
      <c r="D64" s="1001">
        <f t="shared" si="12"/>
        <v>3.0999999999999999E-3</v>
      </c>
      <c r="E64" s="702"/>
      <c r="F64" s="1674"/>
      <c r="G64" s="999">
        <v>3.0999999999999999E-3</v>
      </c>
      <c r="H64" s="1002" t="str">
        <f t="shared" si="13"/>
        <v>——</v>
      </c>
      <c r="I64" s="3065">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3404</v>
      </c>
      <c r="D65" s="1001">
        <f t="shared" si="12"/>
        <v>0</v>
      </c>
      <c r="E65" s="702"/>
      <c r="F65" s="1674"/>
      <c r="G65" s="999">
        <v>3.0999999999999999E-3</v>
      </c>
      <c r="H65" s="1002" t="str">
        <f t="shared" si="13"/>
        <v>——</v>
      </c>
      <c r="I65" s="3065">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36">
      <c r="A66" s="1969" t="s">
        <v>2057</v>
      </c>
      <c r="B66" s="1974" t="s">
        <v>2058</v>
      </c>
      <c r="C66" s="1886" t="s">
        <v>3405</v>
      </c>
      <c r="D66" s="1001">
        <f t="shared" si="12"/>
        <v>3.7000000000000002E-3</v>
      </c>
      <c r="E66" s="702"/>
      <c r="F66" s="1674"/>
      <c r="G66" s="999">
        <v>3.7000000000000002E-3</v>
      </c>
      <c r="H66" s="1002" t="str">
        <f t="shared" si="13"/>
        <v>——</v>
      </c>
      <c r="I66" s="3065">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3405</v>
      </c>
      <c r="D67" s="1001">
        <f t="shared" si="12"/>
        <v>3.7000000000000002E-3</v>
      </c>
      <c r="E67" s="702"/>
      <c r="F67" s="1674"/>
      <c r="G67" s="999">
        <v>3.7000000000000002E-3</v>
      </c>
      <c r="H67" s="1002" t="str">
        <f t="shared" si="13"/>
        <v>——</v>
      </c>
      <c r="I67" s="3065">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t="s">
        <v>3406</v>
      </c>
      <c r="D68" s="1001">
        <f t="shared" si="12"/>
        <v>1.12E-2</v>
      </c>
      <c r="E68" s="702"/>
      <c r="F68" s="1674"/>
      <c r="G68" s="999">
        <v>5.5999999999999999E-3</v>
      </c>
      <c r="H68" s="1002" t="str">
        <f t="shared" si="13"/>
        <v>——</v>
      </c>
      <c r="I68" s="3065">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3404</v>
      </c>
      <c r="D69" s="1001">
        <f t="shared" si="12"/>
        <v>0</v>
      </c>
      <c r="E69" s="703"/>
      <c r="F69" s="1674"/>
      <c r="G69" s="999">
        <v>4.4000000000000003E-3</v>
      </c>
      <c r="H69" s="1002" t="str">
        <f t="shared" si="13"/>
        <v>——</v>
      </c>
      <c r="I69" s="3066">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3257</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f>IF(E2="工业",SUMIF(L1:L12,G2,N1:N12),"——")</f>
        <v>0.15</v>
      </c>
      <c r="G83" s="999"/>
      <c r="H83" s="1002">
        <f t="shared" ref="H83:H90" si="23">IFERROR(ROUNDDOWN($F$83*I83/2,4),"——")</f>
        <v>1.95E-2</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f t="shared" si="23"/>
        <v>2.2499999999999999E-2</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3258</v>
      </c>
      <c r="B85" s="1261">
        <f>估价对象房地状况!G17</f>
        <v>0</v>
      </c>
      <c r="C85" s="1886"/>
      <c r="D85" s="1001">
        <f t="shared" si="22"/>
        <v>0</v>
      </c>
      <c r="E85" s="704"/>
      <c r="F85" s="1674"/>
      <c r="G85" s="999"/>
      <c r="H85" s="1002">
        <f t="shared" si="23"/>
        <v>7.4999999999999997E-3</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f t="shared" si="23"/>
        <v>3.7000000000000002E-3</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f t="shared" si="23"/>
        <v>4.4999999999999997E-3</v>
      </c>
      <c r="I87" s="3065">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f t="shared" si="23"/>
        <v>8.9999999999999993E-3</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f t="shared" si="23"/>
        <v>4.4999999999999997E-3</v>
      </c>
      <c r="I89" s="3065">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f t="shared" si="23"/>
        <v>3.7000000000000002E-3</v>
      </c>
      <c r="I90" s="3066">
        <v>0.05</v>
      </c>
      <c r="J90" s="1000">
        <f t="shared" si="24"/>
        <v>0</v>
      </c>
      <c r="K90" s="1000">
        <f t="shared" si="25"/>
        <v>0</v>
      </c>
      <c r="L90" s="1000">
        <v>0</v>
      </c>
      <c r="M90" s="1000">
        <f t="shared" si="26"/>
        <v>0</v>
      </c>
      <c r="N90" s="1000">
        <f t="shared" si="26"/>
        <v>0</v>
      </c>
    </row>
    <row r="91" spans="1:37" ht="13.8">
      <c r="A91" s="3075" t="s">
        <v>2602</v>
      </c>
      <c r="B91" s="3076">
        <f>1+E93</f>
        <v>1</v>
      </c>
      <c r="C91" s="3069"/>
      <c r="D91" s="3070"/>
      <c r="E91" s="1674"/>
      <c r="F91" s="1674"/>
      <c r="G91" s="3071"/>
      <c r="H91" s="3072"/>
      <c r="I91" s="3073"/>
      <c r="J91" s="3074"/>
      <c r="K91" s="3074"/>
      <c r="L91" s="3074"/>
      <c r="M91" s="3074"/>
      <c r="N91" s="3074"/>
    </row>
    <row r="92" spans="1:37" ht="25.2">
      <c r="A92" s="3077" t="s">
        <v>3259</v>
      </c>
      <c r="B92" s="2307"/>
      <c r="C92" s="2307" t="s">
        <v>3268</v>
      </c>
      <c r="D92" s="2307" t="s">
        <v>3269</v>
      </c>
      <c r="E92" s="3049" t="s">
        <v>3270</v>
      </c>
      <c r="F92" s="3079" t="s">
        <v>3271</v>
      </c>
      <c r="G92" s="2307" t="s">
        <v>3272</v>
      </c>
      <c r="H92" s="3086" t="s">
        <v>3275</v>
      </c>
      <c r="I92" s="2307" t="s">
        <v>3276</v>
      </c>
      <c r="J92" s="2149" t="s">
        <v>3277</v>
      </c>
      <c r="K92" s="2149" t="s">
        <v>3278</v>
      </c>
      <c r="L92" s="2149" t="s">
        <v>3279</v>
      </c>
      <c r="M92" s="2149" t="s">
        <v>3280</v>
      </c>
      <c r="N92" s="2149" t="s">
        <v>3281</v>
      </c>
    </row>
    <row r="93" spans="1:37" ht="24">
      <c r="A93" s="3067" t="s">
        <v>3260</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3261</v>
      </c>
      <c r="B94" s="3068" t="str">
        <f>估价对象房地状况!C18</f>
        <v>一般</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3257</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3262</v>
      </c>
      <c r="B96" s="3083" t="s">
        <v>3273</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3263</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3264</v>
      </c>
      <c r="B98" s="3084" t="s">
        <v>3274</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3265</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3266</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3267</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32" t="s">
        <v>3282</v>
      </c>
      <c r="B103" s="3432"/>
      <c r="C103" s="3432"/>
      <c r="D103" s="3432"/>
      <c r="E103" s="3432"/>
      <c r="F103" s="3432"/>
      <c r="G103" s="3432"/>
      <c r="H103" s="3432"/>
      <c r="I103" s="3432"/>
      <c r="J103" s="3432"/>
      <c r="K103" s="1666"/>
      <c r="L103" s="1666"/>
      <c r="M103" s="1666"/>
      <c r="N103" s="1666"/>
    </row>
    <row r="104" spans="1:14">
      <c r="A104" s="3433" t="s">
        <v>3283</v>
      </c>
      <c r="B104" s="3433" t="s">
        <v>3284</v>
      </c>
      <c r="C104" s="3087" t="s">
        <v>3285</v>
      </c>
      <c r="D104" s="3088"/>
      <c r="E104" s="3088"/>
      <c r="F104" s="3088"/>
      <c r="G104" s="3088"/>
      <c r="H104" s="3088"/>
      <c r="I104" s="3088"/>
      <c r="J104" s="3089"/>
      <c r="K104" s="3090"/>
      <c r="L104" s="3090"/>
      <c r="M104" s="3090"/>
      <c r="N104" s="3090"/>
    </row>
    <row r="105" spans="1:14">
      <c r="A105" s="3433"/>
      <c r="B105" s="3433"/>
      <c r="C105" s="3091" t="s">
        <v>3286</v>
      </c>
      <c r="D105" s="3091" t="s">
        <v>3287</v>
      </c>
      <c r="E105" s="3091" t="s">
        <v>3288</v>
      </c>
      <c r="F105" s="3091" t="s">
        <v>3289</v>
      </c>
      <c r="G105" s="3091" t="s">
        <v>3290</v>
      </c>
      <c r="H105" s="3091" t="s">
        <v>3291</v>
      </c>
      <c r="I105" s="3091" t="s">
        <v>3292</v>
      </c>
      <c r="J105" s="3091" t="s">
        <v>3293</v>
      </c>
      <c r="K105" s="3091" t="s">
        <v>3294</v>
      </c>
      <c r="L105" s="3091" t="s">
        <v>3295</v>
      </c>
      <c r="M105" s="3091" t="s">
        <v>3296</v>
      </c>
      <c r="N105" s="3091" t="s">
        <v>3297</v>
      </c>
    </row>
    <row r="106" spans="1:14">
      <c r="A106" s="3419" t="s">
        <v>3298</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0"/>
      <c r="B111" s="3091" t="s">
        <v>3256</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421"/>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422" t="s">
        <v>3299</v>
      </c>
      <c r="B113" s="3422"/>
      <c r="C113" s="3422"/>
      <c r="D113" s="3422"/>
      <c r="E113" s="3422"/>
      <c r="F113" s="3422"/>
      <c r="G113" s="3422"/>
      <c r="H113" s="3422"/>
      <c r="I113" s="3422"/>
      <c r="J113" s="342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3300</v>
      </c>
      <c r="B116" s="3111">
        <f>G3</f>
        <v>1</v>
      </c>
      <c r="C116" s="3096" t="s">
        <v>3301</v>
      </c>
      <c r="D116" s="3097">
        <f>SUMPRODUCT((A118:A122=F116)*(B117:M117=H116)*B118:M122)</f>
        <v>0.57150000000000001</v>
      </c>
      <c r="E116" s="162" t="s">
        <v>3302</v>
      </c>
      <c r="F116" s="3098" t="str">
        <f>E2</f>
        <v>工业</v>
      </c>
      <c r="G116" s="162" t="s">
        <v>3303</v>
      </c>
      <c r="H116" s="3098" t="str">
        <f>G2</f>
        <v>十级</v>
      </c>
      <c r="I116" s="162"/>
      <c r="J116" s="3099"/>
      <c r="K116" s="3099"/>
      <c r="L116" s="3099"/>
      <c r="M116" s="3099"/>
      <c r="N116" s="3094"/>
    </row>
    <row r="117" spans="1:14">
      <c r="A117" s="3100"/>
      <c r="B117" s="3101" t="s">
        <v>3304</v>
      </c>
      <c r="C117" s="3101" t="s">
        <v>3305</v>
      </c>
      <c r="D117" s="3101" t="s">
        <v>3306</v>
      </c>
      <c r="E117" s="3102" t="s">
        <v>3307</v>
      </c>
      <c r="F117" s="3102" t="s">
        <v>3308</v>
      </c>
      <c r="G117" s="3102" t="s">
        <v>3309</v>
      </c>
      <c r="H117" s="3103" t="s">
        <v>3310</v>
      </c>
      <c r="I117" s="3103" t="s">
        <v>3311</v>
      </c>
      <c r="J117" s="3104" t="s">
        <v>3312</v>
      </c>
      <c r="K117" s="3104" t="s">
        <v>3313</v>
      </c>
      <c r="L117" s="3104" t="s">
        <v>3314</v>
      </c>
      <c r="M117" s="3105" t="s">
        <v>3315</v>
      </c>
      <c r="N117" s="3094"/>
    </row>
    <row r="118" spans="1:14">
      <c r="A118" s="3054" t="s">
        <v>3316</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3317</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3318</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8" thickBot="1">
      <c r="A121" s="3107" t="s">
        <v>3319</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2602</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B25" sqref="B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t="e">
        <f ca="1">IF(D2="——",C52,C52-E2)</f>
        <v>#VALUE!</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#VALUE!</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C6+C7+C8</f>
        <v>#VALUE!</v>
      </c>
      <c r="D5" s="202" t="s">
        <v>1469</v>
      </c>
      <c r="E5" s="203" t="s">
        <v>1470</v>
      </c>
      <c r="F5" s="203" t="s">
        <v>1471</v>
      </c>
      <c r="G5" s="204"/>
    </row>
    <row r="6" spans="1:9" s="205" customFormat="1" ht="13.5" customHeight="1">
      <c r="A6" s="731" t="s">
        <v>1472</v>
      </c>
      <c r="B6" s="206" t="s">
        <v>1473</v>
      </c>
      <c r="C6" s="207" t="e">
        <f>基准地价修正!E42+基准地价修正!V2+基准地价修正!V3+基准地价修正!V4</f>
        <v>#VALUE!</v>
      </c>
      <c r="D6" s="208"/>
      <c r="E6" s="209"/>
      <c r="F6" s="209"/>
      <c r="G6" s="210"/>
    </row>
    <row r="7" spans="1:9" s="205" customFormat="1" ht="13.5" customHeight="1">
      <c r="A7" s="731" t="s">
        <v>1474</v>
      </c>
      <c r="B7" s="206" t="s">
        <v>1475</v>
      </c>
      <c r="C7" s="211" t="e">
        <f>ROUND(C6*F7,0)</f>
        <v>#VALUE!</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21.022359999999999</v>
      </c>
      <c r="D8" s="213"/>
      <c r="E8" s="211"/>
      <c r="F8" s="212"/>
      <c r="G8" s="1713" t="s">
        <v>3407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4" t="s">
        <v>3604</v>
      </c>
      <c r="H9" s="1069"/>
      <c r="I9" s="1715" t="s">
        <v>1479</v>
      </c>
    </row>
    <row r="10" spans="1:9" s="205" customFormat="1" ht="13.5" customHeight="1">
      <c r="A10" s="732" t="s">
        <v>356</v>
      </c>
      <c r="B10" s="215" t="s">
        <v>1480</v>
      </c>
      <c r="C10" s="216">
        <f ca="1">ROUND(D10*E10/10000,0)</f>
        <v>21</v>
      </c>
      <c r="D10" s="794">
        <f ca="1">IF(B1="",'数据-汇总表'!E6,IF(INDIRECT("'数据-取费表'!c"&amp;$G$1)="住宅",INDIRECT("'数据-取费表'!s"&amp;$G$1),INDIRECT("'数据-取费表'!k"&amp;$G$1)+INDIRECT("'数据-取费表'!s"&amp;$G$1)))</f>
        <v>1106.44</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1106.44</v>
      </c>
      <c r="E19" s="202">
        <f>'数据-取费表'!B31</f>
        <v>200</v>
      </c>
      <c r="F19" s="222"/>
      <c r="G19" s="1713" t="s">
        <v>3408</v>
      </c>
    </row>
    <row r="20" spans="1:7" s="205" customFormat="1" ht="13.5" customHeight="1">
      <c r="A20" s="246" t="s">
        <v>1493</v>
      </c>
      <c r="B20" s="201" t="s">
        <v>1494</v>
      </c>
      <c r="C20" s="223" t="e">
        <f>ROUND((C5+C19)*F20,0)</f>
        <v>#VALUE!</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t="e">
        <f ca="1">ROUND(SUM(C23:C25),0)</f>
        <v>#VALUE!</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t="e">
        <f ca="1">ROUND(IF('数据-取费表'!B22&lt;=1,C5*F22*'数据-取费表'!B23,C5*(POWER((1+F22),'数据-取费表'!B23)-1)),0)</f>
        <v>#VALUE!</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#VALUE!</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t="e">
        <f ca="1">C28</f>
        <v>#VALUE!</v>
      </c>
      <c r="D27" s="226">
        <f ca="1">C29</f>
        <v>1E-3</v>
      </c>
      <c r="E27" s="227" t="s">
        <v>1514</v>
      </c>
      <c r="F27" s="237">
        <f ca="1">IF(B1="",'数据-取费表'!Q16,INDIRECT("'数据-取费表'!q"&amp;$G$1))</f>
        <v>0.05</v>
      </c>
      <c r="G27" s="238" t="s">
        <v>1515</v>
      </c>
    </row>
    <row r="28" spans="1:7" s="205" customFormat="1" ht="13.5" customHeight="1">
      <c r="A28" s="733" t="s">
        <v>346</v>
      </c>
      <c r="B28" s="239" t="s">
        <v>1516</v>
      </c>
      <c r="C28" s="240" t="e">
        <f ca="1">ROUND((C5+C19+C20)*F27*'数据-取费表'!B21/'数据-取费表'!B20,0)</f>
        <v>#VALUE!</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#VALUE!</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322</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277</v>
      </c>
      <c r="D34" s="208"/>
      <c r="E34" s="211"/>
      <c r="F34" s="248">
        <f ca="1">IF('数据-取费表'!B24=0,1,IF(B1="",'数据-取费表'!N16,INDIRECT("'数据-取费表'!n"&amp;$G$1)))</f>
        <v>1</v>
      </c>
      <c r="G34" s="210" t="s">
        <v>1526</v>
      </c>
    </row>
    <row r="35" spans="1:7" ht="13.5" customHeight="1">
      <c r="A35" s="733" t="s">
        <v>351</v>
      </c>
      <c r="B35" s="206" t="s">
        <v>1527</v>
      </c>
      <c r="C35" s="211">
        <f ca="1">ROUND(C34*F35,0)</f>
        <v>17</v>
      </c>
      <c r="D35" s="211"/>
      <c r="E35" s="211"/>
      <c r="F35" s="250">
        <f>'数据-取费表'!B33</f>
        <v>0.06</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22</v>
      </c>
      <c r="D37" s="208">
        <f ca="1">D19</f>
        <v>1106.44</v>
      </c>
      <c r="E37" s="240">
        <f>'数据-取费表'!B35</f>
        <v>200</v>
      </c>
      <c r="F37" s="250"/>
      <c r="G37" s="252" t="s">
        <v>1532</v>
      </c>
    </row>
    <row r="38" spans="1:7" ht="13.5" customHeight="1">
      <c r="A38" s="733" t="s">
        <v>354</v>
      </c>
      <c r="B38" s="206" t="s">
        <v>1533</v>
      </c>
      <c r="C38" s="211">
        <f ca="1">ROUND(C34*F38,0)</f>
        <v>6</v>
      </c>
      <c r="D38" s="211"/>
      <c r="E38" s="211"/>
      <c r="F38" s="250">
        <f>'数据-取费表'!B36</f>
        <v>0.02</v>
      </c>
      <c r="G38" s="210" t="s">
        <v>1528</v>
      </c>
    </row>
    <row r="39" spans="1:7" s="205" customFormat="1" ht="13.5" customHeight="1">
      <c r="A39" s="246" t="s">
        <v>1534</v>
      </c>
      <c r="B39" s="201" t="s">
        <v>1535</v>
      </c>
      <c r="C39" s="223">
        <f ca="1">ROUND(C33*F20,0)</f>
        <v>10</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5</v>
      </c>
      <c r="D42" s="229"/>
      <c r="E42" s="229"/>
      <c r="F42" s="230"/>
      <c r="G42" s="3438" t="s">
        <v>1544</v>
      </c>
    </row>
    <row r="43" spans="1:7" ht="13.5" customHeight="1">
      <c r="A43" s="733" t="s">
        <v>347</v>
      </c>
      <c r="B43" s="206" t="s">
        <v>1545</v>
      </c>
      <c r="C43" s="229">
        <f ca="1">ROUND(IF('数据-取费表'!B22&lt;=1,C39*F22*'数据-取费表'!B21/2,C39*(POWER((1+F22),'数据-取费表'!B21/2)-1)),0)</f>
        <v>0</v>
      </c>
      <c r="D43" s="229"/>
      <c r="E43" s="229"/>
      <c r="F43" s="230"/>
      <c r="G43" s="3439"/>
    </row>
    <row r="44" spans="1:7" ht="13.5" customHeight="1">
      <c r="A44" s="733" t="s">
        <v>348</v>
      </c>
      <c r="B44" s="206" t="s">
        <v>1546</v>
      </c>
      <c r="C44" s="229">
        <f ca="1">ROUND(IF('数据-取费表'!B22&lt;=1,C40*F22*'数据-取费表'!B21/2,C40*(POWER((1+F22),'数据-取费表'!B21/2)-1)),4)</f>
        <v>2.9999999999999997E-4</v>
      </c>
      <c r="D44" s="229"/>
      <c r="E44" s="229"/>
      <c r="F44" s="230"/>
      <c r="G44" s="3440"/>
    </row>
    <row r="45" spans="1:7" s="205" customFormat="1" ht="13.5" customHeight="1">
      <c r="A45" s="246" t="s">
        <v>1547</v>
      </c>
      <c r="B45" s="235" t="s">
        <v>1513</v>
      </c>
      <c r="C45" s="236">
        <f ca="1">C46</f>
        <v>17</v>
      </c>
      <c r="D45" s="226">
        <f ca="1">C47</f>
        <v>1E-3</v>
      </c>
      <c r="E45" s="227" t="s">
        <v>1539</v>
      </c>
      <c r="F45" s="237">
        <f ca="1">F27</f>
        <v>0.05</v>
      </c>
      <c r="G45" s="238" t="s">
        <v>1548</v>
      </c>
    </row>
    <row r="46" spans="1:7" s="205" customFormat="1" ht="13.5" customHeight="1">
      <c r="A46" s="733" t="s">
        <v>346</v>
      </c>
      <c r="B46" s="239" t="s">
        <v>1549</v>
      </c>
      <c r="C46" s="240">
        <f ca="1">ROUND((C33+C39)*F27,0)</f>
        <v>17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382</v>
      </c>
      <c r="D49" s="223"/>
      <c r="E49" s="223"/>
      <c r="F49" s="255"/>
      <c r="G49" s="225" t="s">
        <v>1554</v>
      </c>
    </row>
    <row r="50" spans="1:7" s="249" customFormat="1" ht="24">
      <c r="A50" s="246" t="s">
        <v>1555</v>
      </c>
      <c r="B50" s="201" t="s">
        <v>1556</v>
      </c>
      <c r="C50" s="223"/>
      <c r="D50" s="223"/>
      <c r="E50" s="223"/>
      <c r="F50" s="255">
        <f>IF('数据-取费表'!B24=0,'数据-取费表'!N16,1)</f>
        <v>0.72</v>
      </c>
      <c r="G50" s="238" t="s">
        <v>1557</v>
      </c>
    </row>
    <row r="51" spans="1:7" ht="16.5" customHeight="1">
      <c r="A51" s="246" t="s">
        <v>1558</v>
      </c>
      <c r="B51" s="201" t="s">
        <v>1559</v>
      </c>
      <c r="C51" s="223">
        <f ca="1">ROUND(C49*F50,0)</f>
        <v>275</v>
      </c>
      <c r="D51" s="223"/>
      <c r="E51" s="223"/>
      <c r="F51" s="255"/>
      <c r="G51" s="225" t="s">
        <v>1560</v>
      </c>
    </row>
    <row r="52" spans="1:7" s="199" customFormat="1" ht="16.8" thickBot="1">
      <c r="A52" s="256" t="s">
        <v>1561</v>
      </c>
      <c r="B52" s="257"/>
      <c r="C52" s="258" t="e">
        <f ca="1">C31+C51</f>
        <v>#VALUE!</v>
      </c>
      <c r="D52" s="257"/>
      <c r="E52" s="257"/>
      <c r="F52" s="257"/>
      <c r="G52" s="259"/>
    </row>
    <row r="55" spans="1:7" ht="15">
      <c r="B55" s="261" t="s">
        <v>1562</v>
      </c>
      <c r="C55" s="262"/>
    </row>
    <row r="56" spans="1:7">
      <c r="B56" s="264" t="s">
        <v>802</v>
      </c>
      <c r="C56" s="266" t="e">
        <f ca="1">1-C57</f>
        <v>#VALUE!</v>
      </c>
    </row>
    <row r="57" spans="1:7">
      <c r="B57" s="264" t="s">
        <v>803</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1"/>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0.06</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1106.44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1106.44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-2.2359999999999047E-2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150</v>
      </c>
      <c r="F19" s="755"/>
      <c r="G19" s="12"/>
      <c r="H19" s="1107"/>
      <c r="I19" s="760"/>
      <c r="J19" s="760"/>
      <c r="K19" s="761"/>
    </row>
    <row r="20" spans="1:33" s="754" customFormat="1" ht="13.5" customHeight="1">
      <c r="A20" s="751" t="s">
        <v>361</v>
      </c>
      <c r="B20" s="752" t="s">
        <v>1627</v>
      </c>
      <c r="C20" s="21">
        <f ca="1">ROUND(D20*E20/10000,0)</f>
        <v>21</v>
      </c>
      <c r="D20" s="795">
        <f ca="1">IF(C1="",'数据-汇总表'!E6,IF(INDIRECT("'数据-取费表'!c"&amp;$K$1)="住宅",INDIRECT("'数据-取费表'!s"&amp;$K$1),INDIRECT("'数据-取费表'!k"&amp;$K$1)+INDIRECT("'数据-取费表'!s"&amp;$K$1)))</f>
        <v>1106.44</v>
      </c>
      <c r="E20" s="21">
        <f>'数据-取费表'!B28</f>
        <v>190</v>
      </c>
      <c r="F20" s="755"/>
      <c r="G20" s="12"/>
      <c r="H20" s="760"/>
      <c r="I20" s="760"/>
      <c r="J20" s="760"/>
      <c r="K20" s="761"/>
    </row>
    <row r="21" spans="1:33" s="754" customFormat="1" ht="13.5" customHeight="1">
      <c r="A21" s="743" t="s">
        <v>357</v>
      </c>
      <c r="B21" s="764" t="s">
        <v>1628</v>
      </c>
      <c r="C21" s="765">
        <f ca="1">C16+C17+C18</f>
        <v>-2.2359999999999047E-2</v>
      </c>
      <c r="D21" s="766"/>
      <c r="E21" s="272"/>
      <c r="F21" s="272"/>
      <c r="G21" s="123"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3" t="s">
        <v>1644</v>
      </c>
      <c r="H29" s="758"/>
      <c r="I29" s="758"/>
      <c r="J29" s="758"/>
      <c r="K29" s="759"/>
    </row>
    <row r="30" spans="1:33" s="282" customFormat="1" ht="13.5" customHeight="1">
      <c r="A30" s="751" t="s">
        <v>359</v>
      </c>
      <c r="B30" s="772" t="s">
        <v>1645</v>
      </c>
      <c r="C30" s="283">
        <f ca="1">ROUND((C21+C22+C23)*F28,0)</f>
        <v>0</v>
      </c>
      <c r="D30" s="275"/>
      <c r="E30" s="276"/>
      <c r="F30" s="281"/>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50" sqref="J5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27.55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849</v>
      </c>
      <c r="C2" s="1288" t="s">
        <v>805</v>
      </c>
      <c r="D2" s="1288"/>
      <c r="E2" s="1294"/>
      <c r="F2" s="1295"/>
      <c r="G2" s="2475"/>
      <c r="H2" s="2465"/>
      <c r="I2" s="2465"/>
      <c r="J2" s="2465"/>
      <c r="K2" s="2466"/>
      <c r="L2" s="2465"/>
      <c r="M2" s="2465"/>
    </row>
    <row r="3" spans="1:37" ht="18" customHeight="1" thickBot="1">
      <c r="A3" s="1296" t="s">
        <v>806</v>
      </c>
      <c r="B3" s="1297">
        <f ca="1">IF(ISERROR(B2*10000/F43),0,ROUND(B2*10000/F43,0))</f>
        <v>7673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58</v>
      </c>
      <c r="D5" s="1272" t="s">
        <v>693</v>
      </c>
      <c r="E5" s="1007"/>
      <c r="F5" s="1008"/>
      <c r="G5" s="1291"/>
      <c r="H5" s="290">
        <v>1</v>
      </c>
      <c r="I5" s="291" t="s">
        <v>692</v>
      </c>
      <c r="J5" s="1006">
        <f ca="1">J6+J10+J12</f>
        <v>0</v>
      </c>
      <c r="K5" s="1272" t="s">
        <v>693</v>
      </c>
      <c r="L5" s="1007"/>
      <c r="M5" s="1008"/>
    </row>
    <row r="6" spans="1:37" ht="18" customHeight="1">
      <c r="A6" s="1005" t="s">
        <v>398</v>
      </c>
      <c r="B6" s="3443" t="s">
        <v>694</v>
      </c>
      <c r="C6" s="1010">
        <f ca="1">ROUND(F6*F8*F7*(1-F9)/10000,0)</f>
        <v>58</v>
      </c>
      <c r="D6" s="147" t="s">
        <v>2108</v>
      </c>
      <c r="E6" s="293" t="s">
        <v>696</v>
      </c>
      <c r="F6" s="294">
        <f ca="1">INDIRECT("'数据-取费表'!u"&amp;$G$1)</f>
        <v>1.6</v>
      </c>
      <c r="G6" s="1291"/>
      <c r="H6" s="1005" t="s">
        <v>398</v>
      </c>
      <c r="I6" s="3443" t="s">
        <v>694</v>
      </c>
      <c r="J6" s="292">
        <f ca="1">ROUND(M6*M8*M7*(1-M9)/10000,0)</f>
        <v>0</v>
      </c>
      <c r="K6" s="147" t="s">
        <v>2107</v>
      </c>
      <c r="L6" s="293" t="s">
        <v>696</v>
      </c>
      <c r="M6" s="294">
        <f ca="1">INDIRECT("'数据-取费表'!z"&amp;$G$1)</f>
        <v>0</v>
      </c>
    </row>
    <row r="7" spans="1:37" ht="18" customHeight="1">
      <c r="A7" s="1009"/>
      <c r="B7" s="3444"/>
      <c r="C7" s="1011"/>
      <c r="D7" s="298"/>
      <c r="E7" s="1012" t="s">
        <v>697</v>
      </c>
      <c r="F7" s="294">
        <f ca="1">IF(INDIRECT("'数据-取费表'!ah"&amp;$G$1)="",INDIRECT("'数据-取费表'!k"&amp;$G$1),INDIRECT("'数据-取费表'!ah"&amp;$G$1))</f>
        <v>1106.44</v>
      </c>
      <c r="G7" s="1291"/>
      <c r="H7" s="295"/>
      <c r="I7" s="3444"/>
      <c r="J7" s="297"/>
      <c r="K7" s="298"/>
      <c r="L7" s="293" t="s">
        <v>697</v>
      </c>
      <c r="M7" s="294">
        <f ca="1">F7</f>
        <v>1106.44</v>
      </c>
    </row>
    <row r="8" spans="1:37" ht="18" customHeight="1">
      <c r="A8" s="295"/>
      <c r="B8" s="3444"/>
      <c r="C8" s="297"/>
      <c r="D8" s="298"/>
      <c r="E8" s="293" t="s">
        <v>698</v>
      </c>
      <c r="F8" s="294">
        <f ca="1">INDIRECT("'数据-取费表'!ai"&amp;$G$1)</f>
        <v>365</v>
      </c>
      <c r="G8" s="1291"/>
      <c r="H8" s="295"/>
      <c r="I8" s="3444"/>
      <c r="J8" s="297"/>
      <c r="K8" s="298"/>
      <c r="L8" s="293" t="s">
        <v>698</v>
      </c>
      <c r="M8" s="294">
        <f ca="1">INDIRECT("'数据-取费表'!ai"&amp;$G$1)</f>
        <v>365</v>
      </c>
    </row>
    <row r="9" spans="1:37" ht="18" customHeight="1">
      <c r="A9" s="295"/>
      <c r="B9" s="3445"/>
      <c r="C9" s="297"/>
      <c r="D9" s="298"/>
      <c r="E9" s="293" t="s">
        <v>699</v>
      </c>
      <c r="F9" s="303">
        <f ca="1">INDIRECT("'数据-取费表'!w"&amp;$G$1)</f>
        <v>0.1</v>
      </c>
      <c r="G9" s="1291"/>
      <c r="H9" s="295"/>
      <c r="I9" s="344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50" t="s">
        <v>2116</v>
      </c>
      <c r="E10" s="304" t="s">
        <v>701</v>
      </c>
      <c r="F10" s="1052" t="s">
        <v>3409</v>
      </c>
      <c r="G10" s="1291"/>
      <c r="H10" s="1005" t="s">
        <v>402</v>
      </c>
      <c r="I10" s="1273" t="s">
        <v>700</v>
      </c>
      <c r="J10" s="292">
        <f ca="1">ROUND(IF(M10="押一",J6/12*M11,IF(M10="押二",J6/12*2*M11,IF(M10="押三",J6/12*3*M11,J11*M11))),0)</f>
        <v>0</v>
      </c>
      <c r="K10" s="150"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275</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277</v>
      </c>
      <c r="D14" s="1256" t="s">
        <v>708</v>
      </c>
      <c r="E14" s="1254"/>
      <c r="F14" s="310"/>
      <c r="G14" s="1291"/>
      <c r="H14" s="927" t="s">
        <v>398</v>
      </c>
      <c r="I14" s="293" t="s">
        <v>709</v>
      </c>
      <c r="J14" s="21">
        <f ca="1">C29</f>
        <v>382</v>
      </c>
      <c r="K14" s="12"/>
      <c r="L14" s="758"/>
      <c r="M14" s="759"/>
    </row>
    <row r="15" spans="1:37" s="1303" customFormat="1" ht="18" customHeight="1" thickBot="1">
      <c r="A15" s="927" t="s">
        <v>399</v>
      </c>
      <c r="B15" s="293" t="s">
        <v>710</v>
      </c>
      <c r="C15" s="21">
        <f ca="1">ROUND(C14*F15,0)</f>
        <v>17</v>
      </c>
      <c r="D15" s="311" t="s">
        <v>711</v>
      </c>
      <c r="E15" s="311" t="s">
        <v>712</v>
      </c>
      <c r="F15" s="312">
        <f>'数据-取费表'!B33</f>
        <v>0.06</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v>
      </c>
      <c r="K16" s="1023" t="s">
        <v>715</v>
      </c>
      <c r="L16" s="1024"/>
      <c r="M16" s="1008"/>
    </row>
    <row r="17" spans="1:37" s="1303" customFormat="1" ht="18" customHeight="1">
      <c r="A17" s="927" t="s">
        <v>681</v>
      </c>
      <c r="B17" s="293" t="s">
        <v>716</v>
      </c>
      <c r="C17" s="21">
        <f ca="1">ROUND(F17*(F43+INDIRECT("'数据-取费表'!S"&amp;$G$1))/10000,0)</f>
        <v>22</v>
      </c>
      <c r="D17" s="293" t="s">
        <v>717</v>
      </c>
      <c r="E17" s="293" t="s">
        <v>718</v>
      </c>
      <c r="F17" s="23">
        <f>'数据-取费表'!B35</f>
        <v>200</v>
      </c>
      <c r="G17" s="1302"/>
      <c r="H17" s="927" t="s">
        <v>398</v>
      </c>
      <c r="I17" s="293" t="s">
        <v>719</v>
      </c>
      <c r="J17" s="2139">
        <f ca="1">ROUND(IF(AND(项目基本情况!B11="自然人",项目基本情况!B10="北京市"),J6*M17/(1+'数据-取费表'!C42),J18+J19+J20),2)</f>
        <v>1.2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322</v>
      </c>
      <c r="D19" s="123"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10</v>
      </c>
      <c r="D20" s="314" t="s">
        <v>729</v>
      </c>
      <c r="E20" s="293" t="s">
        <v>712</v>
      </c>
      <c r="F20" s="313">
        <f>'数据-取费表'!B37</f>
        <v>0.03</v>
      </c>
      <c r="G20" s="1302"/>
      <c r="H20" s="927" t="s">
        <v>680</v>
      </c>
      <c r="I20" s="147" t="s">
        <v>730</v>
      </c>
      <c r="J20" s="22">
        <f ca="1">ROUND(M20*M21/10000,2)</f>
        <v>1.2</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8001.46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单利计息。建造成本、管理费用、销售费用产生的利息。</v>
      </c>
      <c r="E22" s="1268"/>
      <c r="F22" s="23"/>
      <c r="G22" s="1291"/>
      <c r="H22" s="927" t="s">
        <v>402</v>
      </c>
      <c r="I22" s="293" t="s">
        <v>738</v>
      </c>
      <c r="J22" s="21">
        <f ca="1">ROUND(J14*M22,2)</f>
        <v>1.1499999999999999</v>
      </c>
      <c r="K22" s="1255" t="s">
        <v>739</v>
      </c>
      <c r="L22" s="293" t="s">
        <v>712</v>
      </c>
      <c r="M22" s="319">
        <f ca="1">INDIRECT("'数据-取费表'!Ak"&amp;$G$1)</f>
        <v>3.0000000000000001E-3</v>
      </c>
    </row>
    <row r="23" spans="1:37" s="1303" customFormat="1" ht="18" customHeight="1">
      <c r="A23" s="927" t="s">
        <v>397</v>
      </c>
      <c r="B23" s="293" t="s">
        <v>740</v>
      </c>
      <c r="C23" s="21">
        <f ca="1">IF('数据-取费表'!B22&lt;=1,ROUND(C19*F24*F23/2,0)+ROUND(C20*F24*F23/2,0),ROUND(C19*(POWER((1+F24),F23/2)-1),0)+ROUND(C20*(POWER((1+F24),F23/2)-1),0))</f>
        <v>5</v>
      </c>
      <c r="D23" s="138"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8"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f ca="1">J5-J16</f>
        <v>-2</v>
      </c>
      <c r="K25" s="1031" t="s">
        <v>753</v>
      </c>
      <c r="L25" s="1032"/>
      <c r="M25" s="1033"/>
    </row>
    <row r="26" spans="1:37">
      <c r="A26" s="927" t="s">
        <v>397</v>
      </c>
      <c r="B26" s="293" t="s">
        <v>754</v>
      </c>
      <c r="C26" s="21">
        <f ca="1">ROUND((C19+C20)*F26,0)</f>
        <v>17</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382</v>
      </c>
      <c r="D29" s="1028"/>
      <c r="E29" s="1026"/>
      <c r="F29" s="1029"/>
      <c r="G29" s="1302"/>
      <c r="H29" s="324" t="s">
        <v>396</v>
      </c>
      <c r="I29" s="325" t="s">
        <v>768</v>
      </c>
      <c r="J29" s="326">
        <f ca="1">ROUND(J26/(1+F40)^F41,0)</f>
        <v>0</v>
      </c>
      <c r="K29" s="327" t="s">
        <v>769</v>
      </c>
      <c r="L29" s="328"/>
      <c r="M29" s="329">
        <f ca="1">INDIRECT("'数据-取费表'!k"&amp;$G$1)</f>
        <v>1106.44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ROUND(IF(AND(项目基本情况!B11="自然人",项目基本情况!B10="北京市"),C6*F31/(1+'数据-取费表'!C42),C32+C33+C34),2)</f>
        <v>10.87</v>
      </c>
      <c r="D31" s="1256" t="s">
        <v>720</v>
      </c>
      <c r="E31" s="1255" t="s">
        <v>770</v>
      </c>
      <c r="F31" s="2138" t="str">
        <f>IF(项目基本情况!B11="企业","——",IF(M47="住宅",IF(F6*F7*F8/12/(1+'数据-取费表'!F30)&gt;100000,4%,2.5%),IF(F6*F7*F8/12/(1+'数据-取费表'!F30)&gt;100000,12%,7%)))</f>
        <v>——</v>
      </c>
      <c r="G31" s="1291"/>
      <c r="H31" s="2566" t="s">
        <v>2296</v>
      </c>
      <c r="I31" s="1304"/>
      <c r="J31" s="1305"/>
      <c r="K31" s="121"/>
      <c r="L31" s="2468"/>
      <c r="M31" s="2469"/>
    </row>
    <row r="32" spans="1:37" ht="18" customHeight="1">
      <c r="A32" s="927" t="s">
        <v>397</v>
      </c>
      <c r="B32" s="293" t="s">
        <v>723</v>
      </c>
      <c r="C32" s="21">
        <f ca="1">IF(项目基本情况!B11="自然人","——",ROUND(C6*F32/(1+'数据-取费表'!C42),2))</f>
        <v>3.04</v>
      </c>
      <c r="D32" s="1255" t="s">
        <v>724</v>
      </c>
      <c r="E32" s="293" t="s">
        <v>712</v>
      </c>
      <c r="F32" s="321">
        <f>'数据-取费表'!B41</f>
        <v>5.5000000000000007E-2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6.63</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1.2</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8001.46</v>
      </c>
      <c r="G35" s="1291"/>
      <c r="H35" s="2467"/>
      <c r="I35" s="1304"/>
      <c r="J35" s="1305"/>
      <c r="K35" s="2471"/>
      <c r="L35" s="2470"/>
      <c r="M35" s="2470"/>
    </row>
    <row r="36" spans="1:18" ht="18" customHeight="1">
      <c r="A36" s="1038" t="s">
        <v>402</v>
      </c>
      <c r="B36" s="293" t="s">
        <v>738</v>
      </c>
      <c r="C36" s="21">
        <f ca="1">ROUND(C29*F36,2)</f>
        <v>1.1499999999999999</v>
      </c>
      <c r="D36" s="1255" t="s">
        <v>771</v>
      </c>
      <c r="E36" s="293" t="s">
        <v>712</v>
      </c>
      <c r="F36" s="319">
        <f ca="1">INDIRECT("'数据-取费表'!Ak"&amp;$G$1)</f>
        <v>3.0000000000000001E-3</v>
      </c>
      <c r="G36" s="1291"/>
      <c r="H36" s="2470"/>
      <c r="I36" s="1304"/>
      <c r="J36" s="1305"/>
      <c r="K36" s="2328"/>
      <c r="L36" s="2470"/>
      <c r="M36" s="2470"/>
    </row>
    <row r="37" spans="1:18" ht="18" customHeight="1">
      <c r="A37" s="927" t="s">
        <v>437</v>
      </c>
      <c r="B37" s="293" t="s">
        <v>742</v>
      </c>
      <c r="C37" s="21">
        <f ca="1">ROUND(C13*F37,2)</f>
        <v>0.28000000000000003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0.28999999999999998</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45</v>
      </c>
      <c r="D39" s="1031" t="s">
        <v>773</v>
      </c>
      <c r="E39" s="1032"/>
      <c r="F39" s="1033"/>
      <c r="G39" s="1291"/>
      <c r="H39" s="2470"/>
      <c r="I39" s="1304"/>
      <c r="J39" s="1305"/>
      <c r="K39" s="2468"/>
      <c r="L39" s="2470"/>
      <c r="M39" s="2470"/>
    </row>
    <row r="40" spans="1:18" ht="18" customHeight="1">
      <c r="A40" s="290" t="s">
        <v>395</v>
      </c>
      <c r="B40" s="291" t="s">
        <v>774</v>
      </c>
      <c r="C40" s="292">
        <f ca="1">ROUND(C39*(1-((1+F42)/(1+F40))^F41)/(F40-F42),0)</f>
        <v>825</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27.55</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ROUND(C40*10000/F43,0)</f>
        <v>7456</v>
      </c>
      <c r="D43" s="327" t="s">
        <v>777</v>
      </c>
      <c r="E43" s="328" t="s">
        <v>778</v>
      </c>
      <c r="F43" s="329">
        <f ca="1">INDIRECT("'数据-取费表'!k"&amp;$G$1)</f>
        <v>1106.44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-855</v>
      </c>
      <c r="D46" s="1312" t="str">
        <f>C2</f>
        <v>万元</v>
      </c>
      <c r="E46" s="1306"/>
      <c r="F46" s="1306"/>
      <c r="I46" s="1313" t="s">
        <v>810</v>
      </c>
      <c r="J46" s="1314"/>
      <c r="K46" s="1315"/>
      <c r="L46" s="1316">
        <f ca="1">IF(M47="住宅",0,IF(L48&gt;J51,L60,J60))</f>
        <v>24</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3410</v>
      </c>
      <c r="K47" s="1322" t="s">
        <v>816</v>
      </c>
      <c r="L47" s="1323">
        <f ca="1">INDIRECT("'数据-取费表'!d"&amp;$G$1)</f>
        <v>50</v>
      </c>
      <c r="M47" s="1287" t="str">
        <f>IF(ISNUMBER(FIND("住宅",C1)),"住宅","非住宅")</f>
        <v>非住宅</v>
      </c>
      <c r="O47" s="1324" t="s">
        <v>403</v>
      </c>
      <c r="P47" s="1325" t="s">
        <v>817</v>
      </c>
      <c r="Q47" s="1326">
        <f ca="1">C40+J29</f>
        <v>825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3411</v>
      </c>
      <c r="K48" s="1329" t="s">
        <v>820</v>
      </c>
      <c r="L48" s="1330">
        <f ca="1">INDIRECT("'数据-取费表'!f"&amp;$G$1)</f>
        <v>27.55</v>
      </c>
      <c r="O48" s="1324" t="s">
        <v>404</v>
      </c>
      <c r="P48" s="1325" t="s">
        <v>821</v>
      </c>
      <c r="Q48" s="1326">
        <f ca="1">J60</f>
        <v>24</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'数据-取费表'!N18</f>
        <v>2006</v>
      </c>
      <c r="K49" s="1329" t="s">
        <v>824</v>
      </c>
      <c r="L49" s="1332"/>
      <c r="O49" s="1333" t="s">
        <v>405</v>
      </c>
      <c r="P49" s="1325" t="s">
        <v>825</v>
      </c>
      <c r="Q49" s="1326">
        <f ca="1">C29</f>
        <v>382</v>
      </c>
      <c r="R49" s="1326" t="s">
        <v>818</v>
      </c>
    </row>
    <row r="50" spans="1:18" s="1291" customFormat="1" ht="13.8" thickBot="1">
      <c r="A50" s="921"/>
      <c r="B50" s="924"/>
      <c r="C50" s="1054"/>
      <c r="D50" s="898"/>
      <c r="E50" s="992" t="s">
        <v>697</v>
      </c>
      <c r="F50" s="993">
        <f ca="1">F7</f>
        <v>1106.44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41</v>
      </c>
      <c r="K51" s="1338" t="s">
        <v>830</v>
      </c>
      <c r="L51" s="1339">
        <f ca="1">ROUND(-PV(INDIRECT("'数据-取费表'!h"&amp;$G$1),J51,(C39-C13*C76),0),0)</f>
        <v>478</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27.55</v>
      </c>
      <c r="R52" s="1326" t="s">
        <v>835</v>
      </c>
    </row>
    <row r="53" spans="1:18" s="1291" customFormat="1" ht="36.6" thickBot="1">
      <c r="A53" s="1078" t="s">
        <v>440</v>
      </c>
      <c r="B53" s="1280" t="s">
        <v>700</v>
      </c>
      <c r="C53" s="307">
        <f ca="1">ROUND(IF(F53="押一",C49/12*F11,IF(F53="押二",C49/12*2*F11,IF(F53="押三",C49/12*3*F11,C54*F11))),0)</f>
        <v>0</v>
      </c>
      <c r="D53" s="150" t="s">
        <v>2115</v>
      </c>
      <c r="E53" s="304" t="s">
        <v>701</v>
      </c>
      <c r="F53" s="1052"/>
      <c r="I53" s="1343" t="s">
        <v>836</v>
      </c>
      <c r="J53" s="2005">
        <f ca="1">IF(M47="住宅",IF(D1="——",MAX(J51,L48),MAX(J51,L48-'数据-取费表'!B24)),IF(D1="——",MIN(J51,L48),MIN(J51,L48-'数据-取费表'!B24)))</f>
        <v>27.55</v>
      </c>
      <c r="K53" s="3441" t="s">
        <v>837</v>
      </c>
      <c r="L53" s="3442"/>
      <c r="O53" s="1324" t="s">
        <v>409</v>
      </c>
      <c r="P53" s="1325" t="s">
        <v>838</v>
      </c>
      <c r="Q53" s="1326">
        <f ca="1">Q47+Q48</f>
        <v>849</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0.224</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275</v>
      </c>
      <c r="D56" s="1351"/>
      <c r="E56" s="1352"/>
      <c r="F56" s="1344"/>
      <c r="I56" s="1353" t="s">
        <v>842</v>
      </c>
      <c r="J56" s="1354"/>
      <c r="K56" s="1327" t="s">
        <v>843</v>
      </c>
      <c r="L56" s="1330" t="str">
        <f ca="1">IF(L48&lt;J51,"——",L48-J53)</f>
        <v>——</v>
      </c>
      <c r="O56" s="1324" t="s">
        <v>403</v>
      </c>
      <c r="P56" s="1325" t="s">
        <v>817</v>
      </c>
      <c r="Q56" s="1326">
        <f ca="1">C40+J29</f>
        <v>825</v>
      </c>
      <c r="R56" s="1326" t="s">
        <v>818</v>
      </c>
    </row>
    <row r="57" spans="1:18" s="1291" customFormat="1" ht="24.6" thickBot="1">
      <c r="A57" s="1355"/>
      <c r="B57" s="895" t="s">
        <v>767</v>
      </c>
      <c r="C57" s="229">
        <f ca="1">C29</f>
        <v>382</v>
      </c>
      <c r="D57" s="1356"/>
      <c r="E57" s="1357"/>
      <c r="F57" s="1358"/>
      <c r="I57" s="1359" t="s">
        <v>844</v>
      </c>
      <c r="J57" s="1360">
        <f ca="1">IF(OR(M47="住宅",J51&lt;L48,J56="是"),"——",J51-L48)</f>
        <v>13.45</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153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1.2</v>
      </c>
      <c r="D62" s="910" t="s">
        <v>786</v>
      </c>
      <c r="E62" s="895" t="s">
        <v>787</v>
      </c>
      <c r="F62" s="316">
        <f t="shared" si="0"/>
        <v>1.5</v>
      </c>
      <c r="I62" s="1366" t="s">
        <v>858</v>
      </c>
      <c r="J62" s="609" t="s">
        <v>859</v>
      </c>
      <c r="K62" s="609" t="s">
        <v>860</v>
      </c>
      <c r="L62" s="609" t="s">
        <v>861</v>
      </c>
      <c r="M62" s="1367" t="s">
        <v>862</v>
      </c>
      <c r="O62" s="1324" t="s">
        <v>409</v>
      </c>
      <c r="P62" s="1325" t="s">
        <v>863</v>
      </c>
      <c r="Q62" s="1326">
        <f ca="1">Q56+Q57</f>
        <v>825</v>
      </c>
      <c r="R62" s="1326" t="s">
        <v>410</v>
      </c>
    </row>
    <row r="63" spans="1:18" s="1291" customFormat="1" ht="13.8" thickBot="1">
      <c r="A63" s="317"/>
      <c r="B63" s="901"/>
      <c r="C63" s="26"/>
      <c r="D63" s="911"/>
      <c r="E63" s="895" t="s">
        <v>788</v>
      </c>
      <c r="F63" s="294">
        <f t="shared" ca="1" si="0"/>
        <v>8001.46</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1.1499999999999999</v>
      </c>
      <c r="D64" s="909" t="s">
        <v>791</v>
      </c>
      <c r="E64" s="895" t="s">
        <v>783</v>
      </c>
      <c r="F64" s="319">
        <f t="shared" ca="1" si="0"/>
        <v>3.0000000000000001E-3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0.28000000000000003</v>
      </c>
      <c r="D65" s="909" t="s">
        <v>743</v>
      </c>
      <c r="E65" s="895" t="s">
        <v>744</v>
      </c>
      <c r="F65" s="320">
        <f t="shared" ca="1" si="0"/>
        <v>1E-3</v>
      </c>
      <c r="I65" s="1366" t="s">
        <v>867</v>
      </c>
      <c r="J65" s="609">
        <v>40</v>
      </c>
      <c r="K65" s="609">
        <v>30</v>
      </c>
      <c r="L65" s="609">
        <v>50</v>
      </c>
      <c r="M65" s="1368">
        <v>0.02</v>
      </c>
      <c r="O65" s="1324" t="s">
        <v>403</v>
      </c>
      <c r="P65" s="1325" t="s">
        <v>868</v>
      </c>
      <c r="Q65" s="1326">
        <f ca="1">C40+J29</f>
        <v>825</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-2</v>
      </c>
      <c r="D67" s="908" t="s">
        <v>753</v>
      </c>
      <c r="E67" s="913"/>
      <c r="F67" s="914"/>
      <c r="O67" s="1333" t="s">
        <v>405</v>
      </c>
      <c r="P67" s="1325" t="s">
        <v>850</v>
      </c>
      <c r="Q67" s="1369">
        <f ca="1">L51</f>
        <v>478</v>
      </c>
      <c r="R67" s="1326" t="s">
        <v>870</v>
      </c>
    </row>
    <row r="68" spans="1:18" s="1291" customFormat="1" ht="16.2" thickBot="1">
      <c r="A68" s="892" t="s">
        <v>395</v>
      </c>
      <c r="B68" s="893" t="s">
        <v>774</v>
      </c>
      <c r="C68" s="292">
        <f ca="1">ROUND(C67*(1-((1+F70)/(1+F68))^F69)/(F68-F70),0)</f>
        <v>-30</v>
      </c>
      <c r="D68" s="910" t="s">
        <v>758</v>
      </c>
      <c r="E68" s="895" t="s">
        <v>759</v>
      </c>
      <c r="F68" s="303">
        <f ca="1">F40</f>
        <v>0.05</v>
      </c>
      <c r="O68" s="1333" t="s">
        <v>406</v>
      </c>
      <c r="P68" s="1370" t="s">
        <v>871</v>
      </c>
      <c r="Q68" s="1326">
        <f ca="1">ROUND(Q69-Q70*Q71,0)</f>
        <v>26</v>
      </c>
      <c r="R68" s="1326" t="s">
        <v>414</v>
      </c>
    </row>
    <row r="69" spans="1:18" s="1291" customFormat="1" ht="13.8" thickBot="1">
      <c r="A69" s="896"/>
      <c r="B69" s="897"/>
      <c r="C69" s="297"/>
      <c r="D69" s="915" t="s">
        <v>762</v>
      </c>
      <c r="E69" s="895" t="s">
        <v>763</v>
      </c>
      <c r="F69" s="323">
        <f ca="1">F41</f>
        <v>27.55</v>
      </c>
      <c r="O69" s="1333" t="s">
        <v>411</v>
      </c>
      <c r="P69" s="1370" t="s">
        <v>872</v>
      </c>
      <c r="Q69" s="1326">
        <f ca="1">C39</f>
        <v>45</v>
      </c>
      <c r="R69" s="1326" t="s">
        <v>818</v>
      </c>
    </row>
    <row r="70" spans="1:18" s="1291" customFormat="1" ht="13.8" thickBot="1">
      <c r="A70" s="899"/>
      <c r="B70" s="900"/>
      <c r="C70" s="301"/>
      <c r="D70" s="911"/>
      <c r="E70" s="895" t="s">
        <v>766</v>
      </c>
      <c r="F70" s="990"/>
      <c r="O70" s="1333" t="s">
        <v>412</v>
      </c>
      <c r="P70" s="1370" t="s">
        <v>873</v>
      </c>
      <c r="Q70" s="1326">
        <f ca="1">C13</f>
        <v>275</v>
      </c>
      <c r="R70" s="1326" t="s">
        <v>818</v>
      </c>
    </row>
    <row r="71" spans="1:18" s="1291" customFormat="1" ht="13.8" thickBot="1">
      <c r="A71" s="916" t="s">
        <v>396</v>
      </c>
      <c r="B71" s="917" t="s">
        <v>776</v>
      </c>
      <c r="C71" s="326">
        <f ca="1">ROUND(C68*10000/F71,0)</f>
        <v>-271</v>
      </c>
      <c r="D71" s="918" t="s">
        <v>777</v>
      </c>
      <c r="E71" s="919" t="s">
        <v>778</v>
      </c>
      <c r="F71" s="329">
        <f ca="1">F43</f>
        <v>1106.44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19</v>
      </c>
      <c r="D75" s="1291"/>
      <c r="E75" s="1291"/>
      <c r="F75" s="1291"/>
      <c r="K75" s="1308"/>
      <c r="L75" s="1291"/>
      <c r="O75" s="1324" t="s">
        <v>409</v>
      </c>
      <c r="P75" s="1325" t="s">
        <v>838</v>
      </c>
      <c r="Q75" s="1326">
        <f ca="1">Q65+Q66</f>
        <v>825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0.57800000000000007</v>
      </c>
    </row>
    <row r="80" spans="1:18">
      <c r="B80" s="330" t="s">
        <v>800</v>
      </c>
      <c r="C80" s="265">
        <f ca="1">ROUND(C75/C39,3)</f>
        <v>0.42199999999999999</v>
      </c>
    </row>
    <row r="81" spans="2:3">
      <c r="B81" s="261" t="s">
        <v>801</v>
      </c>
      <c r="C81" s="229"/>
    </row>
    <row r="82" spans="2:3">
      <c r="B82" s="264" t="s">
        <v>802</v>
      </c>
      <c r="C82" s="266">
        <f ca="1">1-C83</f>
        <v>0.66700000000000004</v>
      </c>
    </row>
    <row r="83" spans="2:3">
      <c r="B83" s="264" t="s">
        <v>803</v>
      </c>
      <c r="C83" s="265">
        <f ca="1">ROUND(C13/C40,3)</f>
        <v>0.33300000000000002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9" priority="3">
      <formula>$F$10="自定义"</formula>
    </cfRule>
  </conditionalFormatting>
  <conditionalFormatting sqref="C54">
    <cfRule type="expression" dxfId="108" priority="1">
      <formula>$F$53="自定义"</formula>
    </cfRule>
  </conditionalFormatting>
  <conditionalFormatting sqref="I55 I60">
    <cfRule type="expression" dxfId="107" priority="57">
      <formula>$J$51&gt;$L$48</formula>
    </cfRule>
  </conditionalFormatting>
  <conditionalFormatting sqref="J11">
    <cfRule type="expression" dxfId="106" priority="2">
      <formula>$M$10="自定义"</formula>
    </cfRule>
  </conditionalFormatting>
  <conditionalFormatting sqref="K55 K60">
    <cfRule type="expression" dxfId="10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2" customHeight="1">
      <c r="A2" s="1292" t="s">
        <v>2305</v>
      </c>
      <c r="B2" s="2591" t="e">
        <f>IF(D2="——",C40,C40+E2)</f>
        <v>#DIV/0!</v>
      </c>
      <c r="C2" s="2592" t="s">
        <v>2306</v>
      </c>
      <c r="D2" s="3135" t="s">
        <v>3346</v>
      </c>
      <c r="E2" s="3136"/>
      <c r="F2" s="2594"/>
      <c r="G2" s="2595"/>
      <c r="H2" s="2596"/>
      <c r="I2" s="2597"/>
      <c r="J2" s="3452" t="s">
        <v>2307</v>
      </c>
      <c r="K2" s="3453"/>
      <c r="L2" s="2598" t="s">
        <v>2308</v>
      </c>
      <c r="M2" s="2598" t="s">
        <v>2309</v>
      </c>
      <c r="N2" s="2598" t="s">
        <v>2310</v>
      </c>
      <c r="O2" s="2598" t="s">
        <v>2311</v>
      </c>
      <c r="P2" s="2598" t="s">
        <v>2312</v>
      </c>
      <c r="Q2" s="2599" t="s">
        <v>2313</v>
      </c>
      <c r="R2" s="2600" t="s">
        <v>2314</v>
      </c>
      <c r="S2" s="2589"/>
      <c r="T2" s="2589"/>
      <c r="U2" s="2589"/>
      <c r="V2" s="2597"/>
    </row>
    <row r="3" spans="1:22" s="2601" customFormat="1" ht="13.2" customHeight="1">
      <c r="A3" s="2602" t="s">
        <v>2315</v>
      </c>
      <c r="B3" s="2603" t="e">
        <f>ROUND(B2*10000/B4,0)</f>
        <v>#DIV/0!</v>
      </c>
      <c r="C3" s="2592" t="s">
        <v>2316</v>
      </c>
      <c r="D3" s="2592"/>
      <c r="E3" s="2593"/>
      <c r="F3" s="2594"/>
      <c r="G3" s="2595"/>
      <c r="H3" s="2596"/>
      <c r="I3" s="2597"/>
      <c r="J3" s="3454" t="s">
        <v>2317</v>
      </c>
      <c r="K3" s="3455"/>
      <c r="L3" s="2604"/>
      <c r="M3" s="2604"/>
      <c r="N3" s="2604"/>
      <c r="O3" s="2604"/>
      <c r="P3" s="2604"/>
      <c r="Q3" s="2605"/>
      <c r="R3" s="2606">
        <f>SUM(L3:Q3)</f>
        <v>0</v>
      </c>
      <c r="S3" s="2589"/>
      <c r="T3" s="2589"/>
      <c r="U3" s="2589"/>
      <c r="V3" s="2597"/>
    </row>
    <row r="4" spans="1:22" s="2601" customFormat="1" ht="13.2" customHeight="1">
      <c r="A4" s="2607" t="s">
        <v>2318</v>
      </c>
      <c r="B4" s="2608"/>
      <c r="C4" s="2592"/>
      <c r="D4" s="2592"/>
      <c r="E4" s="2593"/>
      <c r="F4" s="2594"/>
      <c r="G4" s="2595"/>
      <c r="H4" s="2596"/>
      <c r="I4" s="2597"/>
      <c r="J4" s="3454" t="s">
        <v>2319</v>
      </c>
      <c r="K4" s="3455"/>
      <c r="L4" s="2609"/>
      <c r="M4" s="2609"/>
      <c r="N4" s="2609"/>
      <c r="O4" s="2609"/>
      <c r="P4" s="2609"/>
      <c r="Q4" s="2610"/>
      <c r="R4" s="2611">
        <f>SUM(L4:Q4)</f>
        <v>0</v>
      </c>
      <c r="S4" s="2589"/>
      <c r="T4" s="2589"/>
      <c r="U4" s="2589"/>
      <c r="V4" s="2597"/>
    </row>
    <row r="5" spans="1:22" s="2601" customFormat="1" ht="13.2"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2" customHeight="1" thickBot="1">
      <c r="A6" s="3460" t="s">
        <v>2323</v>
      </c>
      <c r="B6" s="3461"/>
      <c r="C6" s="3462"/>
      <c r="D6" s="2618"/>
      <c r="E6" s="2619"/>
      <c r="F6" s="2620"/>
      <c r="G6" s="2621"/>
      <c r="H6" s="2596"/>
      <c r="I6" s="2597"/>
      <c r="J6" s="3446">
        <v>1</v>
      </c>
      <c r="K6" s="3447"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2" customHeight="1">
      <c r="A7" s="2624" t="s">
        <v>2333</v>
      </c>
      <c r="B7" s="2625"/>
      <c r="C7" s="2626"/>
      <c r="D7" s="2627">
        <f>SUM(D9,D10,D11,D17,0)</f>
        <v>0</v>
      </c>
      <c r="E7" s="2628" t="e">
        <f>E9+E10+E11+E17</f>
        <v>#DIV/0!</v>
      </c>
      <c r="F7" s="2629"/>
      <c r="G7" s="2630"/>
      <c r="H7" s="2596"/>
      <c r="I7" s="2597"/>
      <c r="J7" s="3446"/>
      <c r="K7" s="3448"/>
      <c r="L7" s="2631" t="s">
        <v>2334</v>
      </c>
      <c r="M7" s="2632"/>
      <c r="N7" s="2608"/>
      <c r="O7" s="2633"/>
      <c r="P7" s="2633"/>
      <c r="Q7" s="2634">
        <v>365</v>
      </c>
      <c r="R7" s="2635">
        <f>ROUND(M7*N7*O7*P7*Q7/10000,0)</f>
        <v>0</v>
      </c>
      <c r="S7" s="2589"/>
      <c r="T7" s="2589" t="s">
        <v>2335</v>
      </c>
      <c r="U7" s="2589"/>
      <c r="V7" s="2597"/>
    </row>
    <row r="8" spans="1:22" s="2601" customFormat="1" ht="13.2" customHeight="1">
      <c r="A8" s="2636" t="s">
        <v>2336</v>
      </c>
      <c r="B8" s="3463" t="s">
        <v>2337</v>
      </c>
      <c r="C8" s="3464"/>
      <c r="D8" s="2637" t="s">
        <v>2338</v>
      </c>
      <c r="E8" s="2638" t="s">
        <v>2339</v>
      </c>
      <c r="F8" s="2639" t="s">
        <v>2340</v>
      </c>
      <c r="G8" s="2640"/>
      <c r="H8" s="2596"/>
      <c r="I8" s="2597"/>
      <c r="J8" s="3446"/>
      <c r="K8" s="3448"/>
      <c r="L8" s="2631" t="s">
        <v>2341</v>
      </c>
      <c r="M8" s="2632"/>
      <c r="N8" s="2608"/>
      <c r="O8" s="2633"/>
      <c r="P8" s="2633"/>
      <c r="Q8" s="2634">
        <v>365</v>
      </c>
      <c r="R8" s="2635">
        <f t="shared" ref="R8:R13" si="0">ROUND(M8*N8*O8*P8*Q8/10000,0)</f>
        <v>0</v>
      </c>
      <c r="S8" s="2589"/>
      <c r="T8" s="2589" t="s">
        <v>2342</v>
      </c>
      <c r="U8" s="2589"/>
      <c r="V8" s="2597"/>
    </row>
    <row r="9" spans="1:22" s="2601" customFormat="1" ht="13.2" customHeight="1">
      <c r="A9" s="2636">
        <v>1</v>
      </c>
      <c r="B9" s="3463" t="s">
        <v>2343</v>
      </c>
      <c r="C9" s="3464"/>
      <c r="D9" s="2637">
        <f>ROUND(D6*E9,0)</f>
        <v>0</v>
      </c>
      <c r="E9" s="2641"/>
      <c r="F9" s="2642" t="s">
        <v>2344</v>
      </c>
      <c r="G9" s="2621"/>
      <c r="H9" s="2596"/>
      <c r="I9" s="2597"/>
      <c r="J9" s="3446"/>
      <c r="K9" s="3448"/>
      <c r="L9" s="2631" t="s">
        <v>2345</v>
      </c>
      <c r="M9" s="2632"/>
      <c r="N9" s="2608"/>
      <c r="O9" s="2633"/>
      <c r="P9" s="2633"/>
      <c r="Q9" s="2634">
        <v>365</v>
      </c>
      <c r="R9" s="2635">
        <f t="shared" si="0"/>
        <v>0</v>
      </c>
      <c r="S9" s="2589"/>
      <c r="T9" s="2589"/>
      <c r="U9" s="2589"/>
      <c r="V9" s="2597"/>
    </row>
    <row r="10" spans="1:22" s="2601" customFormat="1" ht="13.2" customHeight="1">
      <c r="A10" s="2636">
        <v>2</v>
      </c>
      <c r="B10" s="3463" t="s">
        <v>2346</v>
      </c>
      <c r="C10" s="3464"/>
      <c r="D10" s="2637">
        <f>ROUND(D6*E10,0)</f>
        <v>0</v>
      </c>
      <c r="E10" s="2641"/>
      <c r="F10" s="2642" t="s">
        <v>2347</v>
      </c>
      <c r="G10" s="2621"/>
      <c r="H10" s="2596"/>
      <c r="I10" s="2597"/>
      <c r="J10" s="3446"/>
      <c r="K10" s="3448"/>
      <c r="L10" s="2631" t="s">
        <v>2348</v>
      </c>
      <c r="M10" s="2632"/>
      <c r="N10" s="2608"/>
      <c r="O10" s="2633"/>
      <c r="P10" s="2633"/>
      <c r="Q10" s="2634">
        <v>365</v>
      </c>
      <c r="R10" s="2635">
        <f t="shared" si="0"/>
        <v>0</v>
      </c>
      <c r="S10" s="2589"/>
      <c r="T10" s="2589"/>
      <c r="U10" s="2589"/>
      <c r="V10" s="2597"/>
    </row>
    <row r="11" spans="1:22" s="2601" customFormat="1" ht="13.2" customHeight="1">
      <c r="A11" s="2636">
        <v>3</v>
      </c>
      <c r="B11" s="3463" t="s">
        <v>2349</v>
      </c>
      <c r="C11" s="3464"/>
      <c r="D11" s="2637">
        <f>D12+D14+D15+D16</f>
        <v>0</v>
      </c>
      <c r="E11" s="2643" t="e">
        <f>D11/D6</f>
        <v>#DIV/0!</v>
      </c>
      <c r="F11" s="2639"/>
      <c r="G11" s="2640"/>
      <c r="H11" s="2596"/>
      <c r="I11" s="2597"/>
      <c r="J11" s="3446"/>
      <c r="K11" s="3448"/>
      <c r="L11" s="2631" t="s">
        <v>2350</v>
      </c>
      <c r="M11" s="2632"/>
      <c r="N11" s="2608"/>
      <c r="O11" s="2633"/>
      <c r="P11" s="2633"/>
      <c r="Q11" s="2634">
        <v>365</v>
      </c>
      <c r="R11" s="2635">
        <f t="shared" si="0"/>
        <v>0</v>
      </c>
      <c r="S11" s="2589"/>
      <c r="T11" s="2589"/>
      <c r="U11" s="2589"/>
      <c r="V11" s="2597"/>
    </row>
    <row r="12" spans="1:22" s="2601" customFormat="1" ht="13.2" customHeight="1">
      <c r="A12" s="2644" t="s">
        <v>2351</v>
      </c>
      <c r="B12" s="3456" t="s">
        <v>2352</v>
      </c>
      <c r="C12" s="3457"/>
      <c r="D12" s="2645">
        <f>ROUND(D13*1.2%*(1-30%),0)</f>
        <v>0</v>
      </c>
      <c r="E12" s="2646">
        <v>1.2E-2</v>
      </c>
      <c r="F12" s="2639" t="s">
        <v>2353</v>
      </c>
      <c r="G12" s="2640"/>
      <c r="H12" s="2596"/>
      <c r="I12" s="2597"/>
      <c r="J12" s="3446"/>
      <c r="K12" s="3448"/>
      <c r="L12" s="2631" t="s">
        <v>2354</v>
      </c>
      <c r="M12" s="2632"/>
      <c r="N12" s="2608"/>
      <c r="O12" s="2633"/>
      <c r="P12" s="2633"/>
      <c r="Q12" s="2634">
        <v>365</v>
      </c>
      <c r="R12" s="2635">
        <f t="shared" si="0"/>
        <v>0</v>
      </c>
      <c r="S12" s="2589"/>
      <c r="T12" s="2589"/>
      <c r="U12" s="2589"/>
      <c r="V12" s="2597"/>
    </row>
    <row r="13" spans="1:22" s="2601" customFormat="1" ht="13.2" customHeight="1">
      <c r="A13" s="2644"/>
      <c r="B13" s="2647"/>
      <c r="C13" s="2648" t="s">
        <v>2355</v>
      </c>
      <c r="D13" s="2649"/>
      <c r="E13" s="2650"/>
      <c r="F13" s="2639"/>
      <c r="G13" s="2640"/>
      <c r="H13" s="2596"/>
      <c r="I13" s="2597"/>
      <c r="J13" s="3446"/>
      <c r="K13" s="3448"/>
      <c r="L13" s="2631" t="s">
        <v>2356</v>
      </c>
      <c r="M13" s="2632"/>
      <c r="N13" s="2608"/>
      <c r="O13" s="2633"/>
      <c r="P13" s="2633"/>
      <c r="Q13" s="2634">
        <v>365</v>
      </c>
      <c r="R13" s="2635">
        <f t="shared" si="0"/>
        <v>0</v>
      </c>
      <c r="S13" s="2589"/>
      <c r="T13" s="2589"/>
      <c r="U13" s="2589"/>
      <c r="V13" s="2597"/>
    </row>
    <row r="14" spans="1:22" s="2601" customFormat="1" ht="13.2" customHeight="1">
      <c r="A14" s="2644" t="s">
        <v>2357</v>
      </c>
      <c r="B14" s="3456" t="s">
        <v>2358</v>
      </c>
      <c r="C14" s="3457"/>
      <c r="D14" s="2645">
        <f>ROUND(E14*B5/10000,0)</f>
        <v>0</v>
      </c>
      <c r="E14" s="2634"/>
      <c r="F14" s="2639" t="s">
        <v>2359</v>
      </c>
      <c r="G14" s="2640"/>
      <c r="H14" s="2596"/>
      <c r="I14" s="2597"/>
      <c r="J14" s="3446"/>
      <c r="K14" s="3449"/>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2361</v>
      </c>
      <c r="B15" s="3456" t="s">
        <v>2362</v>
      </c>
      <c r="C15" s="3457"/>
      <c r="D15" s="2645">
        <f>ROUND(D6*E15,0)</f>
        <v>0</v>
      </c>
      <c r="E15" s="2646">
        <v>5.5E-2</v>
      </c>
      <c r="F15" s="2639" t="s">
        <v>2363</v>
      </c>
      <c r="G15" s="2621"/>
      <c r="H15" s="2596"/>
      <c r="I15" s="2597"/>
      <c r="J15" s="3446">
        <v>2</v>
      </c>
      <c r="K15" s="3447"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2" customHeight="1">
      <c r="A16" s="2644" t="s">
        <v>2370</v>
      </c>
      <c r="B16" s="3456" t="s">
        <v>2371</v>
      </c>
      <c r="C16" s="3457"/>
      <c r="D16" s="2656">
        <f>D6*E16</f>
        <v>0</v>
      </c>
      <c r="E16" s="2657"/>
      <c r="F16" s="2642" t="s">
        <v>2372</v>
      </c>
      <c r="G16" s="2621"/>
      <c r="H16" s="2596"/>
      <c r="I16" s="2597"/>
      <c r="J16" s="3446"/>
      <c r="K16" s="3448"/>
      <c r="L16" s="2631" t="s">
        <v>2373</v>
      </c>
      <c r="M16" s="2632"/>
      <c r="N16" s="2632"/>
      <c r="O16" s="2633"/>
      <c r="P16" s="2634">
        <v>365</v>
      </c>
      <c r="Q16" s="2608"/>
      <c r="R16" s="2655">
        <f>ROUND(M16*N16*O16*P16/10000,0)</f>
        <v>0</v>
      </c>
      <c r="S16" s="2589"/>
      <c r="T16" s="2589"/>
      <c r="U16" s="2589"/>
      <c r="V16" s="2597"/>
    </row>
    <row r="17" spans="1:22" s="2601" customFormat="1" ht="13.2" customHeight="1" thickBot="1">
      <c r="A17" s="2658">
        <v>4</v>
      </c>
      <c r="B17" s="3458" t="s">
        <v>2374</v>
      </c>
      <c r="C17" s="3459"/>
      <c r="D17" s="2659">
        <f>ROUND(D6*E17,0)</f>
        <v>0</v>
      </c>
      <c r="E17" s="2660"/>
      <c r="F17" s="2661" t="s">
        <v>2375</v>
      </c>
      <c r="G17" s="2621"/>
      <c r="H17" s="2596"/>
      <c r="I17" s="2597"/>
      <c r="J17" s="3446"/>
      <c r="K17" s="3448"/>
      <c r="L17" s="2631" t="s">
        <v>2376</v>
      </c>
      <c r="M17" s="2632"/>
      <c r="N17" s="2632"/>
      <c r="O17" s="2633"/>
      <c r="P17" s="2634">
        <v>365</v>
      </c>
      <c r="Q17" s="2608"/>
      <c r="R17" s="2655">
        <f>ROUND(M17*N17*O17*P17/10000,0)</f>
        <v>0</v>
      </c>
      <c r="S17" s="2589"/>
      <c r="T17" s="2589"/>
      <c r="U17" s="2589"/>
      <c r="V17" s="2597"/>
    </row>
    <row r="18" spans="1:22" s="2601" customFormat="1" ht="13.2" customHeight="1" thickBot="1">
      <c r="A18" s="2624" t="s">
        <v>2377</v>
      </c>
      <c r="B18" s="2625"/>
      <c r="C18" s="2625"/>
      <c r="D18" s="2662">
        <f>ROUND(D6*E18,0)</f>
        <v>0</v>
      </c>
      <c r="E18" s="2663"/>
      <c r="F18" s="2664" t="s">
        <v>2378</v>
      </c>
      <c r="G18" s="2621"/>
      <c r="H18" s="2596"/>
      <c r="I18" s="2597"/>
      <c r="J18" s="3446"/>
      <c r="K18" s="3448"/>
      <c r="L18" s="2631" t="s">
        <v>2379</v>
      </c>
      <c r="M18" s="2632"/>
      <c r="N18" s="2632"/>
      <c r="O18" s="2633"/>
      <c r="P18" s="2634">
        <v>365</v>
      </c>
      <c r="Q18" s="2608"/>
      <c r="R18" s="2655">
        <f>ROUND(M18*N18*O18*P18/10000,0)</f>
        <v>0</v>
      </c>
      <c r="S18" s="2589"/>
      <c r="T18" s="2589"/>
      <c r="U18" s="2589"/>
      <c r="V18" s="2597"/>
    </row>
    <row r="19" spans="1:22" s="2601" customFormat="1" ht="13.2" customHeight="1" thickBot="1">
      <c r="A19" s="2665" t="s">
        <v>2380</v>
      </c>
      <c r="B19" s="2619"/>
      <c r="C19" s="2619"/>
      <c r="D19" s="2619"/>
      <c r="E19" s="2619"/>
      <c r="F19" s="2620"/>
      <c r="G19" s="2640"/>
      <c r="H19" s="2596"/>
      <c r="I19" s="2597"/>
      <c r="J19" s="3446"/>
      <c r="K19" s="3449"/>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6">
        <v>3</v>
      </c>
      <c r="K20" s="3447"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2" customHeight="1">
      <c r="A21" s="2624"/>
      <c r="B21" s="2625"/>
      <c r="C21" s="2670" t="s">
        <v>2389</v>
      </c>
      <c r="D21" s="2671" t="s">
        <v>2390</v>
      </c>
      <c r="E21" s="2672" t="s">
        <v>2391</v>
      </c>
      <c r="F21" s="2668"/>
      <c r="G21" s="2640"/>
      <c r="H21" s="2596"/>
      <c r="I21" s="2597"/>
      <c r="J21" s="3446"/>
      <c r="K21" s="3448"/>
      <c r="L21" s="2631" t="s">
        <v>2392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2393</v>
      </c>
      <c r="D22" s="2675" t="s">
        <v>2394</v>
      </c>
      <c r="E22" s="2676" t="s">
        <v>2395</v>
      </c>
      <c r="F22" s="2668"/>
      <c r="G22" s="2589"/>
      <c r="H22" s="2596"/>
      <c r="I22" s="2597"/>
      <c r="J22" s="3446"/>
      <c r="K22" s="3448"/>
      <c r="L22" s="2631" t="s">
        <v>2396</v>
      </c>
      <c r="M22" s="2632"/>
      <c r="N22" s="2632"/>
      <c r="O22" s="2633"/>
      <c r="P22" s="2634">
        <v>365</v>
      </c>
      <c r="Q22" s="2608"/>
      <c r="R22" s="2673">
        <f>ROUND(M22*N22*O22*P22/10000,0)</f>
        <v>0</v>
      </c>
      <c r="S22" s="2589"/>
      <c r="T22" s="2589"/>
      <c r="U22" s="2589"/>
      <c r="V22" s="2597"/>
    </row>
    <row r="23" spans="1:22" s="2601" customFormat="1" ht="13.2" customHeight="1">
      <c r="A23" s="2677">
        <v>1</v>
      </c>
      <c r="B23" s="2678" t="s">
        <v>2397</v>
      </c>
      <c r="C23" s="2679">
        <f>D6</f>
        <v>0</v>
      </c>
      <c r="D23" s="2680">
        <f>C23*(1+D24)</f>
        <v>0</v>
      </c>
      <c r="E23" s="2681">
        <f>D23*(1+E24)</f>
        <v>0</v>
      </c>
      <c r="F23" s="2682"/>
      <c r="G23" s="2683"/>
      <c r="H23" s="2596"/>
      <c r="I23" s="2597"/>
      <c r="J23" s="3446"/>
      <c r="K23" s="3448"/>
      <c r="L23" s="2631" t="s">
        <v>2398</v>
      </c>
      <c r="M23" s="2632"/>
      <c r="N23" s="2632"/>
      <c r="O23" s="2633"/>
      <c r="P23" s="2634">
        <v>365</v>
      </c>
      <c r="Q23" s="2608"/>
      <c r="R23" s="2673">
        <f>ROUND(M23*N23*O23*P23/10000,0)</f>
        <v>0</v>
      </c>
      <c r="S23" s="2589"/>
      <c r="T23" s="2589"/>
      <c r="U23" s="2589"/>
      <c r="V23" s="2597"/>
    </row>
    <row r="24" spans="1:22" s="2601" customFormat="1" ht="13.2" customHeight="1">
      <c r="A24" s="2684"/>
      <c r="B24" s="2685" t="s">
        <v>2399</v>
      </c>
      <c r="C24" s="2686"/>
      <c r="D24" s="2687"/>
      <c r="E24" s="2688"/>
      <c r="F24" s="2689"/>
      <c r="G24" s="2683"/>
      <c r="H24" s="2596"/>
      <c r="I24" s="2597"/>
      <c r="J24" s="3446"/>
      <c r="K24" s="3449"/>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2" customHeight="1">
      <c r="A26" s="2677">
        <v>2</v>
      </c>
      <c r="B26" s="2678" t="s">
        <v>2401</v>
      </c>
      <c r="C26" s="2679">
        <f>D7</f>
        <v>0</v>
      </c>
      <c r="D26" s="2680">
        <f>D23*D27</f>
        <v>0</v>
      </c>
      <c r="E26" s="2681">
        <f>E23*E27</f>
        <v>0</v>
      </c>
      <c r="F26" s="2682"/>
      <c r="G26" s="2683"/>
      <c r="H26" s="2596"/>
      <c r="I26" s="2597"/>
      <c r="J26" s="3450">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2" customHeight="1">
      <c r="A27" s="2684"/>
      <c r="B27" s="2685" t="s">
        <v>2407</v>
      </c>
      <c r="C27" s="2702" t="e">
        <f>E7</f>
        <v>#DIV/0!</v>
      </c>
      <c r="D27" s="2687"/>
      <c r="E27" s="2688"/>
      <c r="F27" s="2689"/>
      <c r="G27" s="2683"/>
      <c r="H27" s="2703"/>
      <c r="I27" s="2695"/>
      <c r="J27" s="3451"/>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2"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2" customHeight="1">
      <c r="A32" s="2677">
        <v>4</v>
      </c>
      <c r="B32" s="2678" t="s">
        <v>2415</v>
      </c>
      <c r="C32" s="2679">
        <f>C23-C26-C29</f>
        <v>0</v>
      </c>
      <c r="D32" s="2680">
        <f>D23-D26-D29</f>
        <v>0</v>
      </c>
      <c r="E32" s="2681">
        <f>E23-E26-E29</f>
        <v>0</v>
      </c>
      <c r="F32" s="2682"/>
      <c r="G32" s="2589"/>
      <c r="H32" s="2596"/>
      <c r="I32" s="2597"/>
      <c r="J32" s="3452" t="s">
        <v>2307</v>
      </c>
      <c r="K32" s="3453"/>
      <c r="L32" s="2598" t="s">
        <v>2308</v>
      </c>
      <c r="M32" s="2598" t="s">
        <v>2309</v>
      </c>
      <c r="N32" s="2598" t="s">
        <v>2310</v>
      </c>
      <c r="O32" s="2598" t="s">
        <v>2311</v>
      </c>
      <c r="P32" s="2598" t="s">
        <v>2312</v>
      </c>
      <c r="Q32" s="2599" t="s">
        <v>2313</v>
      </c>
      <c r="R32" s="2718" t="s">
        <v>2314</v>
      </c>
      <c r="S32" s="2589"/>
      <c r="T32" s="2589"/>
      <c r="U32" s="2589"/>
      <c r="V32" s="2695"/>
    </row>
    <row r="33" spans="1:23" s="2601" customFormat="1" ht="13.2" customHeight="1">
      <c r="A33" s="2677"/>
      <c r="B33" s="2678"/>
      <c r="C33" s="2679"/>
      <c r="D33" s="2719"/>
      <c r="E33" s="2720"/>
      <c r="F33" s="2682"/>
      <c r="G33" s="2589"/>
      <c r="H33" s="2703"/>
      <c r="I33" s="2695"/>
      <c r="J33" s="3454" t="s">
        <v>2317</v>
      </c>
      <c r="K33" s="3455"/>
      <c r="L33" s="2604"/>
      <c r="M33" s="2604"/>
      <c r="N33" s="2604"/>
      <c r="O33" s="2604"/>
      <c r="P33" s="2604"/>
      <c r="Q33" s="2605"/>
      <c r="R33" s="2721">
        <f>SUM(L33:Q33)</f>
        <v>0</v>
      </c>
      <c r="S33" s="2589"/>
      <c r="T33" s="2589"/>
      <c r="U33" s="2589"/>
      <c r="V33" s="2597"/>
    </row>
    <row r="34" spans="1:23" s="2601" customFormat="1" ht="13.2" customHeight="1">
      <c r="A34" s="2677">
        <v>5</v>
      </c>
      <c r="B34" s="2678" t="s">
        <v>2416</v>
      </c>
      <c r="C34" s="2722"/>
      <c r="D34" s="2723"/>
      <c r="E34" s="2724"/>
      <c r="F34" s="2682"/>
      <c r="G34" s="2589"/>
      <c r="H34" s="2703"/>
      <c r="I34" s="2695"/>
      <c r="J34" s="3454" t="s">
        <v>2319</v>
      </c>
      <c r="K34" s="3455"/>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2" customHeight="1" thickBot="1">
      <c r="A36" s="2677">
        <v>7</v>
      </c>
      <c r="B36" s="2731" t="s">
        <v>2418</v>
      </c>
      <c r="C36" s="2732"/>
      <c r="D36" s="2733"/>
      <c r="E36" s="2734"/>
      <c r="F36" s="2735">
        <f>C36+D36+E36</f>
        <v>0</v>
      </c>
      <c r="G36" s="2589"/>
      <c r="H36" s="2596"/>
      <c r="I36" s="2597"/>
      <c r="J36" s="3446">
        <v>1</v>
      </c>
      <c r="K36" s="3447" t="s">
        <v>2419</v>
      </c>
      <c r="L36" s="2622"/>
      <c r="M36" s="2623"/>
      <c r="N36" s="2623"/>
      <c r="O36" s="2623"/>
      <c r="P36" s="2623"/>
      <c r="Q36" s="2623"/>
      <c r="R36" s="2606" t="s">
        <v>2331</v>
      </c>
      <c r="S36" s="2589"/>
      <c r="T36" s="2589" t="s">
        <v>2332</v>
      </c>
      <c r="U36" s="2589"/>
      <c r="V36" s="2597"/>
    </row>
    <row r="37" spans="1:23" s="2601" customFormat="1" ht="13.2" customHeight="1">
      <c r="A37" s="2677"/>
      <c r="B37" s="2678"/>
      <c r="C37" s="2678"/>
      <c r="D37" s="2678"/>
      <c r="E37" s="2678"/>
      <c r="F37" s="2682"/>
      <c r="G37" s="2589"/>
      <c r="H37" s="2596"/>
      <c r="I37" s="2597"/>
      <c r="J37" s="3446"/>
      <c r="K37" s="3448"/>
      <c r="L37" s="2631"/>
      <c r="M37" s="2632"/>
      <c r="N37" s="2608"/>
      <c r="O37" s="2633"/>
      <c r="P37" s="2633"/>
      <c r="Q37" s="2634"/>
      <c r="R37" s="2635"/>
      <c r="S37" s="2589"/>
      <c r="T37" s="2589" t="s">
        <v>2335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6"/>
      <c r="K38" s="3448"/>
      <c r="L38" s="2631"/>
      <c r="M38" s="2632"/>
      <c r="N38" s="2608"/>
      <c r="O38" s="2633"/>
      <c r="P38" s="2633"/>
      <c r="Q38" s="2634"/>
      <c r="R38" s="2635"/>
      <c r="S38" s="2589"/>
      <c r="T38" s="2589" t="s">
        <v>2342</v>
      </c>
      <c r="U38" s="2589"/>
      <c r="V38" s="2597"/>
    </row>
    <row r="39" spans="1:23" s="2601" customFormat="1" ht="13.2" customHeight="1">
      <c r="A39" s="2677">
        <v>9</v>
      </c>
      <c r="B39" s="2678" t="s">
        <v>2420</v>
      </c>
      <c r="C39" s="2645" t="e">
        <f>C38</f>
        <v>#DIV/0!</v>
      </c>
      <c r="D39" s="2678">
        <f>D38/(1+D34)^C36</f>
        <v>0</v>
      </c>
      <c r="E39" s="2678">
        <f>E38/(1+E34)^(C36+D36)</f>
        <v>0</v>
      </c>
      <c r="F39" s="2682"/>
      <c r="G39" s="2597"/>
      <c r="H39" s="2596"/>
      <c r="I39" s="2597"/>
      <c r="J39" s="3446"/>
      <c r="K39" s="3448"/>
      <c r="L39" s="2631"/>
      <c r="M39" s="2632"/>
      <c r="N39" s="2608"/>
      <c r="O39" s="2633"/>
      <c r="P39" s="2633"/>
      <c r="Q39" s="2634"/>
      <c r="R39" s="2635"/>
      <c r="S39" s="2589"/>
      <c r="T39" s="2589"/>
      <c r="U39" s="2589"/>
      <c r="V39" s="2597"/>
    </row>
    <row r="40" spans="1:23" s="2601" customFormat="1" ht="13.2" customHeight="1">
      <c r="A40" s="2736">
        <v>10</v>
      </c>
      <c r="B40" s="2678" t="s">
        <v>2421</v>
      </c>
      <c r="C40" s="2737" t="e">
        <f>C39+D39+E39</f>
        <v>#DIV/0!</v>
      </c>
      <c r="D40" s="2738"/>
      <c r="E40" s="2738"/>
      <c r="F40" s="2739"/>
      <c r="G40" s="2589"/>
      <c r="H40" s="2596"/>
      <c r="I40" s="2597"/>
      <c r="J40" s="3446"/>
      <c r="K40" s="3449"/>
      <c r="L40" s="2651" t="s">
        <v>2360</v>
      </c>
      <c r="M40" s="2652"/>
      <c r="N40" s="2652"/>
      <c r="O40" s="2653"/>
      <c r="P40" s="2653"/>
      <c r="Q40" s="2654"/>
      <c r="R40" s="2600">
        <f>SUM(R37:R39)</f>
        <v>0</v>
      </c>
      <c r="S40" s="2589"/>
      <c r="T40" s="2589"/>
      <c r="U40" s="2589"/>
      <c r="V40" s="2597"/>
    </row>
    <row r="41" spans="1:23" s="2601" customFormat="1" ht="13.2"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2" customHeight="1">
      <c r="G42" s="2596"/>
      <c r="H42" s="2596"/>
      <c r="I42" s="2597"/>
      <c r="J42" s="3450">
        <v>3</v>
      </c>
      <c r="K42" s="2697" t="s">
        <v>2402</v>
      </c>
      <c r="L42" s="2698"/>
      <c r="M42" s="2699"/>
      <c r="N42" s="2700" t="s">
        <v>2403</v>
      </c>
      <c r="O42" s="2700" t="s">
        <v>2404</v>
      </c>
      <c r="P42" s="2701" t="s">
        <v>2405</v>
      </c>
      <c r="Q42" s="2701" t="s">
        <v>2406</v>
      </c>
      <c r="R42" s="2606" t="s">
        <v>2331</v>
      </c>
      <c r="S42" s="2640"/>
      <c r="T42" s="2640"/>
      <c r="U42" s="2589"/>
      <c r="V42" s="2597"/>
    </row>
    <row r="43" spans="1:23" ht="13.2" customHeight="1">
      <c r="A43" s="2601"/>
      <c r="B43" s="2601"/>
      <c r="C43" s="2601"/>
      <c r="D43" s="2601"/>
      <c r="E43" s="2601"/>
      <c r="F43" s="2601"/>
      <c r="I43" s="2584"/>
      <c r="J43" s="3451"/>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849</v>
      </c>
      <c r="C2" s="1728" t="s">
        <v>1651</v>
      </c>
      <c r="D2" s="1729" t="s">
        <v>1652</v>
      </c>
      <c r="E2" s="2390">
        <f>SUM(E6:E13)</f>
        <v>1106.44</v>
      </c>
      <c r="F2" s="2476"/>
      <c r="G2" s="458"/>
      <c r="H2" s="458"/>
      <c r="I2" s="458"/>
      <c r="J2" s="458"/>
      <c r="K2" s="458"/>
      <c r="L2" s="458"/>
      <c r="M2" s="458"/>
      <c r="N2" s="458"/>
      <c r="O2" s="458"/>
      <c r="P2" s="458"/>
      <c r="Q2" s="458"/>
      <c r="R2" s="458"/>
      <c r="S2" s="458"/>
    </row>
    <row r="3" spans="1:22" ht="15.6">
      <c r="A3" s="1727" t="s">
        <v>686</v>
      </c>
      <c r="B3" s="2384">
        <f ca="1">ROUND(B2*10000/E2,0)</f>
        <v>7673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65" t="s">
        <v>1654</v>
      </c>
      <c r="C5" s="3466"/>
      <c r="D5" s="2477"/>
      <c r="E5" s="1730" t="s">
        <v>1655</v>
      </c>
      <c r="F5" s="129"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849</v>
      </c>
      <c r="C6" s="1728" t="s">
        <v>1651</v>
      </c>
      <c r="D6" s="2476"/>
      <c r="E6" s="2389">
        <f>IF(OR(A6=0,F6="否"),0,'数据-取费表'!K6+'数据-取费表'!S6)</f>
        <v>1106.44</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1106.44</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92" t="s">
        <v>1667</v>
      </c>
      <c r="D4" s="3393"/>
      <c r="E4" s="3394" t="s">
        <v>1668</v>
      </c>
      <c r="F4" s="3395"/>
      <c r="G4" s="3392" t="s">
        <v>1669</v>
      </c>
      <c r="H4" s="3393"/>
      <c r="I4" s="3392" t="s">
        <v>1670</v>
      </c>
      <c r="J4" s="3393"/>
      <c r="K4" s="1743" t="s">
        <v>1671</v>
      </c>
      <c r="L4" s="2483"/>
      <c r="M4" s="2484"/>
      <c r="N4" s="2484"/>
      <c r="O4" s="2484"/>
      <c r="P4" s="3396" t="s">
        <v>1672</v>
      </c>
      <c r="Q4" s="3397"/>
      <c r="R4" s="3402" t="s">
        <v>1668</v>
      </c>
      <c r="S4" s="3403"/>
      <c r="T4" s="3402" t="s">
        <v>1669</v>
      </c>
      <c r="U4" s="3403"/>
      <c r="V4" s="3375" t="s">
        <v>1670</v>
      </c>
      <c r="W4" s="3375"/>
      <c r="X4" s="1264"/>
      <c r="Y4" s="3402" t="s">
        <v>1672</v>
      </c>
      <c r="Z4" s="3403"/>
      <c r="AA4" s="3389" t="s">
        <v>1668</v>
      </c>
      <c r="AB4" s="3389" t="s">
        <v>1669</v>
      </c>
      <c r="AC4" s="3389" t="s">
        <v>1670</v>
      </c>
    </row>
    <row r="5" spans="1:29">
      <c r="A5" s="347"/>
      <c r="B5" s="348"/>
      <c r="C5" s="3410" t="s">
        <v>1673</v>
      </c>
      <c r="D5" s="3411"/>
      <c r="E5" s="3417" t="s">
        <v>1674</v>
      </c>
      <c r="F5" s="3418"/>
      <c r="G5" s="3410" t="s">
        <v>1675</v>
      </c>
      <c r="H5" s="3411"/>
      <c r="I5" s="3410" t="s">
        <v>1676</v>
      </c>
      <c r="J5" s="3411"/>
      <c r="K5" s="1744"/>
      <c r="L5" s="2483"/>
      <c r="M5" s="2484"/>
      <c r="N5" s="2484"/>
      <c r="O5" s="2484"/>
      <c r="P5" s="3398"/>
      <c r="Q5" s="3399"/>
      <c r="R5" s="3404"/>
      <c r="S5" s="3405"/>
      <c r="T5" s="3404"/>
      <c r="U5" s="3405"/>
      <c r="V5" s="3375"/>
      <c r="W5" s="3375"/>
      <c r="X5" s="1264"/>
      <c r="Y5" s="3404"/>
      <c r="Z5" s="3405"/>
      <c r="AA5" s="3390"/>
      <c r="AB5" s="3390"/>
      <c r="AC5" s="3390"/>
    </row>
    <row r="6" spans="1:29" ht="15" thickBot="1">
      <c r="A6" s="349"/>
      <c r="B6" s="350"/>
      <c r="C6" s="3408" t="s">
        <v>1677</v>
      </c>
      <c r="D6" s="3409"/>
      <c r="E6" s="3415" t="s">
        <v>1677</v>
      </c>
      <c r="F6" s="3416"/>
      <c r="G6" s="3408" t="s">
        <v>1677</v>
      </c>
      <c r="H6" s="3409"/>
      <c r="I6" s="3408" t="s">
        <v>1677</v>
      </c>
      <c r="J6" s="3409"/>
      <c r="K6" s="1744" t="s">
        <v>1678</v>
      </c>
      <c r="L6" s="2483"/>
      <c r="M6" s="2484"/>
      <c r="N6" s="2484"/>
      <c r="O6" s="2484"/>
      <c r="P6" s="3400"/>
      <c r="Q6" s="3401"/>
      <c r="R6" s="3404"/>
      <c r="S6" s="3405"/>
      <c r="T6" s="3406"/>
      <c r="U6" s="3407"/>
      <c r="V6" s="3375"/>
      <c r="W6" s="3375"/>
      <c r="X6" s="1264"/>
      <c r="Y6" s="3406"/>
      <c r="Z6" s="3407"/>
      <c r="AA6" s="3391"/>
      <c r="AB6" s="3391"/>
      <c r="AC6" s="3391"/>
    </row>
    <row r="7" spans="1:29" s="102" customFormat="1" ht="15" thickBot="1">
      <c r="A7" s="351" t="s">
        <v>1679</v>
      </c>
      <c r="B7" s="352"/>
      <c r="C7" s="353">
        <f>'数据-取费表'!B2</f>
        <v>45734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12" t="s">
        <v>1680</v>
      </c>
      <c r="Q7" s="3414"/>
      <c r="R7" s="663" t="s">
        <v>20</v>
      </c>
      <c r="S7" s="664">
        <f t="shared" ref="S7:S15" si="0">F7</f>
        <v>0</v>
      </c>
      <c r="T7" s="663" t="s">
        <v>20</v>
      </c>
      <c r="U7" s="664">
        <f t="shared" ref="U7:U15" si="1">H7</f>
        <v>0</v>
      </c>
      <c r="V7" s="663" t="s">
        <v>20</v>
      </c>
      <c r="W7" s="664">
        <f t="shared" ref="W7:W15" si="2">J7</f>
        <v>0</v>
      </c>
      <c r="X7" s="665"/>
      <c r="Y7" s="3412" t="s">
        <v>1680</v>
      </c>
      <c r="Z7" s="3413"/>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12" t="s">
        <v>1683</v>
      </c>
      <c r="Q8" s="3413"/>
      <c r="R8" s="663" t="s">
        <v>20</v>
      </c>
      <c r="S8" s="664">
        <f t="shared" si="0"/>
        <v>100</v>
      </c>
      <c r="T8" s="663" t="s">
        <v>20</v>
      </c>
      <c r="U8" s="664">
        <f t="shared" si="1"/>
        <v>100</v>
      </c>
      <c r="V8" s="663" t="s">
        <v>20</v>
      </c>
      <c r="W8" s="664">
        <f t="shared" si="2"/>
        <v>100</v>
      </c>
      <c r="X8" s="665"/>
      <c r="Y8" s="3412" t="s">
        <v>1683</v>
      </c>
      <c r="Z8" s="3413"/>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88" t="s">
        <v>1686</v>
      </c>
      <c r="Q9" s="529" t="str">
        <f t="shared" ref="Q9:Q15" si="6">B9</f>
        <v>用途</v>
      </c>
      <c r="R9" s="663" t="s">
        <v>14</v>
      </c>
      <c r="S9" s="664">
        <f t="shared" si="0"/>
        <v>100</v>
      </c>
      <c r="T9" s="663" t="s">
        <v>14</v>
      </c>
      <c r="U9" s="664">
        <f t="shared" si="1"/>
        <v>100</v>
      </c>
      <c r="V9" s="663" t="s">
        <v>14</v>
      </c>
      <c r="W9" s="664">
        <f t="shared" si="2"/>
        <v>100</v>
      </c>
      <c r="X9" s="665"/>
      <c r="Y9" s="3281"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388"/>
      <c r="Q11" s="529" t="str">
        <f t="shared" si="6"/>
        <v>容积率</v>
      </c>
      <c r="R11" s="663" t="s">
        <v>18</v>
      </c>
      <c r="S11" s="664" t="e">
        <f t="shared" si="0"/>
        <v>#N/A</v>
      </c>
      <c r="T11" s="663" t="s">
        <v>18</v>
      </c>
      <c r="U11" s="664" t="e">
        <f t="shared" si="1"/>
        <v>#N/A</v>
      </c>
      <c r="V11" s="663" t="s">
        <v>18</v>
      </c>
      <c r="W11" s="664" t="e">
        <f t="shared" si="2"/>
        <v>#N/A</v>
      </c>
      <c r="X11" s="665"/>
      <c r="Y11" s="3281"/>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7"/>
      <c r="N12" s="2437"/>
      <c r="O12" s="2437"/>
      <c r="P12" s="3388"/>
      <c r="Q12" s="529">
        <f t="shared" si="6"/>
        <v>111</v>
      </c>
      <c r="R12" s="663" t="s">
        <v>18</v>
      </c>
      <c r="S12" s="664">
        <f t="shared" si="0"/>
        <v>100</v>
      </c>
      <c r="T12" s="663" t="s">
        <v>18</v>
      </c>
      <c r="U12" s="664">
        <f t="shared" si="1"/>
        <v>100</v>
      </c>
      <c r="V12" s="663" t="s">
        <v>18</v>
      </c>
      <c r="W12" s="664">
        <f t="shared" si="2"/>
        <v>100</v>
      </c>
      <c r="X12" s="665"/>
      <c r="Y12" s="328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8"/>
      <c r="Q13" s="529">
        <f t="shared" si="6"/>
        <v>111</v>
      </c>
      <c r="R13" s="663" t="s">
        <v>18</v>
      </c>
      <c r="S13" s="664">
        <f t="shared" si="0"/>
        <v>100</v>
      </c>
      <c r="T13" s="663" t="s">
        <v>18</v>
      </c>
      <c r="U13" s="664">
        <f t="shared" si="1"/>
        <v>100</v>
      </c>
      <c r="V13" s="663" t="s">
        <v>18</v>
      </c>
      <c r="W13" s="664">
        <f t="shared" si="2"/>
        <v>100</v>
      </c>
      <c r="X13" s="665"/>
      <c r="Y13" s="3281"/>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8"/>
      <c r="Q14" s="529">
        <f t="shared" si="6"/>
        <v>111</v>
      </c>
      <c r="R14" s="663" t="s">
        <v>18</v>
      </c>
      <c r="S14" s="664">
        <f t="shared" si="0"/>
        <v>100</v>
      </c>
      <c r="T14" s="663" t="s">
        <v>18</v>
      </c>
      <c r="U14" s="664">
        <f t="shared" si="1"/>
        <v>100</v>
      </c>
      <c r="V14" s="663" t="s">
        <v>18</v>
      </c>
      <c r="W14" s="664">
        <f t="shared" si="2"/>
        <v>100</v>
      </c>
      <c r="X14" s="665"/>
      <c r="Y14" s="3281"/>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79" t="s">
        <v>1691</v>
      </c>
      <c r="Q15" s="1262" t="str">
        <f t="shared" si="6"/>
        <v>居住社区成熟度</v>
      </c>
      <c r="R15" s="666" t="s">
        <v>18</v>
      </c>
      <c r="S15" s="667">
        <f t="shared" si="0"/>
        <v>100</v>
      </c>
      <c r="T15" s="666" t="s">
        <v>18</v>
      </c>
      <c r="U15" s="667">
        <f t="shared" si="1"/>
        <v>100</v>
      </c>
      <c r="V15" s="666" t="s">
        <v>18</v>
      </c>
      <c r="W15" s="667">
        <f t="shared" si="2"/>
        <v>100</v>
      </c>
      <c r="X15" s="1264"/>
      <c r="Y15" s="3381"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80"/>
      <c r="Q16" s="1262"/>
      <c r="R16" s="666"/>
      <c r="S16" s="667"/>
      <c r="T16" s="666"/>
      <c r="U16" s="667"/>
      <c r="V16" s="666"/>
      <c r="W16" s="667"/>
      <c r="X16" s="1264"/>
      <c r="Y16" s="3382"/>
      <c r="Z16" s="1263"/>
      <c r="AA16" s="1263">
        <v>1</v>
      </c>
      <c r="AB16" s="1263">
        <v>1</v>
      </c>
      <c r="AC16" s="1263">
        <v>1</v>
      </c>
    </row>
    <row r="17" spans="1:29" ht="15">
      <c r="A17" s="366"/>
      <c r="B17" s="389" t="s">
        <v>1259</v>
      </c>
      <c r="C17" s="175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80"/>
      <c r="Q17" s="1262" t="str">
        <f>B17</f>
        <v>交通便捷度</v>
      </c>
      <c r="R17" s="666" t="s">
        <v>18</v>
      </c>
      <c r="S17" s="667">
        <f>F17</f>
        <v>100</v>
      </c>
      <c r="T17" s="666" t="s">
        <v>18</v>
      </c>
      <c r="U17" s="667">
        <f>H17</f>
        <v>100</v>
      </c>
      <c r="V17" s="666" t="s">
        <v>18</v>
      </c>
      <c r="W17" s="667">
        <f>J17</f>
        <v>100</v>
      </c>
      <c r="X17" s="1264"/>
      <c r="Y17" s="3382"/>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80"/>
      <c r="Q18" s="1262"/>
      <c r="R18" s="666"/>
      <c r="S18" s="667"/>
      <c r="T18" s="666"/>
      <c r="U18" s="667"/>
      <c r="V18" s="666"/>
      <c r="W18" s="667"/>
      <c r="X18" s="1264"/>
      <c r="Y18" s="3382"/>
      <c r="Z18" s="1263"/>
      <c r="AA18" s="1263">
        <v>1</v>
      </c>
      <c r="AB18" s="1263">
        <v>1</v>
      </c>
      <c r="AC18" s="1263">
        <v>1</v>
      </c>
    </row>
    <row r="19" spans="1:29" ht="15">
      <c r="A19" s="366"/>
      <c r="B19" s="389" t="s">
        <v>1258</v>
      </c>
      <c r="C19" s="175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80"/>
      <c r="Q19" s="1262" t="str">
        <f>B19</f>
        <v>公共配套设施</v>
      </c>
      <c r="R19" s="666" t="s">
        <v>18</v>
      </c>
      <c r="S19" s="667">
        <f>F19</f>
        <v>100</v>
      </c>
      <c r="T19" s="666" t="s">
        <v>18</v>
      </c>
      <c r="U19" s="667">
        <f>H19</f>
        <v>100</v>
      </c>
      <c r="V19" s="666" t="s">
        <v>18</v>
      </c>
      <c r="W19" s="667">
        <f>J19</f>
        <v>100</v>
      </c>
      <c r="X19" s="1264"/>
      <c r="Y19" s="3382"/>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80"/>
      <c r="Q20" s="1262"/>
      <c r="R20" s="666"/>
      <c r="S20" s="667"/>
      <c r="T20" s="666"/>
      <c r="U20" s="667"/>
      <c r="V20" s="666"/>
      <c r="W20" s="667"/>
      <c r="X20" s="1264"/>
      <c r="Y20" s="3382"/>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80"/>
      <c r="Q22" s="1262"/>
      <c r="R22" s="666"/>
      <c r="S22" s="667"/>
      <c r="T22" s="666"/>
      <c r="U22" s="667"/>
      <c r="V22" s="666"/>
      <c r="W22" s="667"/>
      <c r="X22" s="1264"/>
      <c r="Y22" s="3382"/>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80"/>
      <c r="Q23" s="1262" t="str">
        <f>B23</f>
        <v>自然及人文环境</v>
      </c>
      <c r="R23" s="666" t="s">
        <v>18</v>
      </c>
      <c r="S23" s="667">
        <f>F23</f>
        <v>100</v>
      </c>
      <c r="T23" s="666" t="s">
        <v>18</v>
      </c>
      <c r="U23" s="667">
        <f>H23</f>
        <v>100</v>
      </c>
      <c r="V23" s="666" t="s">
        <v>18</v>
      </c>
      <c r="W23" s="667">
        <f>J23</f>
        <v>100</v>
      </c>
      <c r="X23" s="1264"/>
      <c r="Y23" s="3382"/>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80"/>
      <c r="Q24" s="1262"/>
      <c r="R24" s="666"/>
      <c r="S24" s="667"/>
      <c r="T24" s="666"/>
      <c r="U24" s="667"/>
      <c r="V24" s="666"/>
      <c r="W24" s="667"/>
      <c r="X24" s="1264"/>
      <c r="Y24" s="3382"/>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8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80"/>
      <c r="Q26" s="1262" t="str">
        <f t="shared" si="11"/>
        <v>朝向</v>
      </c>
      <c r="R26" s="666" t="s">
        <v>18</v>
      </c>
      <c r="S26" s="667">
        <f t="shared" si="12"/>
        <v>100</v>
      </c>
      <c r="T26" s="666" t="s">
        <v>18</v>
      </c>
      <c r="U26" s="667">
        <f t="shared" si="13"/>
        <v>100</v>
      </c>
      <c r="V26" s="666" t="s">
        <v>18</v>
      </c>
      <c r="W26" s="667">
        <f t="shared" si="14"/>
        <v>100</v>
      </c>
      <c r="X26" s="1264"/>
      <c r="Y26" s="3382"/>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80"/>
      <c r="Q27" s="529">
        <f t="shared" si="11"/>
        <v>111</v>
      </c>
      <c r="R27" s="663" t="s">
        <v>18</v>
      </c>
      <c r="S27" s="664">
        <f t="shared" si="12"/>
        <v>100</v>
      </c>
      <c r="T27" s="663" t="s">
        <v>18</v>
      </c>
      <c r="U27" s="664">
        <f t="shared" si="13"/>
        <v>100</v>
      </c>
      <c r="V27" s="663" t="s">
        <v>18</v>
      </c>
      <c r="W27" s="664">
        <f t="shared" si="14"/>
        <v>100</v>
      </c>
      <c r="X27" s="665"/>
      <c r="Y27" s="3382"/>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80"/>
      <c r="Q28" s="1262">
        <f t="shared" si="11"/>
        <v>111</v>
      </c>
      <c r="R28" s="666" t="s">
        <v>18</v>
      </c>
      <c r="S28" s="667">
        <f t="shared" si="12"/>
        <v>100</v>
      </c>
      <c r="T28" s="666" t="s">
        <v>18</v>
      </c>
      <c r="U28" s="667">
        <f t="shared" si="13"/>
        <v>100</v>
      </c>
      <c r="V28" s="666" t="s">
        <v>18</v>
      </c>
      <c r="W28" s="667">
        <f t="shared" si="14"/>
        <v>100</v>
      </c>
      <c r="X28" s="1264"/>
      <c r="Y28" s="3382"/>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80"/>
      <c r="Q29" s="1262">
        <f t="shared" si="11"/>
        <v>111</v>
      </c>
      <c r="R29" s="666" t="s">
        <v>18</v>
      </c>
      <c r="S29" s="667">
        <f t="shared" si="12"/>
        <v>100</v>
      </c>
      <c r="T29" s="666" t="s">
        <v>18</v>
      </c>
      <c r="U29" s="667">
        <f t="shared" si="13"/>
        <v>100</v>
      </c>
      <c r="V29" s="666" t="s">
        <v>18</v>
      </c>
      <c r="W29" s="667">
        <f t="shared" si="14"/>
        <v>100</v>
      </c>
      <c r="X29" s="1264"/>
      <c r="Y29" s="3382"/>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80"/>
      <c r="Q30" s="1262">
        <f t="shared" si="11"/>
        <v>111</v>
      </c>
      <c r="R30" s="666" t="s">
        <v>18</v>
      </c>
      <c r="S30" s="667">
        <f t="shared" si="12"/>
        <v>100</v>
      </c>
      <c r="T30" s="666" t="s">
        <v>18</v>
      </c>
      <c r="U30" s="667">
        <f t="shared" si="13"/>
        <v>100</v>
      </c>
      <c r="V30" s="666" t="s">
        <v>18</v>
      </c>
      <c r="W30" s="667">
        <f t="shared" si="14"/>
        <v>100</v>
      </c>
      <c r="X30" s="1264"/>
      <c r="Y30" s="3382"/>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80"/>
      <c r="Q31" s="1262">
        <f t="shared" si="11"/>
        <v>111</v>
      </c>
      <c r="R31" s="666" t="s">
        <v>18</v>
      </c>
      <c r="S31" s="667">
        <f t="shared" si="12"/>
        <v>100</v>
      </c>
      <c r="T31" s="666" t="s">
        <v>18</v>
      </c>
      <c r="U31" s="667">
        <f t="shared" si="13"/>
        <v>100</v>
      </c>
      <c r="V31" s="666" t="s">
        <v>18</v>
      </c>
      <c r="W31" s="667">
        <f t="shared" si="14"/>
        <v>100</v>
      </c>
      <c r="X31" s="1264"/>
      <c r="Y31" s="3382"/>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83" t="s">
        <v>1696</v>
      </c>
      <c r="Q32" s="1262" t="str">
        <f t="shared" si="11"/>
        <v>建筑类型</v>
      </c>
      <c r="R32" s="666" t="s">
        <v>18</v>
      </c>
      <c r="S32" s="667">
        <f t="shared" si="12"/>
        <v>100</v>
      </c>
      <c r="T32" s="666" t="s">
        <v>18</v>
      </c>
      <c r="U32" s="667">
        <f t="shared" si="13"/>
        <v>100</v>
      </c>
      <c r="V32" s="666" t="s">
        <v>18</v>
      </c>
      <c r="W32" s="667">
        <f t="shared" si="14"/>
        <v>100</v>
      </c>
      <c r="X32" s="1264"/>
      <c r="Y32" s="3386" t="s">
        <v>1696</v>
      </c>
      <c r="Z32" s="1263" t="str">
        <f t="shared" si="18"/>
        <v>建筑类型</v>
      </c>
      <c r="AA32" s="1263">
        <f t="shared" si="15"/>
        <v>1</v>
      </c>
      <c r="AB32" s="1263">
        <f t="shared" si="16"/>
        <v>1</v>
      </c>
      <c r="AC32" s="1263">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384"/>
      <c r="Q33" s="530" t="str">
        <f t="shared" si="11"/>
        <v>项目建筑规模</v>
      </c>
      <c r="R33" s="668" t="s">
        <v>18</v>
      </c>
      <c r="S33" s="669" t="e">
        <f t="shared" si="12"/>
        <v>#N/A</v>
      </c>
      <c r="T33" s="668" t="s">
        <v>18</v>
      </c>
      <c r="U33" s="669" t="e">
        <f t="shared" si="13"/>
        <v>#N/A</v>
      </c>
      <c r="V33" s="668" t="s">
        <v>18</v>
      </c>
      <c r="W33" s="669" t="e">
        <f t="shared" si="14"/>
        <v>#N/A</v>
      </c>
      <c r="X33" s="670"/>
      <c r="Y33" s="3386"/>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84"/>
      <c r="Q34" s="1262" t="str">
        <f t="shared" si="11"/>
        <v>建筑结构</v>
      </c>
      <c r="R34" s="666" t="s">
        <v>18</v>
      </c>
      <c r="S34" s="667">
        <f t="shared" si="12"/>
        <v>100</v>
      </c>
      <c r="T34" s="666" t="s">
        <v>18</v>
      </c>
      <c r="U34" s="667">
        <f t="shared" si="13"/>
        <v>100</v>
      </c>
      <c r="V34" s="666" t="s">
        <v>18</v>
      </c>
      <c r="W34" s="667">
        <f t="shared" si="14"/>
        <v>100</v>
      </c>
      <c r="X34" s="1264"/>
      <c r="Y34" s="3386"/>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84"/>
      <c r="Q35" s="1262" t="str">
        <f t="shared" si="11"/>
        <v>建筑品质</v>
      </c>
      <c r="R35" s="666" t="s">
        <v>18</v>
      </c>
      <c r="S35" s="667">
        <f t="shared" si="12"/>
        <v>100</v>
      </c>
      <c r="T35" s="666" t="s">
        <v>18</v>
      </c>
      <c r="U35" s="667">
        <f t="shared" si="13"/>
        <v>100</v>
      </c>
      <c r="V35" s="666" t="s">
        <v>18</v>
      </c>
      <c r="W35" s="667">
        <f t="shared" si="14"/>
        <v>100</v>
      </c>
      <c r="X35" s="1264"/>
      <c r="Y35" s="3386"/>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84"/>
      <c r="Q36" s="1262" t="str">
        <f t="shared" si="11"/>
        <v>公共部分装修</v>
      </c>
      <c r="R36" s="666" t="s">
        <v>18</v>
      </c>
      <c r="S36" s="667">
        <f t="shared" si="12"/>
        <v>100</v>
      </c>
      <c r="T36" s="666" t="s">
        <v>18</v>
      </c>
      <c r="U36" s="667">
        <f t="shared" si="13"/>
        <v>100</v>
      </c>
      <c r="V36" s="666" t="s">
        <v>18</v>
      </c>
      <c r="W36" s="667">
        <f t="shared" si="14"/>
        <v>100</v>
      </c>
      <c r="X36" s="1264"/>
      <c r="Y36" s="3386"/>
      <c r="Z36" s="1263" t="str">
        <f t="shared" si="18"/>
        <v>公共部分装修</v>
      </c>
      <c r="AA36" s="1263">
        <f t="shared" si="15"/>
        <v>1</v>
      </c>
      <c r="AB36" s="1263">
        <f t="shared" si="16"/>
        <v>1</v>
      </c>
      <c r="AC36" s="1263">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7"/>
      <c r="N37" s="2437"/>
      <c r="O37" s="2437"/>
      <c r="P37" s="3384"/>
      <c r="Q37" s="529" t="str">
        <f t="shared" si="11"/>
        <v>成新度</v>
      </c>
      <c r="R37" s="663" t="s">
        <v>18</v>
      </c>
      <c r="S37" s="664" t="e">
        <f t="shared" si="12"/>
        <v>#N/A</v>
      </c>
      <c r="T37" s="663" t="s">
        <v>18</v>
      </c>
      <c r="U37" s="664" t="e">
        <f t="shared" si="13"/>
        <v>#N/A</v>
      </c>
      <c r="V37" s="663" t="s">
        <v>18</v>
      </c>
      <c r="W37" s="664" t="e">
        <f t="shared" si="14"/>
        <v>#N/A</v>
      </c>
      <c r="X37" s="665"/>
      <c r="Y37" s="3386"/>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84" t="s">
        <v>1696</v>
      </c>
      <c r="Q38" s="1262" t="str">
        <f t="shared" si="11"/>
        <v>物业管理</v>
      </c>
      <c r="R38" s="666" t="s">
        <v>18</v>
      </c>
      <c r="S38" s="667">
        <f t="shared" si="12"/>
        <v>100</v>
      </c>
      <c r="T38" s="666" t="s">
        <v>18</v>
      </c>
      <c r="U38" s="667">
        <f t="shared" si="13"/>
        <v>100</v>
      </c>
      <c r="V38" s="666" t="s">
        <v>18</v>
      </c>
      <c r="W38" s="667">
        <f t="shared" si="14"/>
        <v>100</v>
      </c>
      <c r="X38" s="1264"/>
      <c r="Y38" s="3386"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84"/>
      <c r="Q39" s="1262" t="str">
        <f t="shared" si="11"/>
        <v>市政基础设施</v>
      </c>
      <c r="R39" s="666" t="s">
        <v>18</v>
      </c>
      <c r="S39" s="667">
        <f t="shared" si="12"/>
        <v>100</v>
      </c>
      <c r="T39" s="666" t="s">
        <v>18</v>
      </c>
      <c r="U39" s="667">
        <f t="shared" si="13"/>
        <v>100</v>
      </c>
      <c r="V39" s="666" t="s">
        <v>18</v>
      </c>
      <c r="W39" s="667">
        <f t="shared" si="14"/>
        <v>100</v>
      </c>
      <c r="X39" s="1264"/>
      <c r="Y39" s="3386"/>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84"/>
      <c r="Q40" s="1262" t="str">
        <f t="shared" si="11"/>
        <v>房型</v>
      </c>
      <c r="R40" s="666" t="s">
        <v>18</v>
      </c>
      <c r="S40" s="667">
        <f t="shared" si="12"/>
        <v>100</v>
      </c>
      <c r="T40" s="666" t="s">
        <v>18</v>
      </c>
      <c r="U40" s="667">
        <f t="shared" si="13"/>
        <v>100</v>
      </c>
      <c r="V40" s="666" t="s">
        <v>18</v>
      </c>
      <c r="W40" s="667">
        <f t="shared" si="14"/>
        <v>100</v>
      </c>
      <c r="X40" s="1264"/>
      <c r="Y40" s="3386"/>
      <c r="Z40" s="1263" t="str">
        <f t="shared" si="18"/>
        <v>房型</v>
      </c>
      <c r="AA40" s="1263">
        <f t="shared" si="15"/>
        <v>1</v>
      </c>
      <c r="AB40" s="1263">
        <f t="shared" si="16"/>
        <v>1</v>
      </c>
      <c r="AC40" s="1263">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384"/>
      <c r="Q41" s="530" t="str">
        <f t="shared" si="11"/>
        <v>单套/主力户型建筑面积</v>
      </c>
      <c r="R41" s="668" t="s">
        <v>18</v>
      </c>
      <c r="S41" s="669">
        <f t="shared" si="12"/>
        <v>100</v>
      </c>
      <c r="T41" s="668" t="s">
        <v>18</v>
      </c>
      <c r="U41" s="669">
        <f t="shared" si="13"/>
        <v>100</v>
      </c>
      <c r="V41" s="668" t="s">
        <v>18</v>
      </c>
      <c r="W41" s="669">
        <f t="shared" si="14"/>
        <v>100</v>
      </c>
      <c r="X41" s="670"/>
      <c r="Y41" s="3386"/>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84"/>
      <c r="Q42" s="1262" t="str">
        <f t="shared" si="11"/>
        <v>内部装修</v>
      </c>
      <c r="R42" s="666" t="s">
        <v>18</v>
      </c>
      <c r="S42" s="667">
        <f t="shared" si="12"/>
        <v>100</v>
      </c>
      <c r="T42" s="666" t="s">
        <v>18</v>
      </c>
      <c r="U42" s="667">
        <f t="shared" si="13"/>
        <v>100</v>
      </c>
      <c r="V42" s="666" t="s">
        <v>18</v>
      </c>
      <c r="W42" s="667">
        <f t="shared" si="14"/>
        <v>100</v>
      </c>
      <c r="X42" s="1264"/>
      <c r="Y42" s="3386"/>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84"/>
      <c r="Q43" s="1262" t="str">
        <f t="shared" si="11"/>
        <v>内部装修维护情况</v>
      </c>
      <c r="R43" s="666" t="s">
        <v>18</v>
      </c>
      <c r="S43" s="667">
        <f t="shared" si="12"/>
        <v>100</v>
      </c>
      <c r="T43" s="666" t="s">
        <v>18</v>
      </c>
      <c r="U43" s="667">
        <f t="shared" si="13"/>
        <v>100</v>
      </c>
      <c r="V43" s="666" t="s">
        <v>18</v>
      </c>
      <c r="W43" s="667">
        <f t="shared" si="14"/>
        <v>100</v>
      </c>
      <c r="X43" s="1264"/>
      <c r="Y43" s="3386"/>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7"/>
      <c r="N44" s="2437"/>
      <c r="O44" s="2437"/>
      <c r="P44" s="3384"/>
      <c r="Q44" s="529">
        <f t="shared" si="11"/>
        <v>111</v>
      </c>
      <c r="R44" s="663" t="s">
        <v>18</v>
      </c>
      <c r="S44" s="664">
        <f t="shared" si="12"/>
        <v>100</v>
      </c>
      <c r="T44" s="663" t="s">
        <v>18</v>
      </c>
      <c r="U44" s="664">
        <f t="shared" si="13"/>
        <v>100</v>
      </c>
      <c r="V44" s="663" t="s">
        <v>18</v>
      </c>
      <c r="W44" s="664">
        <f t="shared" si="14"/>
        <v>100</v>
      </c>
      <c r="X44" s="665"/>
      <c r="Y44" s="3386"/>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84"/>
      <c r="Q45" s="1262">
        <f t="shared" si="11"/>
        <v>111</v>
      </c>
      <c r="R45" s="666" t="s">
        <v>18</v>
      </c>
      <c r="S45" s="667">
        <f t="shared" si="12"/>
        <v>100</v>
      </c>
      <c r="T45" s="666" t="s">
        <v>18</v>
      </c>
      <c r="U45" s="667">
        <f t="shared" si="13"/>
        <v>100</v>
      </c>
      <c r="V45" s="666" t="s">
        <v>18</v>
      </c>
      <c r="W45" s="667">
        <f t="shared" si="14"/>
        <v>100</v>
      </c>
      <c r="X45" s="1264"/>
      <c r="Y45" s="3386"/>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85"/>
      <c r="Q46" s="1262">
        <f t="shared" si="11"/>
        <v>111</v>
      </c>
      <c r="R46" s="666" t="s">
        <v>17</v>
      </c>
      <c r="S46" s="667">
        <f t="shared" si="12"/>
        <v>100</v>
      </c>
      <c r="T46" s="666" t="s">
        <v>17</v>
      </c>
      <c r="U46" s="667">
        <f t="shared" si="13"/>
        <v>100</v>
      </c>
      <c r="V46" s="666" t="s">
        <v>17</v>
      </c>
      <c r="W46" s="667">
        <f t="shared" si="14"/>
        <v>100</v>
      </c>
      <c r="X46" s="1264"/>
      <c r="Y46" s="3387"/>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74" t="str">
        <f>A47</f>
        <v>成交单价（元/平方米）</v>
      </c>
      <c r="Q47" s="3374"/>
      <c r="R47" s="3375">
        <f>E47</f>
        <v>0</v>
      </c>
      <c r="S47" s="3375"/>
      <c r="T47" s="3375">
        <f>G47</f>
        <v>0</v>
      </c>
      <c r="U47" s="3375"/>
      <c r="V47" s="3375">
        <f>I47</f>
        <v>0</v>
      </c>
      <c r="W47" s="3375"/>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4" priority="14"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F7:F46 H7:H46 J7:J46">
    <cfRule type="cellIs" dxfId="101" priority="1" operator="notEqual">
      <formula>100</formula>
    </cfRule>
  </conditionalFormatting>
  <conditionalFormatting sqref="F48">
    <cfRule type="expression" dxfId="100" priority="4">
      <formula>$D$48="简单平均"</formula>
    </cfRule>
  </conditionalFormatting>
  <conditionalFormatting sqref="F52:F54 H52:H54 J52:J54">
    <cfRule type="containsText" dxfId="99" priority="15" stopIfTrue="1" operator="containsText" text="超过">
      <formula>NOT(ISERROR(SEARCH("超过",F52)))</formula>
    </cfRule>
  </conditionalFormatting>
  <conditionalFormatting sqref="G52">
    <cfRule type="expression" dxfId="98" priority="9" stopIfTrue="1">
      <formula>$H$52="超过30%"</formula>
    </cfRule>
  </conditionalFormatting>
  <conditionalFormatting sqref="G53">
    <cfRule type="expression" dxfId="97" priority="8" stopIfTrue="1">
      <formula>$H$53="超过20%"</formula>
    </cfRule>
  </conditionalFormatting>
  <conditionalFormatting sqref="G54">
    <cfRule type="expression" dxfId="96" priority="12" stopIfTrue="1">
      <formula>$H$54="超过30%"</formula>
    </cfRule>
  </conditionalFormatting>
  <conditionalFormatting sqref="H48">
    <cfRule type="expression" dxfId="95" priority="3">
      <formula>$D$48="简单平均"</formula>
    </cfRule>
  </conditionalFormatting>
  <conditionalFormatting sqref="I52">
    <cfRule type="expression" dxfId="94" priority="7" stopIfTrue="1">
      <formula>$J$52="超过30%"</formula>
    </cfRule>
  </conditionalFormatting>
  <conditionalFormatting sqref="I53">
    <cfRule type="expression" dxfId="93" priority="6" stopIfTrue="1">
      <formula>$J$53="超过20%"</formula>
    </cfRule>
  </conditionalFormatting>
  <conditionalFormatting sqref="I54">
    <cfRule type="expression" dxfId="92" priority="5" stopIfTrue="1">
      <formula>$J$54="超过30%"</formula>
    </cfRule>
  </conditionalFormatting>
  <conditionalFormatting sqref="J48">
    <cfRule type="expression" dxfId="91"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1106.44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859"/>
      <c r="M4" s="860"/>
      <c r="N4" s="860"/>
      <c r="O4" s="860"/>
      <c r="P4" s="3396" t="s">
        <v>1775</v>
      </c>
      <c r="Q4" s="3397"/>
      <c r="R4" s="3402" t="s">
        <v>1771</v>
      </c>
      <c r="S4" s="3403"/>
      <c r="T4" s="3402" t="s">
        <v>1772</v>
      </c>
      <c r="U4" s="3403"/>
      <c r="V4" s="3375" t="s">
        <v>1773</v>
      </c>
      <c r="W4" s="3375"/>
      <c r="X4" s="1264"/>
      <c r="Y4" s="3402" t="s">
        <v>1775</v>
      </c>
      <c r="Z4" s="3403"/>
      <c r="AA4" s="3389" t="s">
        <v>1771</v>
      </c>
      <c r="AB4" s="3390" t="s">
        <v>1772</v>
      </c>
      <c r="AC4" s="3389" t="s">
        <v>1773</v>
      </c>
    </row>
    <row r="5" spans="1:29">
      <c r="A5" s="347"/>
      <c r="B5" s="348"/>
      <c r="C5" s="3410" t="s">
        <v>1673</v>
      </c>
      <c r="D5" s="3411"/>
      <c r="E5" s="3417" t="s">
        <v>1674</v>
      </c>
      <c r="F5" s="3418"/>
      <c r="G5" s="3410" t="s">
        <v>1675</v>
      </c>
      <c r="H5" s="3411"/>
      <c r="I5" s="3410" t="s">
        <v>1676</v>
      </c>
      <c r="J5" s="3411"/>
      <c r="K5" s="536"/>
      <c r="L5" s="859"/>
      <c r="M5" s="860"/>
      <c r="N5" s="860"/>
      <c r="O5" s="860"/>
      <c r="P5" s="3398"/>
      <c r="Q5" s="3399"/>
      <c r="R5" s="3404"/>
      <c r="S5" s="3405"/>
      <c r="T5" s="3404"/>
      <c r="U5" s="3405"/>
      <c r="V5" s="3375"/>
      <c r="W5" s="3375"/>
      <c r="X5" s="1264"/>
      <c r="Y5" s="3404"/>
      <c r="Z5" s="3405"/>
      <c r="AA5" s="3390"/>
      <c r="AB5" s="3390"/>
      <c r="AC5" s="3390"/>
    </row>
    <row r="6" spans="1:29" ht="15" thickBot="1">
      <c r="A6" s="349"/>
      <c r="B6" s="350"/>
      <c r="C6" s="3408" t="s">
        <v>1677</v>
      </c>
      <c r="D6" s="3409"/>
      <c r="E6" s="3415" t="s">
        <v>1677</v>
      </c>
      <c r="F6" s="3416"/>
      <c r="G6" s="3408" t="s">
        <v>1677</v>
      </c>
      <c r="H6" s="3409"/>
      <c r="I6" s="3408" t="s">
        <v>1677</v>
      </c>
      <c r="J6" s="3409"/>
      <c r="K6" s="536" t="s">
        <v>1678</v>
      </c>
      <c r="L6" s="859"/>
      <c r="M6" s="860"/>
      <c r="N6" s="860"/>
      <c r="O6" s="860"/>
      <c r="P6" s="3400"/>
      <c r="Q6" s="3401"/>
      <c r="R6" s="3404"/>
      <c r="S6" s="3405"/>
      <c r="T6" s="3406"/>
      <c r="U6" s="3407"/>
      <c r="V6" s="3375"/>
      <c r="W6" s="3375"/>
      <c r="X6" s="1264"/>
      <c r="Y6" s="3406"/>
      <c r="Z6" s="3407"/>
      <c r="AA6" s="3391"/>
      <c r="AB6" s="3391"/>
      <c r="AC6" s="3391"/>
    </row>
    <row r="7" spans="1:29" s="102" customFormat="1" ht="15" thickBot="1">
      <c r="A7" s="351" t="s">
        <v>1679</v>
      </c>
      <c r="B7" s="352"/>
      <c r="C7" s="353">
        <f>'数据-取费表'!B2</f>
        <v>45734</v>
      </c>
      <c r="D7" s="354">
        <v>100</v>
      </c>
      <c r="E7" s="355"/>
      <c r="F7" s="356">
        <f>SUMIF(52:52,YEAR(E7)&amp;"-"&amp;MONTH(E7),53:53)</f>
        <v>0</v>
      </c>
      <c r="G7" s="355"/>
      <c r="H7" s="354">
        <f>SUMIF(52:52,YEAR(G7)&amp;"-"&amp;MONTH(G7),53:53)</f>
        <v>0</v>
      </c>
      <c r="I7" s="355"/>
      <c r="J7" s="354">
        <f>SUMIF(52:52,YEAR(I7)&amp;"-"&amp;MONTH(I7),53:53)</f>
        <v>0</v>
      </c>
      <c r="K7" s="38"/>
      <c r="L7" s="861"/>
      <c r="M7" s="862"/>
      <c r="N7" s="862"/>
      <c r="O7" s="862"/>
      <c r="P7" s="3412" t="s">
        <v>1680</v>
      </c>
      <c r="Q7" s="341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2" t="s">
        <v>1683</v>
      </c>
      <c r="Q8" s="3413"/>
      <c r="R8" s="663" t="s">
        <v>14</v>
      </c>
      <c r="S8" s="664">
        <f t="shared" si="0"/>
        <v>100</v>
      </c>
      <c r="T8" s="663" t="s">
        <v>14</v>
      </c>
      <c r="U8" s="664">
        <f t="shared" si="1"/>
        <v>100</v>
      </c>
      <c r="V8" s="663" t="s">
        <v>14</v>
      </c>
      <c r="W8" s="664">
        <f t="shared" si="2"/>
        <v>100</v>
      </c>
      <c r="X8" s="665"/>
      <c r="Y8" s="3412" t="s">
        <v>1683</v>
      </c>
      <c r="Z8" s="3413"/>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4" t="s">
        <v>1686</v>
      </c>
      <c r="Q9" s="529" t="str">
        <f t="shared" ref="Q9:Q15" si="6">B9</f>
        <v>用途</v>
      </c>
      <c r="R9" s="663" t="s">
        <v>14</v>
      </c>
      <c r="S9" s="664">
        <f t="shared" si="0"/>
        <v>100</v>
      </c>
      <c r="T9" s="663" t="s">
        <v>14</v>
      </c>
      <c r="U9" s="664">
        <f t="shared" si="1"/>
        <v>100</v>
      </c>
      <c r="V9" s="663" t="s">
        <v>14</v>
      </c>
      <c r="W9" s="664">
        <f t="shared" si="2"/>
        <v>100</v>
      </c>
      <c r="X9" s="665"/>
      <c r="Y9" s="3281"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374"/>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4"/>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1" t="s">
        <v>1691</v>
      </c>
      <c r="Q15" s="1262" t="str">
        <f t="shared" si="6"/>
        <v>产业集聚程度</v>
      </c>
      <c r="R15" s="666" t="s">
        <v>14</v>
      </c>
      <c r="S15" s="667">
        <f t="shared" si="0"/>
        <v>100</v>
      </c>
      <c r="T15" s="666" t="s">
        <v>14</v>
      </c>
      <c r="U15" s="667">
        <f t="shared" si="1"/>
        <v>100</v>
      </c>
      <c r="V15" s="666" t="s">
        <v>14</v>
      </c>
      <c r="W15" s="667">
        <f t="shared" si="2"/>
        <v>100</v>
      </c>
      <c r="X15" s="1264"/>
      <c r="Y15" s="3381"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2"/>
      <c r="Q16" s="1262"/>
      <c r="R16" s="666"/>
      <c r="S16" s="667"/>
      <c r="T16" s="666"/>
      <c r="U16" s="667"/>
      <c r="V16" s="666"/>
      <c r="W16" s="667"/>
      <c r="X16" s="1264"/>
      <c r="Y16" s="3382"/>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2"/>
      <c r="Q18" s="1262"/>
      <c r="R18" s="666"/>
      <c r="S18" s="667"/>
      <c r="T18" s="666"/>
      <c r="U18" s="667"/>
      <c r="V18" s="666"/>
      <c r="W18" s="667"/>
      <c r="X18" s="1264"/>
      <c r="Y18" s="3382"/>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2"/>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2"/>
      <c r="Q20" s="1262"/>
      <c r="R20" s="666"/>
      <c r="S20" s="667"/>
      <c r="T20" s="666"/>
      <c r="U20" s="667"/>
      <c r="V20" s="666"/>
      <c r="W20" s="667"/>
      <c r="X20" s="1264"/>
      <c r="Y20" s="3382"/>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2"/>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2"/>
      <c r="Q22" s="1262"/>
      <c r="R22" s="666"/>
      <c r="S22" s="667"/>
      <c r="T22" s="666"/>
      <c r="U22" s="667"/>
      <c r="V22" s="666"/>
      <c r="W22" s="667"/>
      <c r="X22" s="1264"/>
      <c r="Y22" s="3382"/>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2"/>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2"/>
      <c r="Q24" s="1262"/>
      <c r="R24" s="666"/>
      <c r="S24" s="667"/>
      <c r="T24" s="666"/>
      <c r="U24" s="667"/>
      <c r="V24" s="666"/>
      <c r="W24" s="667"/>
      <c r="X24" s="1264"/>
      <c r="Y24" s="3382"/>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2"/>
      <c r="Q25" s="1262">
        <f>B25</f>
        <v>111</v>
      </c>
      <c r="R25" s="666" t="s">
        <v>14</v>
      </c>
      <c r="S25" s="667">
        <f>F25</f>
        <v>100</v>
      </c>
      <c r="T25" s="666" t="s">
        <v>14</v>
      </c>
      <c r="U25" s="667">
        <f>H25</f>
        <v>100</v>
      </c>
      <c r="V25" s="666" t="s">
        <v>14</v>
      </c>
      <c r="W25" s="667">
        <f>J25</f>
        <v>100</v>
      </c>
      <c r="X25" s="1264"/>
      <c r="Y25" s="3382"/>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2"/>
      <c r="Q26" s="1262">
        <f t="shared" ref="Q26:Q40" si="11">B26</f>
        <v>111</v>
      </c>
      <c r="R26" s="666" t="s">
        <v>14</v>
      </c>
      <c r="S26" s="667">
        <f>F26</f>
        <v>100</v>
      </c>
      <c r="T26" s="666" t="s">
        <v>14</v>
      </c>
      <c r="U26" s="667">
        <f>H26</f>
        <v>100</v>
      </c>
      <c r="V26" s="666" t="s">
        <v>14</v>
      </c>
      <c r="W26" s="667">
        <f>J26</f>
        <v>100</v>
      </c>
      <c r="X26" s="1264"/>
      <c r="Y26" s="3382"/>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2"/>
      <c r="Q27" s="529">
        <f t="shared" si="11"/>
        <v>111</v>
      </c>
      <c r="R27" s="663" t="s">
        <v>14</v>
      </c>
      <c r="S27" s="664">
        <f>F27</f>
        <v>100</v>
      </c>
      <c r="T27" s="663" t="s">
        <v>14</v>
      </c>
      <c r="U27" s="664">
        <f>H27</f>
        <v>100</v>
      </c>
      <c r="V27" s="663" t="s">
        <v>14</v>
      </c>
      <c r="W27" s="664">
        <f>J27</f>
        <v>100</v>
      </c>
      <c r="X27" s="665"/>
      <c r="Y27" s="3382"/>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2"/>
      <c r="Q28" s="1262">
        <f t="shared" si="11"/>
        <v>111</v>
      </c>
      <c r="R28" s="666" t="s">
        <v>14</v>
      </c>
      <c r="S28" s="667">
        <f t="shared" ref="S28:S40" si="12">F28</f>
        <v>100</v>
      </c>
      <c r="T28" s="666" t="s">
        <v>14</v>
      </c>
      <c r="U28" s="667">
        <f t="shared" ref="U28:U40" si="13">H28</f>
        <v>100</v>
      </c>
      <c r="V28" s="666" t="s">
        <v>14</v>
      </c>
      <c r="W28" s="667">
        <f t="shared" ref="W28:W40" si="14">J28</f>
        <v>100</v>
      </c>
      <c r="X28" s="1264"/>
      <c r="Y28" s="3382"/>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7" t="s">
        <v>1696</v>
      </c>
      <c r="Q29" s="1262" t="str">
        <f t="shared" si="11"/>
        <v>建筑类型</v>
      </c>
      <c r="R29" s="666" t="s">
        <v>14</v>
      </c>
      <c r="S29" s="667">
        <f t="shared" si="12"/>
        <v>100</v>
      </c>
      <c r="T29" s="666" t="s">
        <v>14</v>
      </c>
      <c r="U29" s="667">
        <f t="shared" si="13"/>
        <v>100</v>
      </c>
      <c r="V29" s="666" t="s">
        <v>14</v>
      </c>
      <c r="W29" s="667">
        <f t="shared" si="14"/>
        <v>100</v>
      </c>
      <c r="X29" s="1264"/>
      <c r="Y29" s="3386" t="s">
        <v>1696</v>
      </c>
      <c r="Z29" s="1263" t="str">
        <f t="shared" si="15"/>
        <v>建筑类型</v>
      </c>
      <c r="AA29" s="1263">
        <f t="shared" si="3"/>
        <v>1</v>
      </c>
      <c r="AB29" s="1263">
        <f t="shared" si="4"/>
        <v>1</v>
      </c>
      <c r="AC29" s="1263">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386"/>
      <c r="Q30" s="530" t="str">
        <f t="shared" si="11"/>
        <v>项目建筑规模</v>
      </c>
      <c r="R30" s="668" t="s">
        <v>14</v>
      </c>
      <c r="S30" s="669" t="e">
        <f t="shared" si="12"/>
        <v>#N/A</v>
      </c>
      <c r="T30" s="668" t="s">
        <v>14</v>
      </c>
      <c r="U30" s="669" t="e">
        <f t="shared" si="13"/>
        <v>#N/A</v>
      </c>
      <c r="V30" s="668" t="s">
        <v>14</v>
      </c>
      <c r="W30" s="669" t="e">
        <f t="shared" si="14"/>
        <v>#N/A</v>
      </c>
      <c r="X30" s="670"/>
      <c r="Y30" s="3386"/>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6"/>
      <c r="Q31" s="1262" t="str">
        <f t="shared" si="11"/>
        <v>建筑结构</v>
      </c>
      <c r="R31" s="666" t="s">
        <v>14</v>
      </c>
      <c r="S31" s="667">
        <f t="shared" si="12"/>
        <v>100</v>
      </c>
      <c r="T31" s="666" t="s">
        <v>14</v>
      </c>
      <c r="U31" s="667">
        <f t="shared" si="13"/>
        <v>100</v>
      </c>
      <c r="V31" s="666" t="s">
        <v>14</v>
      </c>
      <c r="W31" s="667">
        <f t="shared" si="14"/>
        <v>100</v>
      </c>
      <c r="X31" s="1264"/>
      <c r="Y31" s="3386"/>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6"/>
      <c r="Q32" s="1262" t="str">
        <f t="shared" si="11"/>
        <v>公共部分装修</v>
      </c>
      <c r="R32" s="666" t="s">
        <v>14</v>
      </c>
      <c r="S32" s="667">
        <f t="shared" si="12"/>
        <v>100</v>
      </c>
      <c r="T32" s="666" t="s">
        <v>14</v>
      </c>
      <c r="U32" s="667">
        <f t="shared" si="13"/>
        <v>100</v>
      </c>
      <c r="V32" s="666" t="s">
        <v>14</v>
      </c>
      <c r="W32" s="667">
        <f t="shared" si="14"/>
        <v>100</v>
      </c>
      <c r="X32" s="1264"/>
      <c r="Y32" s="3386"/>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6"/>
      <c r="Q33" s="1262" t="str">
        <f t="shared" si="11"/>
        <v>成新度</v>
      </c>
      <c r="R33" s="666" t="s">
        <v>14</v>
      </c>
      <c r="S33" s="667" t="e">
        <f t="shared" si="12"/>
        <v>#N/A</v>
      </c>
      <c r="T33" s="666" t="s">
        <v>14</v>
      </c>
      <c r="U33" s="667" t="e">
        <f t="shared" si="13"/>
        <v>#N/A</v>
      </c>
      <c r="V33" s="666" t="s">
        <v>14</v>
      </c>
      <c r="W33" s="667" t="e">
        <f t="shared" si="14"/>
        <v>#N/A</v>
      </c>
      <c r="X33" s="1264"/>
      <c r="Y33" s="3386"/>
      <c r="Z33" s="1263" t="str">
        <f t="shared" si="15"/>
        <v>成新度</v>
      </c>
      <c r="AA33" s="1263" t="e">
        <f t="shared" si="3"/>
        <v>#N/A</v>
      </c>
      <c r="AB33" s="1263" t="e">
        <f t="shared" si="4"/>
        <v>#N/A</v>
      </c>
      <c r="AC33" s="1263"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6"/>
      <c r="Q34" s="529" t="str">
        <f t="shared" si="11"/>
        <v>物业管理</v>
      </c>
      <c r="R34" s="663" t="s">
        <v>14</v>
      </c>
      <c r="S34" s="664">
        <f t="shared" si="12"/>
        <v>100</v>
      </c>
      <c r="T34" s="663" t="s">
        <v>14</v>
      </c>
      <c r="U34" s="664">
        <f t="shared" si="13"/>
        <v>100</v>
      </c>
      <c r="V34" s="663" t="s">
        <v>14</v>
      </c>
      <c r="W34" s="664">
        <f t="shared" si="14"/>
        <v>100</v>
      </c>
      <c r="X34" s="665"/>
      <c r="Y34" s="3386"/>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6" t="s">
        <v>1696</v>
      </c>
      <c r="Q35" s="1262" t="str">
        <f t="shared" si="11"/>
        <v>市政基础设施</v>
      </c>
      <c r="R35" s="666" t="s">
        <v>14</v>
      </c>
      <c r="S35" s="667">
        <f t="shared" si="12"/>
        <v>100</v>
      </c>
      <c r="T35" s="666" t="s">
        <v>14</v>
      </c>
      <c r="U35" s="667">
        <f t="shared" si="13"/>
        <v>100</v>
      </c>
      <c r="V35" s="666" t="s">
        <v>14</v>
      </c>
      <c r="W35" s="667">
        <f t="shared" si="14"/>
        <v>100</v>
      </c>
      <c r="X35" s="1264"/>
      <c r="Y35" s="3386"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6"/>
      <c r="Q36" s="1262" t="str">
        <f t="shared" si="11"/>
        <v>内部装修</v>
      </c>
      <c r="R36" s="666" t="s">
        <v>14</v>
      </c>
      <c r="S36" s="667">
        <f t="shared" si="12"/>
        <v>100</v>
      </c>
      <c r="T36" s="666" t="s">
        <v>14</v>
      </c>
      <c r="U36" s="667">
        <f t="shared" si="13"/>
        <v>100</v>
      </c>
      <c r="V36" s="666" t="s">
        <v>14</v>
      </c>
      <c r="W36" s="667">
        <f t="shared" si="14"/>
        <v>100</v>
      </c>
      <c r="X36" s="1264"/>
      <c r="Y36" s="3386"/>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6"/>
      <c r="Q37" s="1262" t="str">
        <f t="shared" si="11"/>
        <v>内部装修状况</v>
      </c>
      <c r="R37" s="666" t="s">
        <v>14</v>
      </c>
      <c r="S37" s="667">
        <f t="shared" si="12"/>
        <v>100</v>
      </c>
      <c r="T37" s="666" t="s">
        <v>14</v>
      </c>
      <c r="U37" s="667">
        <f t="shared" si="13"/>
        <v>100</v>
      </c>
      <c r="V37" s="666" t="s">
        <v>14</v>
      </c>
      <c r="W37" s="667">
        <f t="shared" si="14"/>
        <v>100</v>
      </c>
      <c r="X37" s="1264"/>
      <c r="Y37" s="3386"/>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6"/>
      <c r="Q38" s="530">
        <f t="shared" si="11"/>
        <v>111</v>
      </c>
      <c r="R38" s="668" t="s">
        <v>14</v>
      </c>
      <c r="S38" s="669">
        <f t="shared" si="12"/>
        <v>100</v>
      </c>
      <c r="T38" s="668" t="s">
        <v>14</v>
      </c>
      <c r="U38" s="669">
        <f t="shared" si="13"/>
        <v>100</v>
      </c>
      <c r="V38" s="668" t="s">
        <v>14</v>
      </c>
      <c r="W38" s="669">
        <f t="shared" si="14"/>
        <v>100</v>
      </c>
      <c r="X38" s="670"/>
      <c r="Y38" s="3386"/>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6"/>
      <c r="Q39" s="1262">
        <f t="shared" si="11"/>
        <v>111</v>
      </c>
      <c r="R39" s="666" t="s">
        <v>14</v>
      </c>
      <c r="S39" s="667">
        <f t="shared" si="12"/>
        <v>100</v>
      </c>
      <c r="T39" s="666" t="s">
        <v>14</v>
      </c>
      <c r="U39" s="667">
        <f t="shared" si="13"/>
        <v>100</v>
      </c>
      <c r="V39" s="666" t="s">
        <v>14</v>
      </c>
      <c r="W39" s="667">
        <f t="shared" si="14"/>
        <v>100</v>
      </c>
      <c r="X39" s="1264"/>
      <c r="Y39" s="3386"/>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7"/>
      <c r="Q40" s="1262">
        <f t="shared" si="11"/>
        <v>111</v>
      </c>
      <c r="R40" s="666" t="s">
        <v>14</v>
      </c>
      <c r="S40" s="667">
        <f t="shared" si="12"/>
        <v>100</v>
      </c>
      <c r="T40" s="666" t="s">
        <v>14</v>
      </c>
      <c r="U40" s="667">
        <f t="shared" si="13"/>
        <v>100</v>
      </c>
      <c r="V40" s="666" t="s">
        <v>14</v>
      </c>
      <c r="W40" s="667">
        <f t="shared" si="14"/>
        <v>100</v>
      </c>
      <c r="X40" s="1264"/>
      <c r="Y40" s="3387"/>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4" t="str">
        <f>A41</f>
        <v>成交单价（元/平方米）</v>
      </c>
      <c r="Q41" s="3374"/>
      <c r="R41" s="3375">
        <f>E41</f>
        <v>0</v>
      </c>
      <c r="S41" s="3375"/>
      <c r="T41" s="3375">
        <f>G41</f>
        <v>0</v>
      </c>
      <c r="U41" s="3375"/>
      <c r="V41" s="3375">
        <f>I41</f>
        <v>0</v>
      </c>
      <c r="W41" s="3375"/>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5"/>
      <c r="O54" s="2536"/>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402" t="s">
        <v>1771</v>
      </c>
      <c r="S4" s="3403"/>
      <c r="T4" s="3402" t="s">
        <v>1772</v>
      </c>
      <c r="U4" s="3403"/>
      <c r="V4" s="3375" t="s">
        <v>1773</v>
      </c>
      <c r="W4" s="3375"/>
      <c r="X4" s="1264"/>
      <c r="Y4" s="3402" t="s">
        <v>1775</v>
      </c>
      <c r="Z4" s="3403"/>
      <c r="AA4" s="3389" t="s">
        <v>1771</v>
      </c>
      <c r="AB4" s="3390" t="s">
        <v>1772</v>
      </c>
      <c r="AC4" s="3389" t="s">
        <v>1773</v>
      </c>
    </row>
    <row r="5" spans="1:29">
      <c r="A5" s="347"/>
      <c r="B5" s="348"/>
      <c r="C5" s="3410" t="s">
        <v>1673</v>
      </c>
      <c r="D5" s="3411"/>
      <c r="E5" s="3417" t="s">
        <v>1674</v>
      </c>
      <c r="F5" s="3418"/>
      <c r="G5" s="3410" t="s">
        <v>1675</v>
      </c>
      <c r="H5" s="3411"/>
      <c r="I5" s="3410" t="s">
        <v>1676</v>
      </c>
      <c r="J5" s="3411"/>
      <c r="K5" s="536"/>
      <c r="L5" s="2483"/>
      <c r="M5" s="2484"/>
      <c r="N5" s="2484"/>
      <c r="O5" s="2484"/>
      <c r="P5" s="3398"/>
      <c r="Q5" s="3399"/>
      <c r="R5" s="3404"/>
      <c r="S5" s="3405"/>
      <c r="T5" s="3404"/>
      <c r="U5" s="3405"/>
      <c r="V5" s="3375"/>
      <c r="W5" s="3375"/>
      <c r="X5" s="1264"/>
      <c r="Y5" s="3404"/>
      <c r="Z5" s="3405"/>
      <c r="AA5" s="3390"/>
      <c r="AB5" s="3390"/>
      <c r="AC5" s="3390"/>
    </row>
    <row r="6" spans="1:29" ht="15" thickBot="1">
      <c r="A6" s="349"/>
      <c r="B6" s="350"/>
      <c r="C6" s="3408" t="s">
        <v>1677</v>
      </c>
      <c r="D6" s="3409"/>
      <c r="E6" s="3415" t="s">
        <v>1677</v>
      </c>
      <c r="F6" s="3416"/>
      <c r="G6" s="3408" t="s">
        <v>1677</v>
      </c>
      <c r="H6" s="3409"/>
      <c r="I6" s="3408" t="s">
        <v>1677</v>
      </c>
      <c r="J6" s="3409"/>
      <c r="K6" s="536" t="s">
        <v>1678</v>
      </c>
      <c r="L6" s="2483"/>
      <c r="M6" s="2484"/>
      <c r="N6" s="2484"/>
      <c r="O6" s="2484"/>
      <c r="P6" s="3400"/>
      <c r="Q6" s="3401"/>
      <c r="R6" s="3404"/>
      <c r="S6" s="3405"/>
      <c r="T6" s="3406"/>
      <c r="U6" s="3407"/>
      <c r="V6" s="3375"/>
      <c r="W6" s="3375"/>
      <c r="X6" s="1264"/>
      <c r="Y6" s="3406"/>
      <c r="Z6" s="3407"/>
      <c r="AA6" s="3391"/>
      <c r="AB6" s="3391"/>
      <c r="AC6" s="3391"/>
    </row>
    <row r="7" spans="1:29" s="102" customFormat="1" ht="15" thickBot="1">
      <c r="A7" s="351" t="s">
        <v>1679</v>
      </c>
      <c r="B7" s="352"/>
      <c r="C7" s="353">
        <f>'数据-取费表'!B2</f>
        <v>45734</v>
      </c>
      <c r="D7" s="354">
        <v>100</v>
      </c>
      <c r="E7" s="355"/>
      <c r="F7" s="356">
        <f>SUMIF(48:48,YEAR(E7)&amp;"-"&amp;MONTH(E7),49:49)</f>
        <v>0</v>
      </c>
      <c r="G7" s="355"/>
      <c r="H7" s="354">
        <f>SUMIF(48:48,YEAR(G7)&amp;"-"&amp;MONTH(G7),49:49)</f>
        <v>0</v>
      </c>
      <c r="I7" s="355"/>
      <c r="J7" s="354">
        <f>SUMIF(48:48,YEAR(I7)&amp;"-"&amp;MONTH(I7),49:49)</f>
        <v>0</v>
      </c>
      <c r="K7" s="38"/>
      <c r="L7" s="2485"/>
      <c r="M7" s="2437"/>
      <c r="N7" s="2437"/>
      <c r="O7" s="2437"/>
      <c r="P7" s="3412" t="s">
        <v>1680</v>
      </c>
      <c r="Q7" s="3414"/>
      <c r="R7" s="663" t="s">
        <v>14</v>
      </c>
      <c r="S7" s="664">
        <f t="shared" ref="S7:S14" si="0">F7</f>
        <v>0</v>
      </c>
      <c r="T7" s="663" t="s">
        <v>14</v>
      </c>
      <c r="U7" s="664">
        <f t="shared" ref="U7:U14" si="1">H7</f>
        <v>0</v>
      </c>
      <c r="V7" s="663" t="s">
        <v>14</v>
      </c>
      <c r="W7" s="664">
        <f t="shared" ref="W7:W14" si="2">J7</f>
        <v>0</v>
      </c>
      <c r="X7" s="665"/>
      <c r="Y7" s="3412" t="s">
        <v>1680</v>
      </c>
      <c r="Z7" s="3413"/>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12" t="s">
        <v>1683</v>
      </c>
      <c r="Q8" s="3413"/>
      <c r="R8" s="663" t="s">
        <v>14</v>
      </c>
      <c r="S8" s="664">
        <f t="shared" si="0"/>
        <v>100</v>
      </c>
      <c r="T8" s="663" t="s">
        <v>14</v>
      </c>
      <c r="U8" s="664">
        <f t="shared" si="1"/>
        <v>100</v>
      </c>
      <c r="V8" s="663" t="s">
        <v>14</v>
      </c>
      <c r="W8" s="664">
        <f t="shared" si="2"/>
        <v>100</v>
      </c>
      <c r="X8" s="665"/>
      <c r="Y8" s="3412" t="s">
        <v>1683</v>
      </c>
      <c r="Z8" s="3413"/>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4" t="s">
        <v>1686</v>
      </c>
      <c r="Q9" s="529" t="str">
        <f t="shared" ref="Q9:Q14" si="6">B9</f>
        <v>用途</v>
      </c>
      <c r="R9" s="663" t="s">
        <v>14</v>
      </c>
      <c r="S9" s="664">
        <f t="shared" si="0"/>
        <v>100</v>
      </c>
      <c r="T9" s="663" t="s">
        <v>14</v>
      </c>
      <c r="U9" s="664">
        <f t="shared" si="1"/>
        <v>100</v>
      </c>
      <c r="V9" s="663" t="s">
        <v>14</v>
      </c>
      <c r="W9" s="664">
        <f t="shared" si="2"/>
        <v>100</v>
      </c>
      <c r="X9" s="665"/>
      <c r="Y9" s="3281" t="s">
        <v>1687</v>
      </c>
      <c r="Z9" s="50" t="str">
        <f t="shared" ref="Z9:Z14" si="7">Q9</f>
        <v>用途</v>
      </c>
      <c r="AA9" s="50">
        <f t="shared" si="3"/>
        <v>1</v>
      </c>
      <c r="AB9" s="50">
        <f t="shared" si="4"/>
        <v>1</v>
      </c>
      <c r="AC9" s="50">
        <f t="shared" si="5"/>
        <v>1</v>
      </c>
    </row>
    <row r="10" spans="1:29" s="365"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374"/>
      <c r="Q11" s="529">
        <f t="shared" si="6"/>
        <v>111</v>
      </c>
      <c r="R11" s="663" t="s">
        <v>14</v>
      </c>
      <c r="S11" s="664">
        <f t="shared" si="0"/>
        <v>100</v>
      </c>
      <c r="T11" s="663" t="s">
        <v>14</v>
      </c>
      <c r="U11" s="664">
        <f t="shared" si="1"/>
        <v>100</v>
      </c>
      <c r="V11" s="663" t="s">
        <v>14</v>
      </c>
      <c r="W11" s="664">
        <f t="shared" si="2"/>
        <v>100</v>
      </c>
      <c r="X11" s="665"/>
      <c r="Y11" s="3281"/>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7"/>
      <c r="N12" s="2437"/>
      <c r="O12" s="2437"/>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
      <c r="A14" s="344" t="s">
        <v>1690</v>
      </c>
      <c r="B14" s="553" t="s">
        <v>1833</v>
      </c>
      <c r="C14" s="181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81" t="s">
        <v>1691</v>
      </c>
      <c r="Q14" s="1262" t="str">
        <f t="shared" si="6"/>
        <v>交通便捷度</v>
      </c>
      <c r="R14" s="666" t="s">
        <v>14</v>
      </c>
      <c r="S14" s="667">
        <f t="shared" si="0"/>
        <v>100</v>
      </c>
      <c r="T14" s="666" t="s">
        <v>14</v>
      </c>
      <c r="U14" s="667">
        <f t="shared" si="1"/>
        <v>100</v>
      </c>
      <c r="V14" s="666" t="s">
        <v>14</v>
      </c>
      <c r="W14" s="667">
        <f t="shared" si="2"/>
        <v>100</v>
      </c>
      <c r="X14" s="1264"/>
      <c r="Y14" s="3381"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82"/>
      <c r="Q15" s="1262"/>
      <c r="R15" s="666"/>
      <c r="S15" s="667"/>
      <c r="T15" s="666"/>
      <c r="U15" s="667"/>
      <c r="V15" s="666"/>
      <c r="W15" s="667"/>
      <c r="X15" s="1264"/>
      <c r="Y15" s="3382"/>
      <c r="Z15" s="1263"/>
      <c r="AA15" s="1263">
        <v>1</v>
      </c>
      <c r="AB15" s="1263">
        <v>1</v>
      </c>
      <c r="AC15" s="1263">
        <v>1</v>
      </c>
    </row>
    <row r="16" spans="1:29" ht="15">
      <c r="A16" s="347"/>
      <c r="B16" s="555" t="s">
        <v>1812</v>
      </c>
      <c r="C16" s="175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82"/>
      <c r="Q17" s="1262"/>
      <c r="R17" s="666"/>
      <c r="S17" s="667"/>
      <c r="T17" s="666"/>
      <c r="U17" s="667"/>
      <c r="V17" s="666"/>
      <c r="W17" s="667"/>
      <c r="X17" s="1264"/>
      <c r="Y17" s="3382"/>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82"/>
      <c r="Q19" s="1262"/>
      <c r="R19" s="666"/>
      <c r="S19" s="667"/>
      <c r="T19" s="666"/>
      <c r="U19" s="667"/>
      <c r="V19" s="666"/>
      <c r="W19" s="667"/>
      <c r="X19" s="1264"/>
      <c r="Y19" s="3382"/>
      <c r="Z19" s="1263"/>
      <c r="AA19" s="1263">
        <v>1</v>
      </c>
      <c r="AB19" s="1263">
        <v>1</v>
      </c>
      <c r="AC19" s="1263">
        <v>1</v>
      </c>
    </row>
    <row r="20" spans="1:29" ht="15">
      <c r="A20" s="347"/>
      <c r="B20" s="555" t="s">
        <v>1834</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82"/>
      <c r="Q21" s="1262"/>
      <c r="R21" s="666"/>
      <c r="S21" s="667"/>
      <c r="T21" s="666"/>
      <c r="U21" s="667"/>
      <c r="V21" s="666"/>
      <c r="W21" s="667"/>
      <c r="X21" s="1264"/>
      <c r="Y21" s="3382"/>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82"/>
      <c r="Q24" s="1262">
        <f t="shared" ref="Q24:Q36"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82"/>
      <c r="Q25" s="529">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6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6" t="s">
        <v>1696</v>
      </c>
      <c r="Z26" s="1263" t="str">
        <f t="shared" ref="Z26:Z36" si="15">Q26</f>
        <v>配套类型</v>
      </c>
      <c r="AA26" s="1263" t="e">
        <f t="shared" si="3"/>
        <v>#DIV/0!</v>
      </c>
      <c r="AB26" s="1263" t="e">
        <f t="shared" si="4"/>
        <v>#DIV/0!</v>
      </c>
      <c r="AC26" s="1263"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6"/>
      <c r="Q27" s="530" t="str">
        <f t="shared" si="11"/>
        <v>项目停车位配比</v>
      </c>
      <c r="R27" s="668" t="s">
        <v>14</v>
      </c>
      <c r="S27" s="669">
        <f t="shared" si="12"/>
        <v>100</v>
      </c>
      <c r="T27" s="668" t="s">
        <v>14</v>
      </c>
      <c r="U27" s="669">
        <f t="shared" si="13"/>
        <v>100</v>
      </c>
      <c r="V27" s="668" t="s">
        <v>14</v>
      </c>
      <c r="W27" s="669">
        <f t="shared" si="14"/>
        <v>100</v>
      </c>
      <c r="X27" s="670"/>
      <c r="Y27" s="3386"/>
      <c r="Z27" s="671" t="str">
        <f t="shared" si="15"/>
        <v>项目停车位配比</v>
      </c>
      <c r="AA27" s="1263">
        <f t="shared" si="3"/>
        <v>1</v>
      </c>
      <c r="AB27" s="1263">
        <f t="shared" si="4"/>
        <v>1</v>
      </c>
      <c r="AC27" s="1263">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6"/>
      <c r="Q28" s="1262" t="str">
        <f t="shared" si="11"/>
        <v>公共部分装修</v>
      </c>
      <c r="R28" s="666" t="s">
        <v>14</v>
      </c>
      <c r="S28" s="667">
        <f t="shared" si="12"/>
        <v>100</v>
      </c>
      <c r="T28" s="666" t="s">
        <v>14</v>
      </c>
      <c r="U28" s="667">
        <f t="shared" si="13"/>
        <v>100</v>
      </c>
      <c r="V28" s="666" t="s">
        <v>14</v>
      </c>
      <c r="W28" s="667">
        <f t="shared" si="14"/>
        <v>100</v>
      </c>
      <c r="X28" s="1264"/>
      <c r="Y28" s="3386"/>
      <c r="Z28" s="1263" t="str">
        <f t="shared" si="15"/>
        <v>公共部分装修</v>
      </c>
      <c r="AA28" s="1263">
        <f t="shared" si="3"/>
        <v>1</v>
      </c>
      <c r="AB28" s="1263">
        <f t="shared" si="4"/>
        <v>1</v>
      </c>
      <c r="AC28" s="1263">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6"/>
      <c r="Q29" s="1262" t="str">
        <f t="shared" si="11"/>
        <v>成新率</v>
      </c>
      <c r="R29" s="666" t="s">
        <v>14</v>
      </c>
      <c r="S29" s="667" t="e">
        <f t="shared" si="12"/>
        <v>#N/A</v>
      </c>
      <c r="T29" s="666" t="s">
        <v>14</v>
      </c>
      <c r="U29" s="667" t="e">
        <f t="shared" si="13"/>
        <v>#N/A</v>
      </c>
      <c r="V29" s="666" t="s">
        <v>14</v>
      </c>
      <c r="W29" s="667" t="e">
        <f t="shared" si="14"/>
        <v>#N/A</v>
      </c>
      <c r="X29" s="1264"/>
      <c r="Y29" s="3386"/>
      <c r="Z29" s="1263" t="str">
        <f t="shared" si="15"/>
        <v>成新率</v>
      </c>
      <c r="AA29" s="1263" t="e">
        <f t="shared" si="3"/>
        <v>#N/A</v>
      </c>
      <c r="AB29" s="1263" t="e">
        <f t="shared" si="4"/>
        <v>#N/A</v>
      </c>
      <c r="AC29" s="1263"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6"/>
      <c r="Q30" s="1262" t="str">
        <f t="shared" si="11"/>
        <v>物业等级</v>
      </c>
      <c r="R30" s="666" t="s">
        <v>14</v>
      </c>
      <c r="S30" s="667">
        <f t="shared" si="12"/>
        <v>100</v>
      </c>
      <c r="T30" s="666" t="s">
        <v>14</v>
      </c>
      <c r="U30" s="667">
        <f t="shared" si="13"/>
        <v>100</v>
      </c>
      <c r="V30" s="666" t="s">
        <v>14</v>
      </c>
      <c r="W30" s="667">
        <f t="shared" si="14"/>
        <v>100</v>
      </c>
      <c r="X30" s="1264"/>
      <c r="Y30" s="3386"/>
      <c r="Z30" s="1263" t="str">
        <f t="shared" si="15"/>
        <v>物业等级</v>
      </c>
      <c r="AA30" s="1263">
        <f t="shared" si="3"/>
        <v>1</v>
      </c>
      <c r="AB30" s="1263">
        <f t="shared" si="4"/>
        <v>1</v>
      </c>
      <c r="AC30" s="1263">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86"/>
      <c r="Q31" s="529" t="str">
        <f t="shared" si="11"/>
        <v>停车位面积</v>
      </c>
      <c r="R31" s="663" t="s">
        <v>14</v>
      </c>
      <c r="S31" s="664" t="e">
        <f t="shared" si="12"/>
        <v>#N/A</v>
      </c>
      <c r="T31" s="663" t="s">
        <v>14</v>
      </c>
      <c r="U31" s="664" t="e">
        <f t="shared" si="13"/>
        <v>#N/A</v>
      </c>
      <c r="V31" s="663" t="s">
        <v>14</v>
      </c>
      <c r="W31" s="664" t="e">
        <f t="shared" si="14"/>
        <v>#N/A</v>
      </c>
      <c r="X31" s="665"/>
      <c r="Y31" s="3386"/>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6" t="s">
        <v>1696</v>
      </c>
      <c r="Q32" s="1262" t="str">
        <f t="shared" si="11"/>
        <v>车位类型</v>
      </c>
      <c r="R32" s="666" t="s">
        <v>14</v>
      </c>
      <c r="S32" s="667">
        <f t="shared" si="12"/>
        <v>100</v>
      </c>
      <c r="T32" s="666" t="s">
        <v>14</v>
      </c>
      <c r="U32" s="667">
        <f t="shared" si="13"/>
        <v>100</v>
      </c>
      <c r="V32" s="666" t="s">
        <v>14</v>
      </c>
      <c r="W32" s="667">
        <f t="shared" si="14"/>
        <v>100</v>
      </c>
      <c r="X32" s="1264"/>
      <c r="Y32" s="3386" t="s">
        <v>1696</v>
      </c>
      <c r="Z32" s="1263" t="str">
        <f t="shared" si="15"/>
        <v>车位类型</v>
      </c>
      <c r="AA32" s="1263">
        <f t="shared" si="3"/>
        <v>1</v>
      </c>
      <c r="AB32" s="1263">
        <f t="shared" si="4"/>
        <v>1</v>
      </c>
      <c r="AC32" s="1263">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6"/>
      <c r="Q33" s="1262" t="str">
        <f t="shared" si="11"/>
        <v>是否直接入户</v>
      </c>
      <c r="R33" s="666" t="s">
        <v>14</v>
      </c>
      <c r="S33" s="667">
        <f t="shared" si="12"/>
        <v>100</v>
      </c>
      <c r="T33" s="666" t="s">
        <v>14</v>
      </c>
      <c r="U33" s="667">
        <f t="shared" si="13"/>
        <v>100</v>
      </c>
      <c r="V33" s="666" t="s">
        <v>14</v>
      </c>
      <c r="W33" s="667">
        <f t="shared" si="14"/>
        <v>100</v>
      </c>
      <c r="X33" s="1264"/>
      <c r="Y33" s="3386"/>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6"/>
      <c r="Q35" s="530">
        <f t="shared" si="11"/>
        <v>111</v>
      </c>
      <c r="R35" s="668" t="s">
        <v>14</v>
      </c>
      <c r="S35" s="669">
        <f t="shared" si="12"/>
        <v>100</v>
      </c>
      <c r="T35" s="668" t="s">
        <v>14</v>
      </c>
      <c r="U35" s="669">
        <f t="shared" si="13"/>
        <v>100</v>
      </c>
      <c r="V35" s="668" t="s">
        <v>14</v>
      </c>
      <c r="W35" s="669">
        <f t="shared" si="14"/>
        <v>100</v>
      </c>
      <c r="X35" s="670"/>
      <c r="Y35" s="3386"/>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6"/>
      <c r="Q36" s="1262">
        <f t="shared" si="11"/>
        <v>111</v>
      </c>
      <c r="R36" s="666" t="s">
        <v>14</v>
      </c>
      <c r="S36" s="667">
        <f t="shared" si="12"/>
        <v>100</v>
      </c>
      <c r="T36" s="666" t="s">
        <v>14</v>
      </c>
      <c r="U36" s="667">
        <f t="shared" si="13"/>
        <v>100</v>
      </c>
      <c r="V36" s="666" t="s">
        <v>14</v>
      </c>
      <c r="W36" s="667">
        <f t="shared" si="14"/>
        <v>100</v>
      </c>
      <c r="X36" s="1264"/>
      <c r="Y36" s="3386"/>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374" t="str">
        <f>A37</f>
        <v>成交单价</v>
      </c>
      <c r="Q37" s="3374"/>
      <c r="R37" s="3375">
        <f>E37</f>
        <v>0</v>
      </c>
      <c r="S37" s="3375"/>
      <c r="T37" s="3375">
        <f>G37</f>
        <v>0</v>
      </c>
      <c r="U37" s="3375"/>
      <c r="V37" s="3375">
        <f>I37</f>
        <v>0</v>
      </c>
      <c r="W37" s="3375"/>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76" t="str">
        <f>A39</f>
        <v>估价对象XX用房的比较价值（楼面单价，元/平方米）</v>
      </c>
      <c r="Q39" s="3377"/>
      <c r="R39" s="3468" t="e">
        <f>IF(F1="售价",ROUND(IF(D38="简单平均",AVERAGE(R38:W38),R38*F38+T38*H38+V38*J38),0),ROUND(IF(D38="简单平均",AVERAGE(R38:V38),R38*F38+T38*H38+V38*J38),1))</f>
        <v>#DIV/0!</v>
      </c>
      <c r="S39" s="3468"/>
      <c r="T39" s="3468"/>
      <c r="U39" s="3468"/>
      <c r="V39" s="3468"/>
      <c r="W39" s="3468"/>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4"/>
      <c r="Q48" s="2507"/>
      <c r="R48" s="2507"/>
      <c r="S48" s="2507"/>
      <c r="T48" s="2507"/>
      <c r="U48" s="2507"/>
      <c r="V48" s="2507"/>
      <c r="W48" s="2507"/>
      <c r="X48" s="2507"/>
      <c r="Y48" s="2507"/>
      <c r="Z48" s="2507"/>
      <c r="AA48" s="2507"/>
      <c r="AB48" s="2507"/>
      <c r="AC48" s="2507"/>
    </row>
    <row r="49" spans="1:29" s="102"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受贵公司委托，我公司对北京市通州区光华路18号院房地产抵押价值进行了预评估。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估价对象为北京市通州区光华路18号院房地产，为所有。根据《国有土地使用证》[]，估价对象（分摊）出让国有建设用地使用权面积为8001.46平方米，建筑面积为1106.44平方米。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光华路18号院房地产,属开发建设的商业项目，该项目尚在开发建设中。根据《国有土地使用证》[]，估价对象（分摊）出让国有建设用地使用权面积为8001.46平方米，规划建筑面积为1106.44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2025年3月18日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3322</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402" t="s">
        <v>1771</v>
      </c>
      <c r="S4" s="3403"/>
      <c r="T4" s="3402" t="s">
        <v>1772</v>
      </c>
      <c r="U4" s="3403"/>
      <c r="V4" s="3375" t="s">
        <v>1773</v>
      </c>
      <c r="W4" s="3375"/>
      <c r="X4" s="1264"/>
      <c r="Y4" s="3402" t="s">
        <v>1775</v>
      </c>
      <c r="Z4" s="3403"/>
      <c r="AA4" s="3389" t="s">
        <v>1771</v>
      </c>
      <c r="AB4" s="3390" t="s">
        <v>1772</v>
      </c>
      <c r="AC4" s="3389" t="s">
        <v>1773</v>
      </c>
    </row>
    <row r="5" spans="1:29">
      <c r="A5" s="347"/>
      <c r="B5" s="348"/>
      <c r="C5" s="3410" t="s">
        <v>1673</v>
      </c>
      <c r="D5" s="3411"/>
      <c r="E5" s="3417" t="s">
        <v>1674</v>
      </c>
      <c r="F5" s="3418"/>
      <c r="G5" s="3410" t="s">
        <v>1675</v>
      </c>
      <c r="H5" s="3411"/>
      <c r="I5" s="3410" t="s">
        <v>1676</v>
      </c>
      <c r="J5" s="3411"/>
      <c r="K5" s="536"/>
      <c r="L5" s="2483"/>
      <c r="M5" s="2484"/>
      <c r="N5" s="2484"/>
      <c r="O5" s="2484"/>
      <c r="P5" s="3398"/>
      <c r="Q5" s="3399"/>
      <c r="R5" s="3404"/>
      <c r="S5" s="3405"/>
      <c r="T5" s="3404"/>
      <c r="U5" s="3405"/>
      <c r="V5" s="3375"/>
      <c r="W5" s="3375"/>
      <c r="X5" s="1264"/>
      <c r="Y5" s="3404"/>
      <c r="Z5" s="3405"/>
      <c r="AA5" s="3390"/>
      <c r="AB5" s="3390"/>
      <c r="AC5" s="3390"/>
    </row>
    <row r="6" spans="1:29" ht="15" thickBot="1">
      <c r="A6" s="349"/>
      <c r="B6" s="350"/>
      <c r="C6" s="3408" t="s">
        <v>1677</v>
      </c>
      <c r="D6" s="3409"/>
      <c r="E6" s="3415" t="s">
        <v>1677</v>
      </c>
      <c r="F6" s="3416"/>
      <c r="G6" s="3408" t="s">
        <v>1677</v>
      </c>
      <c r="H6" s="3409"/>
      <c r="I6" s="3408" t="s">
        <v>1677</v>
      </c>
      <c r="J6" s="3409"/>
      <c r="K6" s="536" t="s">
        <v>1678</v>
      </c>
      <c r="L6" s="2483"/>
      <c r="M6" s="2484"/>
      <c r="N6" s="2484"/>
      <c r="O6" s="2484"/>
      <c r="P6" s="3400"/>
      <c r="Q6" s="3401"/>
      <c r="R6" s="3404"/>
      <c r="S6" s="3405"/>
      <c r="T6" s="3406"/>
      <c r="U6" s="3407"/>
      <c r="V6" s="3375"/>
      <c r="W6" s="3375"/>
      <c r="X6" s="1264"/>
      <c r="Y6" s="3406"/>
      <c r="Z6" s="3407"/>
      <c r="AA6" s="3391"/>
      <c r="AB6" s="3391"/>
      <c r="AC6" s="3391"/>
    </row>
    <row r="7" spans="1:29" s="102" customFormat="1" ht="15" thickBot="1">
      <c r="A7" s="351" t="s">
        <v>1679</v>
      </c>
      <c r="B7" s="352"/>
      <c r="C7" s="353">
        <f>'数据-取费表'!B2</f>
        <v>45734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12" t="s">
        <v>1680</v>
      </c>
      <c r="Q7" s="3414"/>
      <c r="R7" s="663" t="s">
        <v>14</v>
      </c>
      <c r="S7" s="664">
        <f t="shared" ref="S7:S14" si="0">F7</f>
        <v>0</v>
      </c>
      <c r="T7" s="663" t="s">
        <v>14</v>
      </c>
      <c r="U7" s="664">
        <f t="shared" ref="U7:U14" si="1">H7</f>
        <v>0</v>
      </c>
      <c r="V7" s="663" t="s">
        <v>14</v>
      </c>
      <c r="W7" s="664">
        <f t="shared" ref="W7:W14" si="2">J7</f>
        <v>0</v>
      </c>
      <c r="X7" s="665"/>
      <c r="Y7" s="3412" t="s">
        <v>1680</v>
      </c>
      <c r="Z7" s="3413"/>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12" t="s">
        <v>1683</v>
      </c>
      <c r="Q8" s="3413"/>
      <c r="R8" s="663" t="s">
        <v>14</v>
      </c>
      <c r="S8" s="664">
        <f t="shared" si="0"/>
        <v>100</v>
      </c>
      <c r="T8" s="663" t="s">
        <v>14</v>
      </c>
      <c r="U8" s="664">
        <f t="shared" si="1"/>
        <v>100</v>
      </c>
      <c r="V8" s="663" t="s">
        <v>14</v>
      </c>
      <c r="W8" s="664">
        <f t="shared" si="2"/>
        <v>100</v>
      </c>
      <c r="X8" s="665"/>
      <c r="Y8" s="3412" t="s">
        <v>1683</v>
      </c>
      <c r="Z8" s="3413"/>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4" t="s">
        <v>1686</v>
      </c>
      <c r="Q9" s="529" t="str">
        <f t="shared" ref="Q9:Q14" si="6">B9</f>
        <v>用途</v>
      </c>
      <c r="R9" s="663" t="s">
        <v>14</v>
      </c>
      <c r="S9" s="664">
        <f t="shared" si="0"/>
        <v>100</v>
      </c>
      <c r="T9" s="663" t="s">
        <v>14</v>
      </c>
      <c r="U9" s="664">
        <f t="shared" si="1"/>
        <v>100</v>
      </c>
      <c r="V9" s="663" t="s">
        <v>14</v>
      </c>
      <c r="W9" s="664">
        <f t="shared" si="2"/>
        <v>100</v>
      </c>
      <c r="X9" s="665"/>
      <c r="Y9" s="3281" t="s">
        <v>1687</v>
      </c>
      <c r="Z9" s="50" t="str">
        <f t="shared" ref="Z9:Z14" si="7">Q9</f>
        <v>用途</v>
      </c>
      <c r="AA9" s="50">
        <f t="shared" si="3"/>
        <v>1</v>
      </c>
      <c r="AB9" s="50">
        <f t="shared" si="4"/>
        <v>1</v>
      </c>
      <c r="AC9" s="50">
        <f t="shared" si="5"/>
        <v>1</v>
      </c>
    </row>
    <row r="10" spans="1:29" s="365" customFormat="1" ht="28.8">
      <c r="A10" s="362"/>
      <c r="B10" s="363" t="s">
        <v>1688</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374"/>
      <c r="Q11" s="529">
        <f t="shared" si="6"/>
        <v>111</v>
      </c>
      <c r="R11" s="663" t="s">
        <v>14</v>
      </c>
      <c r="S11" s="664">
        <f t="shared" si="0"/>
        <v>100</v>
      </c>
      <c r="T11" s="663" t="s">
        <v>14</v>
      </c>
      <c r="U11" s="664">
        <f t="shared" si="1"/>
        <v>100</v>
      </c>
      <c r="V11" s="663" t="s">
        <v>14</v>
      </c>
      <c r="W11" s="664">
        <f t="shared" si="2"/>
        <v>100</v>
      </c>
      <c r="X11" s="665"/>
      <c r="Y11" s="3281"/>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7"/>
      <c r="N12" s="2437"/>
      <c r="O12" s="2537"/>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
      <c r="A14" s="378" t="s">
        <v>1690</v>
      </c>
      <c r="B14" s="58" t="s">
        <v>1833</v>
      </c>
      <c r="C14" s="181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81" t="s">
        <v>1691</v>
      </c>
      <c r="Q14" s="1262" t="str">
        <f t="shared" si="6"/>
        <v>交通便捷度</v>
      </c>
      <c r="R14" s="666" t="s">
        <v>14</v>
      </c>
      <c r="S14" s="667">
        <f t="shared" si="0"/>
        <v>100</v>
      </c>
      <c r="T14" s="666" t="s">
        <v>14</v>
      </c>
      <c r="U14" s="667">
        <f t="shared" si="1"/>
        <v>100</v>
      </c>
      <c r="V14" s="666" t="s">
        <v>14</v>
      </c>
      <c r="W14" s="667">
        <f t="shared" si="2"/>
        <v>100</v>
      </c>
      <c r="X14" s="1264"/>
      <c r="Y14" s="3381"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82"/>
      <c r="Q15" s="1262"/>
      <c r="R15" s="666"/>
      <c r="S15" s="667"/>
      <c r="T15" s="666"/>
      <c r="U15" s="667"/>
      <c r="V15" s="666"/>
      <c r="W15" s="667"/>
      <c r="X15" s="1264"/>
      <c r="Y15" s="3382"/>
      <c r="Z15" s="1263"/>
      <c r="AA15" s="1263">
        <v>1</v>
      </c>
      <c r="AB15" s="1263">
        <v>1</v>
      </c>
      <c r="AC15" s="1263">
        <v>1</v>
      </c>
    </row>
    <row r="16" spans="1:29" ht="15">
      <c r="A16" s="366"/>
      <c r="B16" s="389" t="s">
        <v>1812</v>
      </c>
      <c r="C16" s="175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82"/>
      <c r="Q17" s="1262"/>
      <c r="R17" s="666"/>
      <c r="S17" s="667"/>
      <c r="T17" s="666"/>
      <c r="U17" s="667"/>
      <c r="V17" s="666"/>
      <c r="W17" s="667"/>
      <c r="X17" s="1264"/>
      <c r="Y17" s="3382"/>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82"/>
      <c r="Q19" s="1262"/>
      <c r="R19" s="666"/>
      <c r="S19" s="667"/>
      <c r="T19" s="666"/>
      <c r="U19" s="667"/>
      <c r="V19" s="666"/>
      <c r="W19" s="667"/>
      <c r="X19" s="1264"/>
      <c r="Y19" s="3382"/>
      <c r="Z19" s="1263"/>
      <c r="AA19" s="1263">
        <v>1</v>
      </c>
      <c r="AB19" s="1263">
        <v>1</v>
      </c>
      <c r="AC19" s="1263">
        <v>1</v>
      </c>
    </row>
    <row r="20" spans="1:29" ht="15">
      <c r="A20" s="366"/>
      <c r="B20" s="389" t="s">
        <v>1834</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82"/>
      <c r="Q21" s="1262"/>
      <c r="R21" s="666"/>
      <c r="S21" s="667"/>
      <c r="T21" s="666"/>
      <c r="U21" s="667"/>
      <c r="V21" s="666"/>
      <c r="W21" s="667"/>
      <c r="X21" s="1264"/>
      <c r="Y21" s="3382"/>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82"/>
      <c r="Q24" s="1262">
        <f t="shared" ref="Q24:Q34"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82"/>
      <c r="Q25" s="529">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6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6"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6"/>
      <c r="Q27" s="530" t="str">
        <f t="shared" si="11"/>
        <v>成新率</v>
      </c>
      <c r="R27" s="668" t="s">
        <v>14</v>
      </c>
      <c r="S27" s="669" t="e">
        <f t="shared" si="12"/>
        <v>#N/A</v>
      </c>
      <c r="T27" s="668" t="s">
        <v>14</v>
      </c>
      <c r="U27" s="669" t="e">
        <f t="shared" si="13"/>
        <v>#N/A</v>
      </c>
      <c r="V27" s="668" t="s">
        <v>14</v>
      </c>
      <c r="W27" s="669" t="e">
        <f t="shared" si="14"/>
        <v>#N/A</v>
      </c>
      <c r="X27" s="670"/>
      <c r="Y27" s="3386"/>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6"/>
      <c r="Q28" s="1262" t="str">
        <f t="shared" si="11"/>
        <v>物业等级</v>
      </c>
      <c r="R28" s="666" t="s">
        <v>14</v>
      </c>
      <c r="S28" s="667">
        <f t="shared" si="12"/>
        <v>100</v>
      </c>
      <c r="T28" s="666" t="s">
        <v>14</v>
      </c>
      <c r="U28" s="667">
        <f t="shared" si="13"/>
        <v>100</v>
      </c>
      <c r="V28" s="666" t="s">
        <v>14</v>
      </c>
      <c r="W28" s="667">
        <f t="shared" si="14"/>
        <v>100</v>
      </c>
      <c r="X28" s="1264"/>
      <c r="Y28" s="3386"/>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6"/>
      <c r="Q29" s="1262" t="str">
        <f t="shared" si="11"/>
        <v>有无电梯</v>
      </c>
      <c r="R29" s="666" t="s">
        <v>14</v>
      </c>
      <c r="S29" s="667">
        <f t="shared" si="12"/>
        <v>100</v>
      </c>
      <c r="T29" s="666" t="s">
        <v>14</v>
      </c>
      <c r="U29" s="667">
        <f t="shared" si="13"/>
        <v>100</v>
      </c>
      <c r="V29" s="666" t="s">
        <v>14</v>
      </c>
      <c r="W29" s="667">
        <f t="shared" si="14"/>
        <v>100</v>
      </c>
      <c r="X29" s="1264"/>
      <c r="Y29" s="3386"/>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6"/>
      <c r="Q30" s="1262" t="str">
        <f t="shared" si="11"/>
        <v>建筑面积</v>
      </c>
      <c r="R30" s="666" t="s">
        <v>14</v>
      </c>
      <c r="S30" s="667" t="e">
        <f t="shared" si="12"/>
        <v>#N/A</v>
      </c>
      <c r="T30" s="666" t="s">
        <v>14</v>
      </c>
      <c r="U30" s="667" t="e">
        <f t="shared" si="13"/>
        <v>#N/A</v>
      </c>
      <c r="V30" s="666" t="s">
        <v>14</v>
      </c>
      <c r="W30" s="667" t="e">
        <f t="shared" si="14"/>
        <v>#N/A</v>
      </c>
      <c r="X30" s="1264"/>
      <c r="Y30" s="3386"/>
      <c r="Z30" s="1263" t="str">
        <f t="shared" si="15"/>
        <v>建筑面积</v>
      </c>
      <c r="AA30" s="1263" t="e">
        <f t="shared" si="3"/>
        <v>#N/A</v>
      </c>
      <c r="AB30" s="1263" t="e">
        <f t="shared" si="4"/>
        <v>#N/A</v>
      </c>
      <c r="AC30" s="1263"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86"/>
      <c r="Q31" s="529" t="str">
        <f t="shared" si="11"/>
        <v>是否封闭</v>
      </c>
      <c r="R31" s="663" t="s">
        <v>14</v>
      </c>
      <c r="S31" s="664">
        <f t="shared" si="12"/>
        <v>100</v>
      </c>
      <c r="T31" s="663" t="s">
        <v>14</v>
      </c>
      <c r="U31" s="664">
        <f t="shared" si="13"/>
        <v>100</v>
      </c>
      <c r="V31" s="663" t="s">
        <v>14</v>
      </c>
      <c r="W31" s="664">
        <f t="shared" si="14"/>
        <v>100</v>
      </c>
      <c r="X31" s="665"/>
      <c r="Y31" s="338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6" t="s">
        <v>1696</v>
      </c>
      <c r="Q32" s="1262">
        <f t="shared" si="11"/>
        <v>111</v>
      </c>
      <c r="R32" s="666" t="s">
        <v>14</v>
      </c>
      <c r="S32" s="667">
        <f t="shared" si="12"/>
        <v>100</v>
      </c>
      <c r="T32" s="666" t="s">
        <v>14</v>
      </c>
      <c r="U32" s="667">
        <f t="shared" si="13"/>
        <v>100</v>
      </c>
      <c r="V32" s="666" t="s">
        <v>14</v>
      </c>
      <c r="W32" s="667">
        <f t="shared" si="14"/>
        <v>100</v>
      </c>
      <c r="X32" s="1264"/>
      <c r="Y32" s="3386"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6"/>
      <c r="Q33" s="1262">
        <f t="shared" si="11"/>
        <v>111</v>
      </c>
      <c r="R33" s="666" t="s">
        <v>14</v>
      </c>
      <c r="S33" s="667">
        <f t="shared" si="12"/>
        <v>100</v>
      </c>
      <c r="T33" s="666" t="s">
        <v>14</v>
      </c>
      <c r="U33" s="667">
        <f t="shared" si="13"/>
        <v>100</v>
      </c>
      <c r="V33" s="666" t="s">
        <v>14</v>
      </c>
      <c r="W33" s="667">
        <f t="shared" si="14"/>
        <v>100</v>
      </c>
      <c r="X33" s="1264"/>
      <c r="Y33" s="3386"/>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74" t="str">
        <f>A35</f>
        <v>成交单价（元/平方米）</v>
      </c>
      <c r="Q35" s="3374"/>
      <c r="R35" s="3375">
        <f>E35</f>
        <v>0</v>
      </c>
      <c r="S35" s="3375"/>
      <c r="T35" s="3375">
        <f>G35</f>
        <v>0</v>
      </c>
      <c r="U35" s="3375"/>
      <c r="V35" s="3375">
        <f>I35</f>
        <v>0</v>
      </c>
      <c r="W35" s="3375"/>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76" t="str">
        <f>A37</f>
        <v>估价对象XX用房的比较价值（楼面单价，元/平方米）</v>
      </c>
      <c r="Q37" s="3377"/>
      <c r="R37" s="3468" t="e">
        <f>IF(F1="售价",ROUND(IF(D36="简单平均",AVERAGE(R36:W36),R36*F36+T36*H36+V36*J36),0),ROUND(IF(D36="简单平均",AVERAGE(R36:V36),R36*F36+T36*H36+V36*J36),1))</f>
        <v>#DIV/0!</v>
      </c>
      <c r="S37" s="3468"/>
      <c r="T37" s="3468"/>
      <c r="U37" s="3468"/>
      <c r="V37" s="3468"/>
      <c r="W37" s="3468"/>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7"/>
      <c r="Q46" s="2507"/>
      <c r="R46" s="2507"/>
      <c r="S46" s="2507"/>
      <c r="T46" s="2507"/>
      <c r="U46" s="2507"/>
      <c r="V46" s="2507"/>
      <c r="W46" s="2507"/>
      <c r="X46" s="2507"/>
      <c r="Y46" s="2507"/>
      <c r="Z46" s="2507"/>
      <c r="AA46" s="2507"/>
      <c r="AB46" s="2507"/>
      <c r="AC46" s="2507"/>
      <c r="AD46" s="2507"/>
    </row>
    <row r="47" spans="1:30" s="102"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402" t="s">
        <v>1771</v>
      </c>
      <c r="S4" s="3403"/>
      <c r="T4" s="3402" t="s">
        <v>1772</v>
      </c>
      <c r="U4" s="3403"/>
      <c r="V4" s="3375" t="s">
        <v>1773</v>
      </c>
      <c r="W4" s="3375"/>
      <c r="X4" s="1264"/>
      <c r="Y4" s="3402" t="s">
        <v>1775</v>
      </c>
      <c r="Z4" s="3403"/>
      <c r="AA4" s="3389" t="s">
        <v>1771</v>
      </c>
      <c r="AB4" s="3390" t="s">
        <v>1772</v>
      </c>
      <c r="AC4" s="3389" t="s">
        <v>1773</v>
      </c>
    </row>
    <row r="5" spans="1:29">
      <c r="A5" s="347"/>
      <c r="B5" s="348"/>
      <c r="C5" s="3410" t="s">
        <v>1673</v>
      </c>
      <c r="D5" s="3411"/>
      <c r="E5" s="3417" t="s">
        <v>1674</v>
      </c>
      <c r="F5" s="3418"/>
      <c r="G5" s="3410" t="s">
        <v>1675</v>
      </c>
      <c r="H5" s="3411"/>
      <c r="I5" s="3410" t="s">
        <v>1676</v>
      </c>
      <c r="J5" s="3411"/>
      <c r="K5" s="536"/>
      <c r="L5" s="2483"/>
      <c r="M5" s="2484"/>
      <c r="N5" s="2484"/>
      <c r="O5" s="2484"/>
      <c r="P5" s="3398"/>
      <c r="Q5" s="3399"/>
      <c r="R5" s="3404"/>
      <c r="S5" s="3405"/>
      <c r="T5" s="3404"/>
      <c r="U5" s="3405"/>
      <c r="V5" s="3375"/>
      <c r="W5" s="3375"/>
      <c r="X5" s="1264"/>
      <c r="Y5" s="3404"/>
      <c r="Z5" s="3405"/>
      <c r="AA5" s="3390"/>
      <c r="AB5" s="3390"/>
      <c r="AC5" s="3390"/>
    </row>
    <row r="6" spans="1:29" ht="15" thickBot="1">
      <c r="A6" s="349"/>
      <c r="B6" s="350"/>
      <c r="C6" s="3470" t="s">
        <v>1919</v>
      </c>
      <c r="D6" s="3471"/>
      <c r="E6" s="3472" t="s">
        <v>1919</v>
      </c>
      <c r="F6" s="3473"/>
      <c r="G6" s="3470" t="s">
        <v>1919</v>
      </c>
      <c r="H6" s="3471"/>
      <c r="I6" s="3470" t="s">
        <v>1919</v>
      </c>
      <c r="J6" s="3471"/>
      <c r="K6" s="536" t="s">
        <v>1678</v>
      </c>
      <c r="L6" s="2483"/>
      <c r="M6" s="2484"/>
      <c r="N6" s="2484"/>
      <c r="O6" s="2484"/>
      <c r="P6" s="3400"/>
      <c r="Q6" s="3401"/>
      <c r="R6" s="3404"/>
      <c r="S6" s="3405"/>
      <c r="T6" s="3406"/>
      <c r="U6" s="3407"/>
      <c r="V6" s="3375"/>
      <c r="W6" s="3375"/>
      <c r="X6" s="1264"/>
      <c r="Y6" s="3406"/>
      <c r="Z6" s="3407"/>
      <c r="AA6" s="3391"/>
      <c r="AB6" s="3391"/>
      <c r="AC6" s="3391"/>
    </row>
    <row r="7" spans="1:29" s="102" customFormat="1" ht="15" thickBot="1">
      <c r="A7" s="351" t="s">
        <v>1679</v>
      </c>
      <c r="B7" s="352"/>
      <c r="C7" s="353">
        <f>'数据-取费表'!B2</f>
        <v>45734</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12" t="s">
        <v>1680</v>
      </c>
      <c r="Q7" s="341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12" t="s">
        <v>1683</v>
      </c>
      <c r="Q8" s="3413"/>
      <c r="R8" s="663" t="s">
        <v>14</v>
      </c>
      <c r="S8" s="664">
        <f t="shared" si="0"/>
        <v>0</v>
      </c>
      <c r="T8" s="663" t="s">
        <v>14</v>
      </c>
      <c r="U8" s="664">
        <f t="shared" si="1"/>
        <v>0</v>
      </c>
      <c r="V8" s="663" t="s">
        <v>14</v>
      </c>
      <c r="W8" s="664">
        <f t="shared" si="2"/>
        <v>0</v>
      </c>
      <c r="X8" s="665"/>
      <c r="Y8" s="3412" t="s">
        <v>1683</v>
      </c>
      <c r="Z8" s="3413"/>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74" t="s">
        <v>1686</v>
      </c>
      <c r="Q9" s="529" t="str">
        <f t="shared" ref="Q9:Q15" si="6">B9</f>
        <v>用途</v>
      </c>
      <c r="R9" s="663" t="s">
        <v>14</v>
      </c>
      <c r="S9" s="664">
        <f t="shared" si="0"/>
        <v>100</v>
      </c>
      <c r="T9" s="663" t="s">
        <v>14</v>
      </c>
      <c r="U9" s="664">
        <f t="shared" si="1"/>
        <v>100</v>
      </c>
      <c r="V9" s="663" t="s">
        <v>14</v>
      </c>
      <c r="W9" s="664">
        <f t="shared" si="2"/>
        <v>100</v>
      </c>
      <c r="X9" s="665"/>
      <c r="Y9" s="3281"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127</v>
      </c>
      <c r="G10" s="370"/>
      <c r="H10" s="119">
        <f>ROUND(100/'数据-取费表'!G16,0)</f>
        <v>127</v>
      </c>
      <c r="I10" s="370"/>
      <c r="J10" s="119">
        <f>ROUND(100/'数据-取费表'!G16,0)</f>
        <v>127</v>
      </c>
      <c r="K10" s="591"/>
      <c r="L10" s="2486"/>
      <c r="M10" s="2487"/>
      <c r="N10" s="2487"/>
      <c r="O10" s="2538"/>
      <c r="P10" s="3374"/>
      <c r="Q10" s="529" t="str">
        <f t="shared" si="6"/>
        <v>土地使用年限（年）</v>
      </c>
      <c r="R10" s="663" t="s">
        <v>14</v>
      </c>
      <c r="S10" s="664">
        <f t="shared" si="0"/>
        <v>127</v>
      </c>
      <c r="T10" s="663" t="s">
        <v>14</v>
      </c>
      <c r="U10" s="664">
        <f t="shared" si="1"/>
        <v>127</v>
      </c>
      <c r="V10" s="663" t="s">
        <v>14</v>
      </c>
      <c r="W10" s="664">
        <f t="shared" si="2"/>
        <v>127</v>
      </c>
      <c r="X10" s="665"/>
      <c r="Y10" s="3281"/>
      <c r="Z10" s="50" t="str">
        <f t="shared" si="7"/>
        <v>土地使用年限（年）</v>
      </c>
      <c r="AA10" s="50">
        <f t="shared" si="3"/>
        <v>0.78740157480314965</v>
      </c>
      <c r="AB10" s="50">
        <f t="shared" si="4"/>
        <v>0.78740157480314965</v>
      </c>
      <c r="AC10" s="50">
        <f t="shared" si="5"/>
        <v>0.78740157480314965</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374"/>
      <c r="Q11" s="529" t="str">
        <f t="shared" si="6"/>
        <v>容积率</v>
      </c>
      <c r="R11" s="663" t="s">
        <v>14</v>
      </c>
      <c r="S11" s="664" t="e">
        <f t="shared" si="0"/>
        <v>#N/A</v>
      </c>
      <c r="T11" s="663" t="s">
        <v>14</v>
      </c>
      <c r="U11" s="664" t="e">
        <f t="shared" si="1"/>
        <v>#N/A</v>
      </c>
      <c r="V11" s="663" t="s">
        <v>14</v>
      </c>
      <c r="W11" s="664" t="e">
        <f t="shared" si="2"/>
        <v>#N/A</v>
      </c>
      <c r="X11" s="665"/>
      <c r="Y11" s="3281"/>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7"/>
      <c r="N12" s="2437"/>
      <c r="O12" s="2537"/>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81" t="s">
        <v>1691</v>
      </c>
      <c r="Q15" s="1262" t="str">
        <f t="shared" si="6"/>
        <v>产业集聚程度</v>
      </c>
      <c r="R15" s="666" t="s">
        <v>14</v>
      </c>
      <c r="S15" s="667">
        <f t="shared" si="0"/>
        <v>100</v>
      </c>
      <c r="T15" s="666" t="s">
        <v>14</v>
      </c>
      <c r="U15" s="667">
        <f t="shared" si="1"/>
        <v>100</v>
      </c>
      <c r="V15" s="666" t="s">
        <v>14</v>
      </c>
      <c r="W15" s="667">
        <f t="shared" si="2"/>
        <v>100</v>
      </c>
      <c r="X15" s="1264"/>
      <c r="Y15" s="3381"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82"/>
      <c r="Q16" s="1262"/>
      <c r="R16" s="666"/>
      <c r="S16" s="667"/>
      <c r="T16" s="666"/>
      <c r="U16" s="667"/>
      <c r="V16" s="666"/>
      <c r="W16" s="667"/>
      <c r="X16" s="1264"/>
      <c r="Y16" s="3382"/>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82"/>
      <c r="Q18" s="1262"/>
      <c r="R18" s="666"/>
      <c r="S18" s="667"/>
      <c r="T18" s="666"/>
      <c r="U18" s="667"/>
      <c r="V18" s="666"/>
      <c r="W18" s="667"/>
      <c r="X18" s="1264"/>
      <c r="Y18" s="3382"/>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82"/>
      <c r="Q19" s="1262" t="str">
        <f t="shared" ref="Q19:Q33" si="8">B19</f>
        <v>区域土地利用方向</v>
      </c>
      <c r="R19" s="666" t="s">
        <v>14</v>
      </c>
      <c r="S19" s="667">
        <f>F19</f>
        <v>100</v>
      </c>
      <c r="T19" s="666" t="s">
        <v>14</v>
      </c>
      <c r="U19" s="667">
        <f>H19</f>
        <v>100</v>
      </c>
      <c r="V19" s="666" t="s">
        <v>14</v>
      </c>
      <c r="W19" s="667">
        <f>J19</f>
        <v>100</v>
      </c>
      <c r="X19" s="1264"/>
      <c r="Y19" s="3382"/>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82"/>
      <c r="Q20" s="1262"/>
      <c r="R20" s="666"/>
      <c r="S20" s="667"/>
      <c r="T20" s="666"/>
      <c r="U20" s="667"/>
      <c r="V20" s="666"/>
      <c r="W20" s="667"/>
      <c r="X20" s="1264"/>
      <c r="Y20" s="3382"/>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82"/>
      <c r="Q21" s="1262" t="str">
        <f t="shared" si="8"/>
        <v>环境状况</v>
      </c>
      <c r="R21" s="666" t="s">
        <v>14</v>
      </c>
      <c r="S21" s="667">
        <f>F21</f>
        <v>100</v>
      </c>
      <c r="T21" s="666" t="s">
        <v>14</v>
      </c>
      <c r="U21" s="667">
        <f>H21</f>
        <v>100</v>
      </c>
      <c r="V21" s="666" t="s">
        <v>14</v>
      </c>
      <c r="W21" s="667">
        <f>J21</f>
        <v>100</v>
      </c>
      <c r="X21" s="1264"/>
      <c r="Y21" s="3382"/>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82"/>
      <c r="Q22" s="1262"/>
      <c r="R22" s="666"/>
      <c r="S22" s="667"/>
      <c r="T22" s="666"/>
      <c r="U22" s="667"/>
      <c r="V22" s="666"/>
      <c r="W22" s="667"/>
      <c r="X22" s="1264"/>
      <c r="Y22" s="3382"/>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82"/>
      <c r="Q23" s="529" t="str">
        <f t="shared" si="8"/>
        <v>公共配套设施</v>
      </c>
      <c r="R23" s="663" t="s">
        <v>14</v>
      </c>
      <c r="S23" s="664">
        <f>F23</f>
        <v>100</v>
      </c>
      <c r="T23" s="663" t="s">
        <v>14</v>
      </c>
      <c r="U23" s="664">
        <f>H23</f>
        <v>100</v>
      </c>
      <c r="V23" s="663" t="s">
        <v>14</v>
      </c>
      <c r="W23" s="664">
        <f>J23</f>
        <v>100</v>
      </c>
      <c r="X23" s="665"/>
      <c r="Y23" s="3382"/>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382"/>
      <c r="Q24" s="529"/>
      <c r="R24" s="663"/>
      <c r="S24" s="664"/>
      <c r="T24" s="663"/>
      <c r="U24" s="664"/>
      <c r="V24" s="663"/>
      <c r="W24" s="664"/>
      <c r="X24" s="665"/>
      <c r="Y24" s="3382"/>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82"/>
      <c r="Q25" s="529" t="str">
        <f t="shared" ref="Q25" si="9">B25</f>
        <v>基础设施水平</v>
      </c>
      <c r="R25" s="663" t="s">
        <v>14</v>
      </c>
      <c r="S25" s="664">
        <f>F25</f>
        <v>100</v>
      </c>
      <c r="T25" s="663" t="s">
        <v>14</v>
      </c>
      <c r="U25" s="664">
        <f>H25</f>
        <v>100</v>
      </c>
      <c r="V25" s="663" t="s">
        <v>14</v>
      </c>
      <c r="W25" s="664">
        <f>J25</f>
        <v>100</v>
      </c>
      <c r="X25" s="665"/>
      <c r="Y25" s="3382"/>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382"/>
      <c r="Q26" s="529"/>
      <c r="R26" s="663"/>
      <c r="S26" s="664"/>
      <c r="T26" s="663"/>
      <c r="U26" s="664"/>
      <c r="V26" s="663"/>
      <c r="W26" s="664"/>
      <c r="X26" s="665"/>
      <c r="Y26" s="3382"/>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8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2"/>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82"/>
      <c r="Q28" s="1262" t="str">
        <f t="shared" si="8"/>
        <v>毗邻道路的类型与等级</v>
      </c>
      <c r="R28" s="666" t="s">
        <v>14</v>
      </c>
      <c r="S28" s="667">
        <f t="shared" si="10"/>
        <v>100</v>
      </c>
      <c r="T28" s="666" t="s">
        <v>14</v>
      </c>
      <c r="U28" s="667">
        <f t="shared" si="11"/>
        <v>100</v>
      </c>
      <c r="V28" s="666" t="s">
        <v>14</v>
      </c>
      <c r="W28" s="667">
        <f t="shared" si="12"/>
        <v>100</v>
      </c>
      <c r="X28" s="1264"/>
      <c r="Y28" s="3382"/>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82"/>
      <c r="Q29" s="1262"/>
      <c r="R29" s="666"/>
      <c r="S29" s="667"/>
      <c r="T29" s="666"/>
      <c r="U29" s="667"/>
      <c r="V29" s="666"/>
      <c r="W29" s="667"/>
      <c r="X29" s="1264"/>
      <c r="Y29" s="3382"/>
      <c r="Z29" s="1263"/>
      <c r="AA29" s="1263">
        <v>1</v>
      </c>
      <c r="AB29" s="1263">
        <v>1</v>
      </c>
      <c r="AC29" s="1263">
        <v>1</v>
      </c>
    </row>
    <row r="30" spans="1:29" ht="15">
      <c r="A30" s="366"/>
      <c r="B30" s="119"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82"/>
      <c r="Q30" s="1262" t="str">
        <f t="shared" si="8"/>
        <v>土地级别</v>
      </c>
      <c r="R30" s="666" t="s">
        <v>14</v>
      </c>
      <c r="S30" s="667">
        <f t="shared" si="10"/>
        <v>100</v>
      </c>
      <c r="T30" s="666" t="s">
        <v>14</v>
      </c>
      <c r="U30" s="667">
        <f t="shared" si="11"/>
        <v>100</v>
      </c>
      <c r="V30" s="666" t="s">
        <v>14</v>
      </c>
      <c r="W30" s="667">
        <f t="shared" si="12"/>
        <v>100</v>
      </c>
      <c r="X30" s="1264"/>
      <c r="Y30" s="3382"/>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82"/>
      <c r="Q31" s="1262">
        <f t="shared" si="8"/>
        <v>111</v>
      </c>
      <c r="R31" s="666" t="s">
        <v>14</v>
      </c>
      <c r="S31" s="667">
        <f t="shared" si="10"/>
        <v>100</v>
      </c>
      <c r="T31" s="666" t="s">
        <v>14</v>
      </c>
      <c r="U31" s="667">
        <f t="shared" si="11"/>
        <v>100</v>
      </c>
      <c r="V31" s="666" t="s">
        <v>14</v>
      </c>
      <c r="W31" s="667">
        <f t="shared" si="12"/>
        <v>100</v>
      </c>
      <c r="X31" s="1264"/>
      <c r="Y31" s="3382"/>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67" t="s">
        <v>1696</v>
      </c>
      <c r="Q32" s="1262">
        <f t="shared" si="8"/>
        <v>111</v>
      </c>
      <c r="R32" s="666" t="s">
        <v>14</v>
      </c>
      <c r="S32" s="667">
        <f t="shared" si="10"/>
        <v>100</v>
      </c>
      <c r="T32" s="666" t="s">
        <v>14</v>
      </c>
      <c r="U32" s="667">
        <f t="shared" si="11"/>
        <v>100</v>
      </c>
      <c r="V32" s="666" t="s">
        <v>14</v>
      </c>
      <c r="W32" s="667">
        <f t="shared" si="12"/>
        <v>100</v>
      </c>
      <c r="X32" s="1264"/>
      <c r="Y32" s="3386" t="s">
        <v>1696</v>
      </c>
      <c r="Z32" s="1263">
        <f t="shared" si="13"/>
        <v>111</v>
      </c>
      <c r="AA32" s="1263">
        <f t="shared" si="3"/>
        <v>1</v>
      </c>
      <c r="AB32" s="1263">
        <f t="shared" si="4"/>
        <v>1</v>
      </c>
      <c r="AC32" s="1263">
        <f t="shared" si="5"/>
        <v>1</v>
      </c>
    </row>
    <row r="33" spans="1:31" s="407" customFormat="1" ht="15.6"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6"/>
      <c r="Q33" s="1262">
        <f t="shared" si="8"/>
        <v>111</v>
      </c>
      <c r="R33" s="668" t="s">
        <v>14</v>
      </c>
      <c r="S33" s="669">
        <f t="shared" si="10"/>
        <v>100</v>
      </c>
      <c r="T33" s="668" t="s">
        <v>14</v>
      </c>
      <c r="U33" s="669">
        <f t="shared" si="11"/>
        <v>100</v>
      </c>
      <c r="V33" s="668" t="s">
        <v>14</v>
      </c>
      <c r="W33" s="669">
        <f t="shared" si="12"/>
        <v>100</v>
      </c>
      <c r="X33" s="670"/>
      <c r="Y33" s="3386"/>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6"/>
      <c r="Q34" s="1262" t="str">
        <f>B34</f>
        <v>宗地面积</v>
      </c>
      <c r="R34" s="666" t="s">
        <v>14</v>
      </c>
      <c r="S34" s="667" t="e">
        <f t="shared" si="10"/>
        <v>#N/A</v>
      </c>
      <c r="T34" s="666" t="s">
        <v>14</v>
      </c>
      <c r="U34" s="667" t="e">
        <f t="shared" si="11"/>
        <v>#N/A</v>
      </c>
      <c r="V34" s="666" t="s">
        <v>14</v>
      </c>
      <c r="W34" s="667" t="e">
        <f t="shared" si="12"/>
        <v>#N/A</v>
      </c>
      <c r="X34" s="1264"/>
      <c r="Y34" s="3386"/>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6"/>
      <c r="Q35" s="1262" t="str">
        <f t="shared" ref="Q35:Q40" si="14">B35</f>
        <v>宗地形状</v>
      </c>
      <c r="R35" s="666" t="s">
        <v>14</v>
      </c>
      <c r="S35" s="667">
        <f t="shared" si="10"/>
        <v>100</v>
      </c>
      <c r="T35" s="666" t="s">
        <v>14</v>
      </c>
      <c r="U35" s="667">
        <f t="shared" si="11"/>
        <v>100</v>
      </c>
      <c r="V35" s="666" t="s">
        <v>14</v>
      </c>
      <c r="W35" s="667">
        <f t="shared" si="12"/>
        <v>100</v>
      </c>
      <c r="X35" s="1264"/>
      <c r="Y35" s="3386"/>
      <c r="Z35" s="1263" t="str">
        <f t="shared" si="13"/>
        <v>宗地形状</v>
      </c>
      <c r="AA35" s="1263">
        <f t="shared" si="3"/>
        <v>1</v>
      </c>
      <c r="AB35" s="1263">
        <f t="shared" si="4"/>
        <v>1</v>
      </c>
      <c r="AC35" s="1263">
        <f t="shared" si="5"/>
        <v>1</v>
      </c>
    </row>
    <row r="36" spans="1:31" s="102" customFormat="1" ht="15">
      <c r="A36" s="409"/>
      <c r="B36" s="363" t="s">
        <v>1877</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86"/>
      <c r="Q36" s="1262" t="str">
        <f t="shared" si="14"/>
        <v>宗地开发程度</v>
      </c>
      <c r="R36" s="663" t="s">
        <v>14</v>
      </c>
      <c r="S36" s="664">
        <f t="shared" si="10"/>
        <v>100</v>
      </c>
      <c r="T36" s="663" t="s">
        <v>14</v>
      </c>
      <c r="U36" s="664">
        <f t="shared" si="11"/>
        <v>100</v>
      </c>
      <c r="V36" s="663" t="s">
        <v>14</v>
      </c>
      <c r="W36" s="664">
        <f t="shared" si="12"/>
        <v>100</v>
      </c>
      <c r="X36" s="665"/>
      <c r="Y36" s="3386"/>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86" t="s">
        <v>1696</v>
      </c>
      <c r="Q37" s="1262" t="str">
        <f t="shared" si="14"/>
        <v>工程地质条件</v>
      </c>
      <c r="R37" s="666" t="s">
        <v>14</v>
      </c>
      <c r="S37" s="667">
        <f t="shared" si="10"/>
        <v>100</v>
      </c>
      <c r="T37" s="666" t="s">
        <v>14</v>
      </c>
      <c r="U37" s="667">
        <f t="shared" si="11"/>
        <v>100</v>
      </c>
      <c r="V37" s="666" t="s">
        <v>14</v>
      </c>
      <c r="W37" s="667">
        <f t="shared" si="12"/>
        <v>100</v>
      </c>
      <c r="X37" s="1264"/>
      <c r="Y37" s="3386"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6"/>
      <c r="Q38" s="1262">
        <f t="shared" si="14"/>
        <v>111</v>
      </c>
      <c r="R38" s="666" t="s">
        <v>14</v>
      </c>
      <c r="S38" s="667">
        <f t="shared" si="10"/>
        <v>100</v>
      </c>
      <c r="T38" s="666" t="s">
        <v>14</v>
      </c>
      <c r="U38" s="667">
        <f t="shared" si="11"/>
        <v>100</v>
      </c>
      <c r="V38" s="666" t="s">
        <v>14</v>
      </c>
      <c r="W38" s="667">
        <f t="shared" si="12"/>
        <v>100</v>
      </c>
      <c r="X38" s="1264"/>
      <c r="Y38" s="3386"/>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6"/>
      <c r="Q39" s="1262">
        <f t="shared" si="14"/>
        <v>111</v>
      </c>
      <c r="R39" s="666" t="s">
        <v>14</v>
      </c>
      <c r="S39" s="667">
        <f t="shared" si="10"/>
        <v>100</v>
      </c>
      <c r="T39" s="666" t="s">
        <v>14</v>
      </c>
      <c r="U39" s="667">
        <f t="shared" si="11"/>
        <v>100</v>
      </c>
      <c r="V39" s="666" t="s">
        <v>14</v>
      </c>
      <c r="W39" s="667">
        <f t="shared" si="12"/>
        <v>100</v>
      </c>
      <c r="X39" s="1264"/>
      <c r="Y39" s="3386"/>
      <c r="Z39" s="1263">
        <f t="shared" si="13"/>
        <v>111</v>
      </c>
      <c r="AA39" s="1263">
        <f t="shared" si="3"/>
        <v>1</v>
      </c>
      <c r="AB39" s="1263">
        <f t="shared" si="4"/>
        <v>1</v>
      </c>
      <c r="AC39" s="1263">
        <f t="shared" si="5"/>
        <v>1</v>
      </c>
    </row>
    <row r="40" spans="1:31" s="407" customFormat="1" ht="15.6"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6"/>
      <c r="Q40" s="1262">
        <f t="shared" si="14"/>
        <v>111</v>
      </c>
      <c r="R40" s="668" t="s">
        <v>14</v>
      </c>
      <c r="S40" s="669">
        <f t="shared" si="10"/>
        <v>100</v>
      </c>
      <c r="T40" s="668" t="s">
        <v>14</v>
      </c>
      <c r="U40" s="669">
        <f t="shared" si="11"/>
        <v>100</v>
      </c>
      <c r="V40" s="668" t="s">
        <v>14</v>
      </c>
      <c r="W40" s="669">
        <f t="shared" si="12"/>
        <v>100</v>
      </c>
      <c r="X40" s="670"/>
      <c r="Y40" s="3386"/>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374" t="str">
        <f>A41</f>
        <v>成交单价</v>
      </c>
      <c r="Q41" s="3374"/>
      <c r="R41" s="3375">
        <f>E41</f>
        <v>0</v>
      </c>
      <c r="S41" s="3375"/>
      <c r="T41" s="3375">
        <f>G41</f>
        <v>0</v>
      </c>
      <c r="U41" s="3375"/>
      <c r="V41" s="3375">
        <f>I41</f>
        <v>0</v>
      </c>
      <c r="W41" s="3375"/>
      <c r="X41" s="384"/>
      <c r="Y41" s="672"/>
      <c r="Z41" s="384"/>
      <c r="AA41" s="384"/>
      <c r="AB41" s="384"/>
      <c r="AC41" s="384"/>
    </row>
    <row r="42" spans="1:31" ht="15" thickBot="1">
      <c r="A42" s="422" t="s">
        <v>1793</v>
      </c>
      <c r="B42" s="602"/>
      <c r="C42" s="425" t="e">
        <f>R43</f>
        <v>#DIV/0!</v>
      </c>
      <c r="D42" s="2140" t="s">
        <v>2137</v>
      </c>
      <c r="E42" s="425" t="e">
        <f>R42</f>
        <v>#DIV/0!</v>
      </c>
      <c r="F42" s="2141"/>
      <c r="G42" s="424" t="e">
        <f>T42</f>
        <v>#DIV/0!</v>
      </c>
      <c r="H42" s="2141"/>
      <c r="I42" s="425" t="e">
        <f>V42</f>
        <v>#DIV/0!</v>
      </c>
      <c r="J42" s="2141"/>
      <c r="K42" s="2143">
        <f>F42+H42+J42</f>
        <v>0</v>
      </c>
      <c r="L42" s="2491"/>
      <c r="M42" s="2484"/>
      <c r="N42" s="2484"/>
      <c r="O42" s="2484"/>
      <c r="P42" s="3374" t="str">
        <f>A42</f>
        <v>比较价值（元/平方米）</v>
      </c>
      <c r="Q42" s="3374"/>
      <c r="R42" s="3475" t="e">
        <f>ROUND(PRODUCT(R41,AA7:AA40),0)</f>
        <v>#DIV/0!</v>
      </c>
      <c r="S42" s="3475"/>
      <c r="T42" s="3475" t="e">
        <f>ROUND(PRODUCT(T41,AB7:AB40),0)</f>
        <v>#DIV/0!</v>
      </c>
      <c r="U42" s="3475"/>
      <c r="V42" s="3475" t="e">
        <f>ROUND(PRODUCT(V41,AC7:AC40),0)</f>
        <v>#DIV/0!</v>
      </c>
      <c r="W42" s="3475"/>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376" t="str">
        <f>A43</f>
        <v>估价对象XX用房的比较价值（楼面单价，元/平方米）</v>
      </c>
      <c r="Q43" s="3377"/>
      <c r="R43" s="3474" t="e">
        <f>ROUND(IF(D42="简单平均",AVERAGE(R42:W42),R42*F42+T42*H42+V42*J42),0)</f>
        <v>#DIV/0!</v>
      </c>
      <c r="S43" s="3474"/>
      <c r="T43" s="3474"/>
      <c r="U43" s="3474"/>
      <c r="V43" s="3474"/>
      <c r="W43" s="3474"/>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92" t="s">
        <v>1887</v>
      </c>
      <c r="H50" s="3469"/>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1106.44</v>
      </c>
      <c r="F51" s="610" t="e">
        <f t="shared" ref="F51:F60" si="15">ROUND(B51*E51/10000,0)</f>
        <v>#DIV/0!</v>
      </c>
      <c r="G51" s="3388"/>
      <c r="H51" s="337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3">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3">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3">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3">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3">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3">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3">
        <f t="shared" si="16"/>
        <v>0</v>
      </c>
      <c r="D59" s="890">
        <v>0.25</v>
      </c>
      <c r="E59" s="208">
        <f>'数据-汇总表'!E14</f>
        <v>0</v>
      </c>
      <c r="F59" s="610" t="e">
        <f t="shared" si="15"/>
        <v>#DIV/0!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3">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8001.46</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7" priority="13" stopIfTrue="1">
      <formula>$F$46="超过30%"</formula>
    </cfRule>
  </conditionalFormatting>
  <conditionalFormatting sqref="E47">
    <cfRule type="expression" dxfId="46" priority="53" stopIfTrue="1">
      <formula>#REF!+$F$47="超过20%"</formula>
    </cfRule>
  </conditionalFormatting>
  <conditionalFormatting sqref="E48">
    <cfRule type="expression" dxfId="45" priority="10" stopIfTrue="1">
      <formula>$F$48="超过30%"</formula>
    </cfRule>
  </conditionalFormatting>
  <conditionalFormatting sqref="F7:F40 H7:H40 J7:J40">
    <cfRule type="cellIs" dxfId="44" priority="1" operator="notEqual">
      <formula>100</formula>
    </cfRule>
  </conditionalFormatting>
  <conditionalFormatting sqref="F42">
    <cfRule type="expression" dxfId="43" priority="4">
      <formula>$D$42="简单平均"</formula>
    </cfRule>
  </conditionalFormatting>
  <conditionalFormatting sqref="F46:F48 H46:H48 J46:J48">
    <cfRule type="containsText" dxfId="42" priority="14" stopIfTrue="1" operator="containsText" text="超过">
      <formula>NOT(ISERROR(SEARCH("超过",F46)))</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G48">
    <cfRule type="expression" dxfId="39" priority="12" stopIfTrue="1">
      <formula>$H$48="超过30%"</formula>
    </cfRule>
  </conditionalFormatting>
  <conditionalFormatting sqref="H42">
    <cfRule type="expression" dxfId="38" priority="3">
      <formula>$D$42="简单平均"</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J42">
    <cfRule type="expression" dxfId="34"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#VALUE!</v>
      </c>
      <c r="C2" s="1983" t="s">
        <v>2074</v>
      </c>
      <c r="D2" s="1983" t="s">
        <v>2075</v>
      </c>
      <c r="E2" s="2395">
        <f ca="1">SUMIF(E6:E13,"&lt;&gt;#ref!",E6:E13)</f>
        <v>8001.46</v>
      </c>
      <c r="F2" s="2541"/>
      <c r="G2" s="2541"/>
      <c r="H2" s="2541"/>
      <c r="I2" s="2541"/>
      <c r="J2" s="2541"/>
      <c r="K2" s="2541"/>
      <c r="L2" s="2541"/>
      <c r="M2" s="2541"/>
      <c r="N2" s="2541"/>
      <c r="O2" s="2541"/>
      <c r="P2" s="2541"/>
    </row>
    <row r="3" spans="1:16" ht="15.6">
      <c r="A3" s="1983" t="s">
        <v>2076</v>
      </c>
      <c r="B3" s="2385" t="e">
        <f ca="1">ROUND(B2*10000/E2,0)</f>
        <v>#VALUE!</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#VALUE!</v>
      </c>
      <c r="C6" s="1983" t="s">
        <v>2074</v>
      </c>
      <c r="D6" s="2541"/>
      <c r="E6" s="2395">
        <f ca="1">SUMIF(INDIRECT("'"&amp;A6&amp;"'"&amp;"!C:C"),"建筑面积",INDIRECT("'"&amp;A6&amp;"'"&amp;"!D:D"))</f>
        <v>8001.46</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t="s">
        <v>21</v>
      </c>
      <c r="E1" s="3128" t="s">
        <v>3412</v>
      </c>
      <c r="F1" s="1734" t="s">
        <v>3413</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19816</v>
      </c>
      <c r="C3" s="343" t="s">
        <v>1768</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482" t="s">
        <v>1775</v>
      </c>
      <c r="Q4" s="3483"/>
      <c r="R4" s="3486" t="s">
        <v>1771</v>
      </c>
      <c r="S4" s="3487"/>
      <c r="T4" s="3486" t="s">
        <v>1772</v>
      </c>
      <c r="U4" s="3487"/>
      <c r="V4" s="3488" t="s">
        <v>1773</v>
      </c>
      <c r="W4" s="3488"/>
      <c r="X4" s="1808"/>
      <c r="Y4" s="3486" t="s">
        <v>1775</v>
      </c>
      <c r="Z4" s="3487"/>
      <c r="AA4" s="3494" t="s">
        <v>1771</v>
      </c>
      <c r="AB4" s="3494" t="s">
        <v>1772</v>
      </c>
      <c r="AC4" s="3479" t="s">
        <v>1773</v>
      </c>
    </row>
    <row r="5" spans="1:29" ht="13.95" customHeight="1">
      <c r="A5" s="347"/>
      <c r="B5" s="348"/>
      <c r="C5" s="3492" t="s">
        <v>3462</v>
      </c>
      <c r="D5" s="3493"/>
      <c r="E5" s="3492" t="s">
        <v>3462</v>
      </c>
      <c r="F5" s="3493"/>
      <c r="G5" s="3489" t="s">
        <v>3463</v>
      </c>
      <c r="H5" s="3490"/>
      <c r="I5" s="3489" t="s">
        <v>3464</v>
      </c>
      <c r="J5" s="3490"/>
      <c r="K5" s="536"/>
      <c r="L5" s="2483"/>
      <c r="M5" s="2484"/>
      <c r="N5" s="2484"/>
      <c r="O5" s="2484"/>
      <c r="P5" s="3484"/>
      <c r="Q5" s="3399"/>
      <c r="R5" s="3404"/>
      <c r="S5" s="3405"/>
      <c r="T5" s="3404"/>
      <c r="U5" s="3405"/>
      <c r="V5" s="3375"/>
      <c r="W5" s="3375"/>
      <c r="X5" s="1264"/>
      <c r="Y5" s="3404"/>
      <c r="Z5" s="3405"/>
      <c r="AA5" s="3390"/>
      <c r="AB5" s="3390"/>
      <c r="AC5" s="3480"/>
    </row>
    <row r="6" spans="1:29" ht="15" thickBot="1">
      <c r="A6" s="349"/>
      <c r="B6" s="350"/>
      <c r="C6" s="3408" t="s">
        <v>1677</v>
      </c>
      <c r="D6" s="3409"/>
      <c r="E6" s="3415" t="s">
        <v>1677</v>
      </c>
      <c r="F6" s="3416"/>
      <c r="G6" s="3408" t="s">
        <v>1677</v>
      </c>
      <c r="H6" s="3409"/>
      <c r="I6" s="3408" t="s">
        <v>1677</v>
      </c>
      <c r="J6" s="3409"/>
      <c r="K6" s="536" t="s">
        <v>1678</v>
      </c>
      <c r="L6" s="2483"/>
      <c r="M6" s="2484"/>
      <c r="N6" s="2484"/>
      <c r="O6" s="2484"/>
      <c r="P6" s="3485"/>
      <c r="Q6" s="3401"/>
      <c r="R6" s="3404"/>
      <c r="S6" s="3405"/>
      <c r="T6" s="3406"/>
      <c r="U6" s="3407"/>
      <c r="V6" s="3375"/>
      <c r="W6" s="3375"/>
      <c r="X6" s="1264"/>
      <c r="Y6" s="3406"/>
      <c r="Z6" s="3407"/>
      <c r="AA6" s="3391"/>
      <c r="AB6" s="3391"/>
      <c r="AC6" s="3481"/>
    </row>
    <row r="7" spans="1:29" s="102" customFormat="1" ht="15" thickBot="1">
      <c r="A7" s="351" t="s">
        <v>1679</v>
      </c>
      <c r="B7" s="352"/>
      <c r="C7" s="353">
        <f>'数据-取费表'!B2</f>
        <v>45734</v>
      </c>
      <c r="D7" s="354">
        <v>100</v>
      </c>
      <c r="E7" s="355">
        <f>C7</f>
        <v>45734</v>
      </c>
      <c r="F7" s="356">
        <f>SUMIF(59:59,YEAR(E7)&amp;"-"&amp;MONTH(E7),60:60)</f>
        <v>100</v>
      </c>
      <c r="G7" s="355">
        <f>C7</f>
        <v>45734</v>
      </c>
      <c r="H7" s="354">
        <f>SUMIF(59:59,YEAR(G7)&amp;"-"&amp;MONTH(G7),60:60)</f>
        <v>100</v>
      </c>
      <c r="I7" s="355">
        <f>G7</f>
        <v>45734</v>
      </c>
      <c r="J7" s="354">
        <f>SUMIF(59:59,YEAR(I7)&amp;"-"&amp;MONTH(I7),60:60)</f>
        <v>100</v>
      </c>
      <c r="K7" s="38"/>
      <c r="L7" s="2485"/>
      <c r="M7" s="2437"/>
      <c r="N7" s="2437"/>
      <c r="O7" s="2437"/>
      <c r="P7" s="3491" t="s">
        <v>1680</v>
      </c>
      <c r="Q7" s="3414"/>
      <c r="R7" s="663" t="s">
        <v>14</v>
      </c>
      <c r="S7" s="664">
        <f t="shared" ref="S7:S15" si="0">F7</f>
        <v>100</v>
      </c>
      <c r="T7" s="663" t="s">
        <v>14</v>
      </c>
      <c r="U7" s="664">
        <f t="shared" ref="U7:U15" si="1">H7</f>
        <v>100</v>
      </c>
      <c r="V7" s="663" t="s">
        <v>14</v>
      </c>
      <c r="W7" s="664">
        <f t="shared" ref="W7:W15" si="2">J7</f>
        <v>100</v>
      </c>
      <c r="X7" s="665"/>
      <c r="Y7" s="3412" t="s">
        <v>1680</v>
      </c>
      <c r="Z7" s="3413"/>
      <c r="AA7" s="50">
        <f>D7/F7</f>
        <v>1</v>
      </c>
      <c r="AB7" s="50">
        <f>D7/H7</f>
        <v>1</v>
      </c>
      <c r="AC7" s="801">
        <f>D7/J7</f>
        <v>1</v>
      </c>
    </row>
    <row r="8" spans="1:29" s="102" customFormat="1" ht="15" thickBot="1">
      <c r="A8" s="351" t="s">
        <v>1681</v>
      </c>
      <c r="B8" s="352"/>
      <c r="C8" s="357" t="s">
        <v>3414</v>
      </c>
      <c r="D8" s="354">
        <v>100</v>
      </c>
      <c r="E8" s="357" t="s">
        <v>3424</v>
      </c>
      <c r="F8" s="356">
        <f>SUMIF(62:62,E8,63:63)-SUMIF(62:62,C8,63:63)+100</f>
        <v>102</v>
      </c>
      <c r="G8" s="357" t="s">
        <v>3424</v>
      </c>
      <c r="H8" s="354">
        <f>SUMIF(62:62,G8,63:63)-SUMIF(62:62,C8,63:63)+100</f>
        <v>102</v>
      </c>
      <c r="I8" s="357" t="s">
        <v>3424</v>
      </c>
      <c r="J8" s="354">
        <f>SUMIF(62:62,I8,63:63)-SUMIF(62:62,C8,63:63)+100</f>
        <v>102</v>
      </c>
      <c r="K8" s="38"/>
      <c r="L8" s="2485"/>
      <c r="M8" s="2437"/>
      <c r="N8" s="2437"/>
      <c r="O8" s="2437"/>
      <c r="P8" s="3491" t="s">
        <v>1683</v>
      </c>
      <c r="Q8" s="3413"/>
      <c r="R8" s="663" t="s">
        <v>14</v>
      </c>
      <c r="S8" s="664">
        <f t="shared" si="0"/>
        <v>102</v>
      </c>
      <c r="T8" s="663" t="s">
        <v>14</v>
      </c>
      <c r="U8" s="664">
        <f t="shared" si="1"/>
        <v>102</v>
      </c>
      <c r="V8" s="663" t="s">
        <v>14</v>
      </c>
      <c r="W8" s="664">
        <f t="shared" si="2"/>
        <v>102</v>
      </c>
      <c r="X8" s="665"/>
      <c r="Y8" s="3412" t="s">
        <v>1683</v>
      </c>
      <c r="Z8" s="3413"/>
      <c r="AA8" s="50">
        <f t="shared" ref="AA8:AA47" si="3">D8/F8</f>
        <v>0.98039215686274506</v>
      </c>
      <c r="AB8" s="50">
        <f t="shared" ref="AB8:AB47" si="4">D8/H8</f>
        <v>0.98039215686274506</v>
      </c>
      <c r="AC8" s="801">
        <f t="shared" ref="AC8:AC47" si="5">D8/J8</f>
        <v>0.98039215686274506</v>
      </c>
    </row>
    <row r="9" spans="1:29" s="102" customFormat="1" ht="15" thickBot="1">
      <c r="A9" s="358" t="s">
        <v>1684</v>
      </c>
      <c r="B9" s="60" t="s">
        <v>1685</v>
      </c>
      <c r="C9" s="3152" t="s">
        <v>3415</v>
      </c>
      <c r="D9" s="59">
        <v>100</v>
      </c>
      <c r="E9" s="361" t="s">
        <v>21</v>
      </c>
      <c r="F9" s="59">
        <f>SUMIF(64:64,E9,65:65)-SUMIF(64:64,C9,65:65)+100</f>
        <v>100</v>
      </c>
      <c r="G9" s="360" t="s">
        <v>21</v>
      </c>
      <c r="H9" s="59">
        <f>SUMIF(64:64,G9,65:65)-SUMIF(64:64,C9,65:65)+100</f>
        <v>100</v>
      </c>
      <c r="I9" s="360" t="s">
        <v>21</v>
      </c>
      <c r="J9" s="59">
        <f>SUMIF(64:64,I9,65:65)-SUMIF(64:64,C9,65:65)+100</f>
        <v>100</v>
      </c>
      <c r="K9" s="38"/>
      <c r="L9" s="2485"/>
      <c r="M9" s="2437"/>
      <c r="N9" s="2437"/>
      <c r="O9" s="2437"/>
      <c r="P9" s="3388" t="s">
        <v>1686</v>
      </c>
      <c r="Q9" s="529" t="str">
        <f t="shared" ref="Q9:Q15" si="6">B9</f>
        <v>用途</v>
      </c>
      <c r="R9" s="663" t="s">
        <v>14</v>
      </c>
      <c r="S9" s="664">
        <f t="shared" si="0"/>
        <v>100</v>
      </c>
      <c r="T9" s="663" t="s">
        <v>14</v>
      </c>
      <c r="U9" s="664">
        <f t="shared" si="1"/>
        <v>100</v>
      </c>
      <c r="V9" s="663" t="s">
        <v>14</v>
      </c>
      <c r="W9" s="664">
        <f t="shared" si="2"/>
        <v>100</v>
      </c>
      <c r="X9" s="665"/>
      <c r="Y9" s="3281" t="s">
        <v>1687</v>
      </c>
      <c r="Z9" s="50" t="str">
        <f t="shared" ref="Z9:Z15" si="7">Q9</f>
        <v>用途</v>
      </c>
      <c r="AA9" s="50">
        <f t="shared" si="3"/>
        <v>1</v>
      </c>
      <c r="AB9" s="50">
        <f t="shared" si="4"/>
        <v>1</v>
      </c>
      <c r="AC9" s="801">
        <f t="shared" si="5"/>
        <v>1</v>
      </c>
    </row>
    <row r="10" spans="1:29" s="365" customFormat="1" ht="29.4" thickTop="1">
      <c r="A10" s="362"/>
      <c r="B10" s="363" t="s">
        <v>1688</v>
      </c>
      <c r="C10" s="512" t="s">
        <v>3421</v>
      </c>
      <c r="D10" s="119">
        <v>100</v>
      </c>
      <c r="E10" s="512" t="s">
        <v>3421</v>
      </c>
      <c r="F10" s="119">
        <f>SUMIF(66:66,E10,67:67)-SUMIF(66:66,C10,67:67)+100</f>
        <v>100</v>
      </c>
      <c r="G10" s="512" t="s">
        <v>3421</v>
      </c>
      <c r="H10" s="119">
        <f>SUMIF(66:66,G10,67:67)-SUMIF(66:66,C10,67:67)+100</f>
        <v>100</v>
      </c>
      <c r="I10" s="512" t="s">
        <v>3421</v>
      </c>
      <c r="J10" s="119">
        <f>SUMIF(66:66,I10,67:67)-SUMIF(66:66,C10,67:67)+100</f>
        <v>100</v>
      </c>
      <c r="K10" s="38"/>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801">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388"/>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801">
        <f t="shared" si="5"/>
        <v>1</v>
      </c>
    </row>
    <row r="12" spans="1:29" s="102" customFormat="1" ht="15">
      <c r="A12" s="369"/>
      <c r="B12" s="446">
        <v>111</v>
      </c>
      <c r="C12" s="370">
        <v>2005</v>
      </c>
      <c r="D12" s="371">
        <v>100</v>
      </c>
      <c r="E12" s="370">
        <v>2005</v>
      </c>
      <c r="F12" s="119">
        <f>SUMIF(71:71,E12,72:72)-SUMIF(71:71,C12,72:72)+100</f>
        <v>100</v>
      </c>
      <c r="G12" s="1809">
        <v>2006</v>
      </c>
      <c r="H12" s="119">
        <f>SUMIF(71:71,G12,72:72)-SUMIF(71:71,C12,72:72)+100</f>
        <v>100</v>
      </c>
      <c r="I12" s="370">
        <v>2005</v>
      </c>
      <c r="J12" s="119">
        <f>SUMIF(71:71,I12,72:72)-SUMIF(71:71,C12,72:72)+100</f>
        <v>100</v>
      </c>
      <c r="K12" s="538"/>
      <c r="L12" s="2485"/>
      <c r="M12" s="2437"/>
      <c r="N12" s="2437"/>
      <c r="O12" s="2437"/>
      <c r="P12" s="3388"/>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388"/>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8"/>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801">
        <f t="shared" si="5"/>
        <v>1</v>
      </c>
    </row>
    <row r="15" spans="1:29" ht="15">
      <c r="A15" s="378" t="s">
        <v>1690</v>
      </c>
      <c r="B15" s="553" t="s">
        <v>1811</v>
      </c>
      <c r="C15" s="181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379" t="s">
        <v>1691</v>
      </c>
      <c r="Q15" s="1262" t="str">
        <f t="shared" si="6"/>
        <v>办公集聚程度</v>
      </c>
      <c r="R15" s="666" t="s">
        <v>14</v>
      </c>
      <c r="S15" s="667">
        <f t="shared" si="0"/>
        <v>100</v>
      </c>
      <c r="T15" s="666" t="s">
        <v>14</v>
      </c>
      <c r="U15" s="667">
        <f t="shared" si="1"/>
        <v>100</v>
      </c>
      <c r="V15" s="666" t="s">
        <v>14</v>
      </c>
      <c r="W15" s="667">
        <f t="shared" si="2"/>
        <v>100</v>
      </c>
      <c r="X15" s="1264"/>
      <c r="Y15" s="3381" t="s">
        <v>1691</v>
      </c>
      <c r="Z15" s="1263" t="str">
        <f t="shared" si="7"/>
        <v>办公集聚程度</v>
      </c>
      <c r="AA15" s="1263">
        <f t="shared" si="3"/>
        <v>1</v>
      </c>
      <c r="AB15" s="1263">
        <f t="shared" si="4"/>
        <v>1</v>
      </c>
      <c r="AC15" s="1811">
        <f t="shared" si="5"/>
        <v>1</v>
      </c>
    </row>
    <row r="16" spans="1:29" ht="15">
      <c r="A16" s="366"/>
      <c r="B16" s="554"/>
      <c r="C16" s="1757" t="s">
        <v>3405</v>
      </c>
      <c r="D16" s="386"/>
      <c r="E16" s="1757" t="s">
        <v>3405</v>
      </c>
      <c r="F16" s="386"/>
      <c r="G16" s="1757" t="s">
        <v>3405</v>
      </c>
      <c r="H16" s="388"/>
      <c r="I16" s="1757" t="s">
        <v>3405</v>
      </c>
      <c r="J16" s="386"/>
      <c r="K16" s="540"/>
      <c r="L16" s="2489"/>
      <c r="M16" s="2484"/>
      <c r="N16" s="2484"/>
      <c r="O16" s="2484"/>
      <c r="P16" s="3380"/>
      <c r="Q16" s="1262"/>
      <c r="R16" s="666"/>
      <c r="S16" s="667"/>
      <c r="T16" s="666"/>
      <c r="U16" s="667"/>
      <c r="V16" s="666"/>
      <c r="W16" s="667"/>
      <c r="X16" s="1264"/>
      <c r="Y16" s="3382"/>
      <c r="Z16" s="1263"/>
      <c r="AA16" s="1263">
        <v>1</v>
      </c>
      <c r="AB16" s="1263">
        <v>1</v>
      </c>
      <c r="AC16" s="1811">
        <v>1</v>
      </c>
    </row>
    <row r="17" spans="1:29" ht="15">
      <c r="A17" s="366"/>
      <c r="B17" s="555" t="s">
        <v>1259</v>
      </c>
      <c r="C17" s="1812"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811">
        <f t="shared" si="5"/>
        <v>1</v>
      </c>
    </row>
    <row r="18" spans="1:29" ht="15">
      <c r="A18" s="366"/>
      <c r="B18" s="400"/>
      <c r="C18" s="1813" t="s">
        <v>3405</v>
      </c>
      <c r="D18" s="388"/>
      <c r="E18" s="1755" t="s">
        <v>3405</v>
      </c>
      <c r="F18" s="388"/>
      <c r="G18" s="1756" t="s">
        <v>3405</v>
      </c>
      <c r="H18" s="386"/>
      <c r="I18" s="1756" t="s">
        <v>3405</v>
      </c>
      <c r="J18" s="386"/>
      <c r="K18" s="540"/>
      <c r="L18" s="2489"/>
      <c r="M18" s="2484"/>
      <c r="N18" s="2484"/>
      <c r="O18" s="2484"/>
      <c r="P18" s="3380"/>
      <c r="Q18" s="1262"/>
      <c r="R18" s="666"/>
      <c r="S18" s="667"/>
      <c r="T18" s="666"/>
      <c r="U18" s="667"/>
      <c r="V18" s="666"/>
      <c r="W18" s="667"/>
      <c r="X18" s="1264"/>
      <c r="Y18" s="3382"/>
      <c r="Z18" s="1263"/>
      <c r="AA18" s="1263">
        <v>1</v>
      </c>
      <c r="AB18" s="1263">
        <v>1</v>
      </c>
      <c r="AC18" s="1811">
        <v>1</v>
      </c>
    </row>
    <row r="19" spans="1:29" ht="15">
      <c r="A19" s="366"/>
      <c r="B19" s="555" t="s">
        <v>1812</v>
      </c>
      <c r="C19" s="1812"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811">
        <f t="shared" si="5"/>
        <v>1</v>
      </c>
    </row>
    <row r="20" spans="1:29" ht="15">
      <c r="A20" s="366"/>
      <c r="B20" s="400"/>
      <c r="C20" s="1757" t="s">
        <v>3405</v>
      </c>
      <c r="D20" s="386"/>
      <c r="E20" s="1750" t="s">
        <v>3405</v>
      </c>
      <c r="F20" s="386"/>
      <c r="G20" s="1751" t="s">
        <v>3405</v>
      </c>
      <c r="H20" s="386"/>
      <c r="I20" s="1751" t="s">
        <v>3405</v>
      </c>
      <c r="J20" s="386"/>
      <c r="K20" s="540"/>
      <c r="L20" s="2489"/>
      <c r="M20" s="2484"/>
      <c r="N20" s="2484"/>
      <c r="O20" s="2484"/>
      <c r="P20" s="3380"/>
      <c r="Q20" s="1262"/>
      <c r="R20" s="666"/>
      <c r="S20" s="667"/>
      <c r="T20" s="666"/>
      <c r="U20" s="667"/>
      <c r="V20" s="666"/>
      <c r="W20" s="667"/>
      <c r="X20" s="1264"/>
      <c r="Y20" s="3382"/>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v>1</v>
      </c>
      <c r="L21" s="2489"/>
      <c r="M21" s="2484"/>
      <c r="N21" s="2484"/>
      <c r="O21" s="2484"/>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811">
        <f t="shared" ref="AC21" si="10">D21/J21</f>
        <v>1</v>
      </c>
    </row>
    <row r="22" spans="1:29" ht="15">
      <c r="A22" s="366"/>
      <c r="B22" s="556"/>
      <c r="C22" s="1813" t="s">
        <v>3426</v>
      </c>
      <c r="D22" s="386"/>
      <c r="E22" s="385" t="s">
        <v>3426</v>
      </c>
      <c r="F22" s="386"/>
      <c r="G22" s="1757" t="s">
        <v>3426</v>
      </c>
      <c r="H22" s="386"/>
      <c r="I22" s="1757" t="s">
        <v>3426</v>
      </c>
      <c r="J22" s="386"/>
      <c r="K22" s="1063"/>
      <c r="L22" s="2489"/>
      <c r="M22" s="2484"/>
      <c r="N22" s="2484"/>
      <c r="O22" s="2484"/>
      <c r="P22" s="3380"/>
      <c r="Q22" s="1262"/>
      <c r="R22" s="666"/>
      <c r="S22" s="667"/>
      <c r="T22" s="666"/>
      <c r="U22" s="667"/>
      <c r="V22" s="666"/>
      <c r="W22" s="667"/>
      <c r="X22" s="1264"/>
      <c r="Y22" s="3382"/>
      <c r="Z22" s="1263"/>
      <c r="AA22" s="1263">
        <v>1</v>
      </c>
      <c r="AB22" s="1263">
        <v>1</v>
      </c>
      <c r="AC22" s="1811">
        <v>1</v>
      </c>
    </row>
    <row r="23" spans="1:29" ht="15">
      <c r="A23" s="366"/>
      <c r="B23" s="555" t="s">
        <v>1814</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v>2</v>
      </c>
      <c r="L23" s="2489"/>
      <c r="M23" s="2484"/>
      <c r="N23" s="2484"/>
      <c r="O23" s="2484"/>
      <c r="P23" s="3380"/>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811">
        <f t="shared" si="5"/>
        <v>1</v>
      </c>
    </row>
    <row r="24" spans="1:29" ht="15">
      <c r="A24" s="366"/>
      <c r="B24" s="556"/>
      <c r="C24" s="1757" t="s">
        <v>3405</v>
      </c>
      <c r="D24" s="386"/>
      <c r="E24" s="1750" t="s">
        <v>3405</v>
      </c>
      <c r="F24" s="386"/>
      <c r="G24" s="1751" t="s">
        <v>3405</v>
      </c>
      <c r="H24" s="386"/>
      <c r="I24" s="1751" t="s">
        <v>3405</v>
      </c>
      <c r="J24" s="386"/>
      <c r="K24" s="540"/>
      <c r="L24" s="2489"/>
      <c r="M24" s="2484"/>
      <c r="N24" s="2484"/>
      <c r="O24" s="2484"/>
      <c r="P24" s="3380"/>
      <c r="Q24" s="1262"/>
      <c r="R24" s="666"/>
      <c r="S24" s="667"/>
      <c r="T24" s="666"/>
      <c r="U24" s="667"/>
      <c r="V24" s="666"/>
      <c r="W24" s="667"/>
      <c r="X24" s="1264"/>
      <c r="Y24" s="3382"/>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89"/>
      <c r="M25" s="2484"/>
      <c r="N25" s="2484"/>
      <c r="O25" s="2484"/>
      <c r="P25" s="3380"/>
      <c r="Q25" s="1262" t="str">
        <f>B25</f>
        <v>毗邻道路的类型与等级</v>
      </c>
      <c r="R25" s="666" t="s">
        <v>14</v>
      </c>
      <c r="S25" s="667">
        <f>F25</f>
        <v>100</v>
      </c>
      <c r="T25" s="666" t="s">
        <v>14</v>
      </c>
      <c r="U25" s="667">
        <f>H25</f>
        <v>100</v>
      </c>
      <c r="V25" s="666" t="s">
        <v>14</v>
      </c>
      <c r="W25" s="667">
        <f>J25</f>
        <v>100</v>
      </c>
      <c r="X25" s="1264"/>
      <c r="Y25" s="3382"/>
      <c r="Z25" s="1263" t="str">
        <f>Q25</f>
        <v>毗邻道路的类型与等级</v>
      </c>
      <c r="AA25" s="1263">
        <f t="shared" si="3"/>
        <v>1</v>
      </c>
      <c r="AB25" s="1263">
        <f t="shared" si="4"/>
        <v>1</v>
      </c>
      <c r="AC25" s="1811">
        <f t="shared" si="5"/>
        <v>1</v>
      </c>
    </row>
    <row r="26" spans="1:29" ht="15">
      <c r="A26" s="347"/>
      <c r="B26" s="400"/>
      <c r="C26" s="557" t="s">
        <v>3430</v>
      </c>
      <c r="D26" s="373"/>
      <c r="E26" s="557" t="s">
        <v>3430</v>
      </c>
      <c r="F26" s="373"/>
      <c r="G26" s="557" t="s">
        <v>3430</v>
      </c>
      <c r="H26" s="373"/>
      <c r="I26" s="557" t="s">
        <v>3430</v>
      </c>
      <c r="J26" s="373"/>
      <c r="K26" s="540"/>
      <c r="L26" s="2489"/>
      <c r="M26" s="2484"/>
      <c r="N26" s="2484"/>
      <c r="O26" s="2484"/>
      <c r="P26" s="3380"/>
      <c r="Q26" s="1262"/>
      <c r="R26" s="666"/>
      <c r="S26" s="667"/>
      <c r="T26" s="666"/>
      <c r="U26" s="667"/>
      <c r="V26" s="666"/>
      <c r="W26" s="667"/>
      <c r="X26" s="1264"/>
      <c r="Y26" s="3382"/>
      <c r="Z26" s="1263"/>
      <c r="AA26" s="1263">
        <v>1</v>
      </c>
      <c r="AB26" s="1263">
        <v>1</v>
      </c>
      <c r="AC26" s="1811">
        <v>1</v>
      </c>
    </row>
    <row r="27" spans="1:29" ht="15">
      <c r="A27" s="366"/>
      <c r="B27" s="400" t="s">
        <v>1783</v>
      </c>
      <c r="C27" s="557" t="s">
        <v>3433</v>
      </c>
      <c r="D27" s="373">
        <v>100</v>
      </c>
      <c r="E27" s="557" t="s">
        <v>3435</v>
      </c>
      <c r="F27" s="373">
        <f>SUMIF(89:89,E27,90:90)-SUMIF(89:89,C27,90:90)+100</f>
        <v>96</v>
      </c>
      <c r="G27" s="557" t="s">
        <v>3435</v>
      </c>
      <c r="H27" s="373">
        <f>SUMIF(89:89,G27,90:90)-SUMIF(89:89,C27,90:90)+100</f>
        <v>96</v>
      </c>
      <c r="I27" s="557" t="s">
        <v>3435</v>
      </c>
      <c r="J27" s="373">
        <f>SUMIF(89:89,I27,90:90)-SUMIF(89:89,C27,90:90)+100</f>
        <v>96</v>
      </c>
      <c r="K27" s="537">
        <v>4</v>
      </c>
      <c r="L27" s="2489"/>
      <c r="M27" s="2484"/>
      <c r="N27" s="2484"/>
      <c r="O27" s="2484"/>
      <c r="P27" s="3380"/>
      <c r="Q27" s="1262" t="str">
        <f t="shared" ref="Q27:Q47" si="11">B27</f>
        <v>楼层</v>
      </c>
      <c r="R27" s="666" t="s">
        <v>14</v>
      </c>
      <c r="S27" s="667">
        <f>F27</f>
        <v>96</v>
      </c>
      <c r="T27" s="666" t="s">
        <v>14</v>
      </c>
      <c r="U27" s="667">
        <f>H27</f>
        <v>96</v>
      </c>
      <c r="V27" s="666" t="s">
        <v>14</v>
      </c>
      <c r="W27" s="667">
        <f>J27</f>
        <v>96</v>
      </c>
      <c r="X27" s="1264"/>
      <c r="Y27" s="3382"/>
      <c r="Z27" s="1263" t="str">
        <f>Q27</f>
        <v>楼层</v>
      </c>
      <c r="AA27" s="1263">
        <f t="shared" si="3"/>
        <v>1.0416666666666667</v>
      </c>
      <c r="AB27" s="1263">
        <f t="shared" si="4"/>
        <v>1.0416666666666667</v>
      </c>
      <c r="AC27" s="1811">
        <f t="shared" si="5"/>
        <v>1.0416666666666667</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80"/>
      <c r="Q28" s="529" t="str">
        <f t="shared" si="11"/>
        <v>朝向</v>
      </c>
      <c r="R28" s="663" t="s">
        <v>14</v>
      </c>
      <c r="S28" s="664">
        <f>F28</f>
        <v>100</v>
      </c>
      <c r="T28" s="663" t="s">
        <v>14</v>
      </c>
      <c r="U28" s="664">
        <f>H28</f>
        <v>100</v>
      </c>
      <c r="V28" s="663" t="s">
        <v>14</v>
      </c>
      <c r="W28" s="664">
        <f>J28</f>
        <v>100</v>
      </c>
      <c r="X28" s="665"/>
      <c r="Y28" s="3382"/>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80"/>
      <c r="Q29" s="1262">
        <f t="shared" si="11"/>
        <v>111</v>
      </c>
      <c r="R29" s="666" t="s">
        <v>14</v>
      </c>
      <c r="S29" s="667">
        <f t="shared" ref="S29:S47" si="12">F29</f>
        <v>100</v>
      </c>
      <c r="T29" s="666" t="s">
        <v>14</v>
      </c>
      <c r="U29" s="667">
        <f t="shared" ref="U29:U47" si="13">H29</f>
        <v>100</v>
      </c>
      <c r="V29" s="666" t="s">
        <v>14</v>
      </c>
      <c r="W29" s="667">
        <f t="shared" ref="W29:W47" si="14">J29</f>
        <v>100</v>
      </c>
      <c r="X29" s="1264"/>
      <c r="Y29" s="3382"/>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80"/>
      <c r="Q32" s="1262">
        <f t="shared" si="11"/>
        <v>111</v>
      </c>
      <c r="R32" s="666" t="s">
        <v>14</v>
      </c>
      <c r="S32" s="667">
        <f t="shared" si="12"/>
        <v>100</v>
      </c>
      <c r="T32" s="666" t="s">
        <v>14</v>
      </c>
      <c r="U32" s="667">
        <f t="shared" si="13"/>
        <v>100</v>
      </c>
      <c r="V32" s="666" t="s">
        <v>14</v>
      </c>
      <c r="W32" s="667">
        <f t="shared" si="14"/>
        <v>100</v>
      </c>
      <c r="X32" s="1264"/>
      <c r="Y32" s="3382"/>
      <c r="Z32" s="1263">
        <f t="shared" si="15"/>
        <v>111</v>
      </c>
      <c r="AA32" s="1263">
        <f t="shared" si="3"/>
        <v>1</v>
      </c>
      <c r="AB32" s="1263">
        <f t="shared" si="4"/>
        <v>1</v>
      </c>
      <c r="AC32" s="1811">
        <f t="shared" si="5"/>
        <v>1</v>
      </c>
    </row>
    <row r="33" spans="1:29" ht="15">
      <c r="A33" s="378" t="s">
        <v>1694</v>
      </c>
      <c r="B33" s="60" t="s">
        <v>1817</v>
      </c>
      <c r="C33" s="1763" t="s">
        <v>3438</v>
      </c>
      <c r="D33" s="404">
        <v>100</v>
      </c>
      <c r="E33" s="1763" t="s">
        <v>3438</v>
      </c>
      <c r="F33" s="399">
        <f>SUMIF(101:101,E33,102:102)-SUMIF(101:101,C33,102:102)+100</f>
        <v>100</v>
      </c>
      <c r="G33" s="1763" t="s">
        <v>3438</v>
      </c>
      <c r="H33" s="373">
        <f>SUMIF(101:101,G33,102:102)-SUMIF(101:101,C33,102:102)+100</f>
        <v>100</v>
      </c>
      <c r="I33" s="1763" t="s">
        <v>3438</v>
      </c>
      <c r="J33" s="404">
        <f>SUMIF(101:101,I33,102:102)-SUMIF(101:101,C33,102:102)+100</f>
        <v>100</v>
      </c>
      <c r="K33" s="537">
        <v>2</v>
      </c>
      <c r="L33" s="2489"/>
      <c r="M33" s="2484"/>
      <c r="N33" s="2484"/>
      <c r="O33" s="2484"/>
      <c r="P33" s="3383" t="s">
        <v>1696</v>
      </c>
      <c r="Q33" s="1262" t="str">
        <f t="shared" si="11"/>
        <v>建筑类型</v>
      </c>
      <c r="R33" s="666" t="s">
        <v>14</v>
      </c>
      <c r="S33" s="667">
        <f t="shared" si="12"/>
        <v>100</v>
      </c>
      <c r="T33" s="666" t="s">
        <v>14</v>
      </c>
      <c r="U33" s="667">
        <f t="shared" si="13"/>
        <v>100</v>
      </c>
      <c r="V33" s="666" t="s">
        <v>14</v>
      </c>
      <c r="W33" s="667">
        <f t="shared" si="14"/>
        <v>100</v>
      </c>
      <c r="X33" s="1264"/>
      <c r="Y33" s="3386" t="s">
        <v>1696</v>
      </c>
      <c r="Z33" s="1263" t="str">
        <f t="shared" si="15"/>
        <v>建筑类型</v>
      </c>
      <c r="AA33" s="1263">
        <f t="shared" si="3"/>
        <v>1</v>
      </c>
      <c r="AB33" s="1263">
        <f t="shared" si="4"/>
        <v>1</v>
      </c>
      <c r="AC33" s="1811">
        <f t="shared" si="5"/>
        <v>1</v>
      </c>
    </row>
    <row r="34" spans="1:29" s="407" customFormat="1" ht="15">
      <c r="A34" s="405"/>
      <c r="B34" s="363" t="s">
        <v>1697</v>
      </c>
      <c r="C34" s="406">
        <f>'数据-汇总表'!E19</f>
        <v>1106.44</v>
      </c>
      <c r="D34" s="119">
        <v>100</v>
      </c>
      <c r="E34" s="368">
        <v>401</v>
      </c>
      <c r="F34" s="363">
        <f>LOOKUP(E34,104:104,105:105)-LOOKUP(C34,104:104,105:105)+100</f>
        <v>200</v>
      </c>
      <c r="G34" s="367">
        <v>81.64</v>
      </c>
      <c r="H34" s="119">
        <f>LOOKUP(G34,104:104,105:105)-LOOKUP(C34,104:104,105:105)+100</f>
        <v>198</v>
      </c>
      <c r="I34" s="367">
        <v>641</v>
      </c>
      <c r="J34" s="119">
        <f>LOOKUP(I34,104:104,105:105)-LOOKUP(C34,104:104,105:105)+100</f>
        <v>199</v>
      </c>
      <c r="K34" s="538"/>
      <c r="L34" s="2488"/>
      <c r="M34" s="2490"/>
      <c r="N34" s="2490"/>
      <c r="O34" s="2490"/>
      <c r="P34" s="3384"/>
      <c r="Q34" s="530" t="str">
        <f t="shared" si="11"/>
        <v>项目建筑规模</v>
      </c>
      <c r="R34" s="668" t="s">
        <v>14</v>
      </c>
      <c r="S34" s="669">
        <f t="shared" si="12"/>
        <v>200</v>
      </c>
      <c r="T34" s="668" t="s">
        <v>14</v>
      </c>
      <c r="U34" s="669">
        <f t="shared" si="13"/>
        <v>198</v>
      </c>
      <c r="V34" s="668" t="s">
        <v>14</v>
      </c>
      <c r="W34" s="669">
        <f t="shared" si="14"/>
        <v>199</v>
      </c>
      <c r="X34" s="670"/>
      <c r="Y34" s="3386"/>
      <c r="Z34" s="671" t="str">
        <f t="shared" si="15"/>
        <v>项目建筑规模</v>
      </c>
      <c r="AA34" s="1263">
        <f t="shared" si="3"/>
        <v>0.5</v>
      </c>
      <c r="AB34" s="1263">
        <f t="shared" si="4"/>
        <v>0.50505050505050508</v>
      </c>
      <c r="AC34" s="1811">
        <f t="shared" si="5"/>
        <v>0.50251256281407031</v>
      </c>
    </row>
    <row r="35" spans="1:29" ht="15">
      <c r="A35" s="408"/>
      <c r="B35" s="363" t="s">
        <v>1698</v>
      </c>
      <c r="C35" s="398" t="s">
        <v>3410</v>
      </c>
      <c r="D35" s="373">
        <v>100</v>
      </c>
      <c r="E35" s="398" t="s">
        <v>3410</v>
      </c>
      <c r="F35" s="399">
        <f>SUMIF(106:106,E35,107:107)-SUMIF(106:106,C35,107:107)+100</f>
        <v>100</v>
      </c>
      <c r="G35" s="398" t="s">
        <v>3410</v>
      </c>
      <c r="H35" s="373">
        <f>SUMIF(106:106,G35,107:107)-SUMIF(106:106,C35,107:107)+100</f>
        <v>100</v>
      </c>
      <c r="I35" s="398" t="s">
        <v>3410</v>
      </c>
      <c r="J35" s="373">
        <f>SUMIF(106:106,I35,107:107)-SUMIF(106:106,C35,107:107)+100</f>
        <v>100</v>
      </c>
      <c r="K35" s="537">
        <v>2</v>
      </c>
      <c r="L35" s="2489"/>
      <c r="M35" s="2484"/>
      <c r="N35" s="2484"/>
      <c r="O35" s="2484"/>
      <c r="P35" s="3384"/>
      <c r="Q35" s="1262" t="str">
        <f t="shared" si="11"/>
        <v>建筑结构</v>
      </c>
      <c r="R35" s="666" t="s">
        <v>14</v>
      </c>
      <c r="S35" s="667">
        <f t="shared" si="12"/>
        <v>100</v>
      </c>
      <c r="T35" s="666" t="s">
        <v>14</v>
      </c>
      <c r="U35" s="667">
        <f t="shared" si="13"/>
        <v>100</v>
      </c>
      <c r="V35" s="666" t="s">
        <v>14</v>
      </c>
      <c r="W35" s="667">
        <f t="shared" si="14"/>
        <v>100</v>
      </c>
      <c r="X35" s="1264"/>
      <c r="Y35" s="3386"/>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9"/>
      <c r="M36" s="2484"/>
      <c r="N36" s="2484"/>
      <c r="O36" s="2484"/>
      <c r="P36" s="3384"/>
      <c r="Q36" s="1262" t="str">
        <f t="shared" si="11"/>
        <v>公共部分装修</v>
      </c>
      <c r="R36" s="666" t="s">
        <v>14</v>
      </c>
      <c r="S36" s="667">
        <f t="shared" si="12"/>
        <v>100</v>
      </c>
      <c r="T36" s="666" t="s">
        <v>14</v>
      </c>
      <c r="U36" s="667">
        <f t="shared" si="13"/>
        <v>100</v>
      </c>
      <c r="V36" s="666" t="s">
        <v>14</v>
      </c>
      <c r="W36" s="667">
        <f t="shared" si="14"/>
        <v>100</v>
      </c>
      <c r="X36" s="1264"/>
      <c r="Y36" s="3386"/>
      <c r="Z36" s="1263" t="str">
        <f t="shared" si="15"/>
        <v>公共部分装修</v>
      </c>
      <c r="AA36" s="1263">
        <f t="shared" si="3"/>
        <v>1</v>
      </c>
      <c r="AB36" s="1263">
        <f t="shared" si="4"/>
        <v>1</v>
      </c>
      <c r="AC36" s="1811">
        <f t="shared" si="5"/>
        <v>1</v>
      </c>
    </row>
    <row r="37" spans="1:29" ht="15">
      <c r="A37" s="408"/>
      <c r="B37" s="363" t="s">
        <v>1786</v>
      </c>
      <c r="C37" s="410">
        <f>'数据-取费表'!N6</f>
        <v>0.72</v>
      </c>
      <c r="D37" s="373">
        <v>100</v>
      </c>
      <c r="E37" s="410">
        <f>C37</f>
        <v>0.72</v>
      </c>
      <c r="F37" s="399">
        <f>LOOKUP(E37,111:111,112:112)-LOOKUP(C37,111:111,112:112)+100</f>
        <v>100</v>
      </c>
      <c r="G37" s="410">
        <f>C37</f>
        <v>0.72</v>
      </c>
      <c r="H37" s="399">
        <f>LOOKUP(G37,111:111,112:112)-LOOKUP(C37,111:111,112:112)+100</f>
        <v>100</v>
      </c>
      <c r="I37" s="410">
        <f>C37</f>
        <v>0.72</v>
      </c>
      <c r="J37" s="373">
        <f>LOOKUP(I37,111:111,112:112)-LOOKUP(C37,111:111,112:112)+100</f>
        <v>100</v>
      </c>
      <c r="K37" s="537">
        <v>1</v>
      </c>
      <c r="L37" s="2489"/>
      <c r="M37" s="2484"/>
      <c r="N37" s="2484"/>
      <c r="O37" s="2484"/>
      <c r="P37" s="3384"/>
      <c r="Q37" s="1262" t="str">
        <f t="shared" si="11"/>
        <v>成新度</v>
      </c>
      <c r="R37" s="666" t="s">
        <v>14</v>
      </c>
      <c r="S37" s="667">
        <f t="shared" si="12"/>
        <v>100</v>
      </c>
      <c r="T37" s="666" t="s">
        <v>14</v>
      </c>
      <c r="U37" s="667">
        <f t="shared" si="13"/>
        <v>100</v>
      </c>
      <c r="V37" s="666" t="s">
        <v>14</v>
      </c>
      <c r="W37" s="667">
        <f t="shared" si="14"/>
        <v>100</v>
      </c>
      <c r="X37" s="1264"/>
      <c r="Y37" s="3386"/>
      <c r="Z37" s="1263" t="str">
        <f t="shared" si="15"/>
        <v>成新度</v>
      </c>
      <c r="AA37" s="1263">
        <f t="shared" si="3"/>
        <v>1</v>
      </c>
      <c r="AB37" s="1263">
        <f t="shared" si="4"/>
        <v>1</v>
      </c>
      <c r="AC37" s="1811">
        <f t="shared" si="5"/>
        <v>1</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v>2</v>
      </c>
      <c r="L38" s="2485"/>
      <c r="M38" s="2437"/>
      <c r="N38" s="2437"/>
      <c r="O38" s="2437"/>
      <c r="P38" s="3384"/>
      <c r="Q38" s="529" t="str">
        <f t="shared" si="11"/>
        <v>写字楼等级</v>
      </c>
      <c r="R38" s="663" t="s">
        <v>14</v>
      </c>
      <c r="S38" s="664">
        <f t="shared" si="12"/>
        <v>100</v>
      </c>
      <c r="T38" s="663" t="s">
        <v>14</v>
      </c>
      <c r="U38" s="664">
        <f t="shared" si="13"/>
        <v>100</v>
      </c>
      <c r="V38" s="663" t="s">
        <v>14</v>
      </c>
      <c r="W38" s="664">
        <f t="shared" si="14"/>
        <v>100</v>
      </c>
      <c r="X38" s="665"/>
      <c r="Y38" s="3386"/>
      <c r="Z38" s="50" t="str">
        <f t="shared" si="15"/>
        <v>写字楼等级</v>
      </c>
      <c r="AA38" s="50">
        <f t="shared" si="3"/>
        <v>1</v>
      </c>
      <c r="AB38" s="50">
        <f t="shared" si="4"/>
        <v>1</v>
      </c>
      <c r="AC38" s="801">
        <f t="shared" si="5"/>
        <v>1</v>
      </c>
    </row>
    <row r="39" spans="1:29" ht="15">
      <c r="A39" s="408"/>
      <c r="B39" s="363" t="s">
        <v>1819</v>
      </c>
      <c r="C39" s="398" t="s">
        <v>3446</v>
      </c>
      <c r="D39" s="373">
        <v>100</v>
      </c>
      <c r="E39" s="398" t="s">
        <v>3446</v>
      </c>
      <c r="F39" s="399">
        <f>SUMIF(115:115,E39,116:116)-SUMIF(115:115,C39,116:116)+100</f>
        <v>100</v>
      </c>
      <c r="G39" s="398" t="s">
        <v>3446</v>
      </c>
      <c r="H39" s="373">
        <f>SUMIF(115:115,G39,116:116)-SUMIF(115:115,C39,116:116)+100</f>
        <v>100</v>
      </c>
      <c r="I39" s="398" t="s">
        <v>3446</v>
      </c>
      <c r="J39" s="373">
        <f>SUMIF(115:115,I39,116:116)-SUMIF(115:115,C39,116:116)+100</f>
        <v>100</v>
      </c>
      <c r="K39" s="537">
        <v>2</v>
      </c>
      <c r="L39" s="2489"/>
      <c r="M39" s="2484"/>
      <c r="N39" s="2484"/>
      <c r="O39" s="2484"/>
      <c r="P39" s="3384" t="s">
        <v>1696</v>
      </c>
      <c r="Q39" s="1262" t="str">
        <f t="shared" si="11"/>
        <v>物业管理</v>
      </c>
      <c r="R39" s="666" t="s">
        <v>14</v>
      </c>
      <c r="S39" s="667">
        <f t="shared" si="12"/>
        <v>100</v>
      </c>
      <c r="T39" s="666" t="s">
        <v>14</v>
      </c>
      <c r="U39" s="667">
        <f t="shared" si="13"/>
        <v>100</v>
      </c>
      <c r="V39" s="666" t="s">
        <v>14</v>
      </c>
      <c r="W39" s="667">
        <f t="shared" si="14"/>
        <v>100</v>
      </c>
      <c r="X39" s="1264"/>
      <c r="Y39" s="3386" t="s">
        <v>1696</v>
      </c>
      <c r="Z39" s="1263" t="str">
        <f t="shared" si="15"/>
        <v>物业管理</v>
      </c>
      <c r="AA39" s="1263">
        <f t="shared" si="3"/>
        <v>1</v>
      </c>
      <c r="AB39" s="1263">
        <f t="shared" si="4"/>
        <v>1</v>
      </c>
      <c r="AC39" s="1811">
        <f t="shared" si="5"/>
        <v>1</v>
      </c>
    </row>
    <row r="40" spans="1:29" ht="15">
      <c r="A40" s="408"/>
      <c r="B40" s="363" t="s">
        <v>1787</v>
      </c>
      <c r="C40" s="398" t="s">
        <v>3427</v>
      </c>
      <c r="D40" s="373">
        <v>100</v>
      </c>
      <c r="E40" s="398" t="s">
        <v>3427</v>
      </c>
      <c r="F40" s="399">
        <f>SUMIF(117:117,E40,118:118)-SUMIF(117:117,C40,118:118)+100</f>
        <v>100</v>
      </c>
      <c r="G40" s="398" t="s">
        <v>3427</v>
      </c>
      <c r="H40" s="373">
        <f>SUMIF(117:117,G40,118:118)-SUMIF(117:117,C40,118:118)+100</f>
        <v>100</v>
      </c>
      <c r="I40" s="398" t="s">
        <v>3427</v>
      </c>
      <c r="J40" s="373">
        <f>SUMIF(117:117,I40,118:118)-SUMIF(117:117,C40,118:118)+100</f>
        <v>100</v>
      </c>
      <c r="K40" s="537">
        <v>1</v>
      </c>
      <c r="L40" s="2489"/>
      <c r="M40" s="2484"/>
      <c r="N40" s="2484"/>
      <c r="O40" s="2484"/>
      <c r="P40" s="3384"/>
      <c r="Q40" s="1262" t="str">
        <f t="shared" si="11"/>
        <v>市政基础设施</v>
      </c>
      <c r="R40" s="666" t="s">
        <v>14</v>
      </c>
      <c r="S40" s="667">
        <f t="shared" si="12"/>
        <v>100</v>
      </c>
      <c r="T40" s="666" t="s">
        <v>14</v>
      </c>
      <c r="U40" s="667">
        <f t="shared" si="13"/>
        <v>100</v>
      </c>
      <c r="V40" s="666" t="s">
        <v>14</v>
      </c>
      <c r="W40" s="667">
        <f t="shared" si="14"/>
        <v>100</v>
      </c>
      <c r="X40" s="1264"/>
      <c r="Y40" s="3386"/>
      <c r="Z40" s="1263" t="str">
        <f t="shared" si="15"/>
        <v>市政基础设施</v>
      </c>
      <c r="AA40" s="1263">
        <f t="shared" si="3"/>
        <v>1</v>
      </c>
      <c r="AB40" s="1263">
        <f t="shared" si="4"/>
        <v>1</v>
      </c>
      <c r="AC40" s="1811">
        <f t="shared" si="5"/>
        <v>1</v>
      </c>
    </row>
    <row r="41" spans="1:29" ht="15">
      <c r="A41" s="408"/>
      <c r="B41" s="363" t="s">
        <v>1789</v>
      </c>
      <c r="C41" s="541" t="s">
        <v>3452</v>
      </c>
      <c r="D41" s="373">
        <v>100</v>
      </c>
      <c r="E41" s="541" t="s">
        <v>3452</v>
      </c>
      <c r="F41" s="399">
        <f>SUMIF(119:119,E41,120:120)-SUMIF(119:119,C41,120:120)+100</f>
        <v>100</v>
      </c>
      <c r="G41" s="541" t="s">
        <v>3452</v>
      </c>
      <c r="H41" s="373">
        <f>SUMIF(119:119,G41,120:120)-SUMIF(119:119,C41,120:120)+100</f>
        <v>100</v>
      </c>
      <c r="I41" s="541" t="s">
        <v>3452</v>
      </c>
      <c r="J41" s="373">
        <f>SUMIF(119:119,I41,120:120)-SUMIF(119:119,C41,120:120)+100</f>
        <v>100</v>
      </c>
      <c r="K41" s="537">
        <v>5</v>
      </c>
      <c r="L41" s="2489"/>
      <c r="M41" s="2484"/>
      <c r="N41" s="2484"/>
      <c r="O41" s="2484"/>
      <c r="P41" s="3384"/>
      <c r="Q41" s="1262" t="str">
        <f t="shared" si="11"/>
        <v>层高</v>
      </c>
      <c r="R41" s="666" t="s">
        <v>14</v>
      </c>
      <c r="S41" s="667">
        <f t="shared" si="12"/>
        <v>100</v>
      </c>
      <c r="T41" s="666" t="s">
        <v>14</v>
      </c>
      <c r="U41" s="667">
        <f t="shared" si="13"/>
        <v>100</v>
      </c>
      <c r="V41" s="666" t="s">
        <v>14</v>
      </c>
      <c r="W41" s="667">
        <f t="shared" si="14"/>
        <v>100</v>
      </c>
      <c r="X41" s="1264"/>
      <c r="Y41" s="3386"/>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4"/>
      <c r="Q42" s="530" t="str">
        <f t="shared" si="11"/>
        <v>单套建筑面积</v>
      </c>
      <c r="R42" s="668" t="s">
        <v>14</v>
      </c>
      <c r="S42" s="669">
        <f t="shared" si="12"/>
        <v>100</v>
      </c>
      <c r="T42" s="668" t="s">
        <v>14</v>
      </c>
      <c r="U42" s="669">
        <f t="shared" si="13"/>
        <v>100</v>
      </c>
      <c r="V42" s="668" t="s">
        <v>14</v>
      </c>
      <c r="W42" s="669">
        <f t="shared" si="14"/>
        <v>100</v>
      </c>
      <c r="X42" s="670"/>
      <c r="Y42" s="3386"/>
      <c r="Z42" s="671" t="str">
        <f t="shared" si="15"/>
        <v>单套建筑面积</v>
      </c>
      <c r="AA42" s="1263">
        <f t="shared" si="3"/>
        <v>1</v>
      </c>
      <c r="AB42" s="1263">
        <f t="shared" si="4"/>
        <v>1</v>
      </c>
      <c r="AC42" s="1811">
        <f t="shared" si="5"/>
        <v>1</v>
      </c>
    </row>
    <row r="43" spans="1:29" ht="15">
      <c r="A43" s="408"/>
      <c r="B43" s="363" t="s">
        <v>1792</v>
      </c>
      <c r="C43" s="3159" t="s">
        <v>3442</v>
      </c>
      <c r="D43" s="373">
        <v>100</v>
      </c>
      <c r="E43" s="398" t="s">
        <v>3442</v>
      </c>
      <c r="F43" s="399">
        <f>SUMIF(123:123,E43,124:124)-SUMIF(123:123,C43,124:124)+100</f>
        <v>100</v>
      </c>
      <c r="G43" s="398" t="s">
        <v>3442</v>
      </c>
      <c r="H43" s="373">
        <f>SUMIF(123:123,G43,124:124)-SUMIF(123:123,C43,124:124)+100</f>
        <v>100</v>
      </c>
      <c r="I43" s="398" t="s">
        <v>3442</v>
      </c>
      <c r="J43" s="373">
        <f>SUMIF(123:123,I43,124:124)-SUMIF(123:123,C43,124:124)+100</f>
        <v>100</v>
      </c>
      <c r="K43" s="537">
        <v>2</v>
      </c>
      <c r="L43" s="2489"/>
      <c r="M43" s="2484"/>
      <c r="N43" s="2484"/>
      <c r="O43" s="2484"/>
      <c r="P43" s="3384"/>
      <c r="Q43" s="1262" t="str">
        <f t="shared" si="11"/>
        <v>内部装修</v>
      </c>
      <c r="R43" s="666" t="s">
        <v>14</v>
      </c>
      <c r="S43" s="667">
        <f t="shared" si="12"/>
        <v>100</v>
      </c>
      <c r="T43" s="666" t="s">
        <v>14</v>
      </c>
      <c r="U43" s="667">
        <f t="shared" si="13"/>
        <v>100</v>
      </c>
      <c r="V43" s="666" t="s">
        <v>14</v>
      </c>
      <c r="W43" s="667">
        <f t="shared" si="14"/>
        <v>100</v>
      </c>
      <c r="X43" s="1264"/>
      <c r="Y43" s="3386"/>
      <c r="Z43" s="1263" t="str">
        <f t="shared" si="15"/>
        <v>内部装修</v>
      </c>
      <c r="AA43" s="1263">
        <f t="shared" si="3"/>
        <v>1</v>
      </c>
      <c r="AB43" s="1263">
        <f t="shared" si="4"/>
        <v>1</v>
      </c>
      <c r="AC43" s="1811">
        <f t="shared" si="5"/>
        <v>1</v>
      </c>
    </row>
    <row r="44" spans="1:29" ht="28.8">
      <c r="A44" s="408"/>
      <c r="B44" s="363" t="s">
        <v>1707</v>
      </c>
      <c r="C44" s="398" t="s">
        <v>3405</v>
      </c>
      <c r="D44" s="373">
        <v>100</v>
      </c>
      <c r="E44" s="398" t="s">
        <v>3405</v>
      </c>
      <c r="F44" s="399">
        <f>SUMIF(125:125,E44,126:126)-SUMIF(125:125,C44,126:126)+100</f>
        <v>100</v>
      </c>
      <c r="G44" s="398" t="s">
        <v>3405</v>
      </c>
      <c r="H44" s="373">
        <f>SUMIF(125:125,G44,126:126)-SUMIF(125:125,C44,126:126)+100</f>
        <v>100</v>
      </c>
      <c r="I44" s="398" t="s">
        <v>3405</v>
      </c>
      <c r="J44" s="373">
        <f>SUMIF(125:125,I44,126:126)-SUMIF(125:125,C44,126:126)+100</f>
        <v>100</v>
      </c>
      <c r="K44" s="537">
        <v>2</v>
      </c>
      <c r="L44" s="2489"/>
      <c r="M44" s="2484"/>
      <c r="N44" s="2484"/>
      <c r="O44" s="2484"/>
      <c r="P44" s="3384"/>
      <c r="Q44" s="1262" t="str">
        <f t="shared" si="11"/>
        <v>内部装修维护情况</v>
      </c>
      <c r="R44" s="666" t="s">
        <v>14</v>
      </c>
      <c r="S44" s="667">
        <f t="shared" si="12"/>
        <v>100</v>
      </c>
      <c r="T44" s="666" t="s">
        <v>14</v>
      </c>
      <c r="U44" s="667">
        <f t="shared" si="13"/>
        <v>100</v>
      </c>
      <c r="V44" s="666" t="s">
        <v>14</v>
      </c>
      <c r="W44" s="667">
        <f t="shared" si="14"/>
        <v>100</v>
      </c>
      <c r="X44" s="1264"/>
      <c r="Y44" s="3386"/>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7"/>
      <c r="N45" s="2437"/>
      <c r="O45" s="2437"/>
      <c r="P45" s="3384"/>
      <c r="Q45" s="529">
        <f t="shared" si="11"/>
        <v>111</v>
      </c>
      <c r="R45" s="663" t="s">
        <v>14</v>
      </c>
      <c r="S45" s="664">
        <f t="shared" si="12"/>
        <v>100</v>
      </c>
      <c r="T45" s="663" t="s">
        <v>14</v>
      </c>
      <c r="U45" s="664">
        <f t="shared" si="13"/>
        <v>100</v>
      </c>
      <c r="V45" s="663" t="s">
        <v>14</v>
      </c>
      <c r="W45" s="664">
        <f t="shared" si="14"/>
        <v>100</v>
      </c>
      <c r="X45" s="665"/>
      <c r="Y45" s="3386"/>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84"/>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5"/>
      <c r="Q47" s="1262">
        <f t="shared" si="11"/>
        <v>111</v>
      </c>
      <c r="R47" s="666" t="s">
        <v>14</v>
      </c>
      <c r="S47" s="667">
        <f t="shared" si="12"/>
        <v>100</v>
      </c>
      <c r="T47" s="666" t="s">
        <v>14</v>
      </c>
      <c r="U47" s="667">
        <f t="shared" si="13"/>
        <v>100</v>
      </c>
      <c r="V47" s="666" t="s">
        <v>14</v>
      </c>
      <c r="W47" s="667">
        <f t="shared" si="14"/>
        <v>100</v>
      </c>
      <c r="X47" s="1264"/>
      <c r="Y47" s="3387"/>
      <c r="Z47" s="1263">
        <f t="shared" si="15"/>
        <v>111</v>
      </c>
      <c r="AA47" s="1263">
        <f t="shared" si="3"/>
        <v>1</v>
      </c>
      <c r="AB47" s="1263">
        <f t="shared" si="4"/>
        <v>1</v>
      </c>
      <c r="AC47" s="1811">
        <f t="shared" si="5"/>
        <v>1</v>
      </c>
    </row>
    <row r="48" spans="1:29" ht="14.4">
      <c r="A48" s="415" t="s">
        <v>1708</v>
      </c>
      <c r="B48" s="416"/>
      <c r="C48" s="1080" t="s">
        <v>0</v>
      </c>
      <c r="D48" s="417"/>
      <c r="E48" s="418">
        <v>36010</v>
      </c>
      <c r="F48" s="419"/>
      <c r="G48" s="420">
        <v>39809</v>
      </c>
      <c r="H48" s="421"/>
      <c r="I48" s="418">
        <v>40000</v>
      </c>
      <c r="J48" s="421"/>
      <c r="K48" s="673"/>
      <c r="L48" s="2491"/>
      <c r="M48" s="2484"/>
      <c r="N48" s="2484"/>
      <c r="O48" s="2484"/>
      <c r="P48" s="3388" t="str">
        <f>A48</f>
        <v>成交单价（元/平方米）</v>
      </c>
      <c r="Q48" s="3374"/>
      <c r="R48" s="3375">
        <f>E48</f>
        <v>36010</v>
      </c>
      <c r="S48" s="3375"/>
      <c r="T48" s="3375">
        <f>G48</f>
        <v>39809</v>
      </c>
      <c r="U48" s="3375"/>
      <c r="V48" s="3375">
        <f>I48</f>
        <v>40000</v>
      </c>
      <c r="W48" s="3375"/>
      <c r="X48" s="384"/>
      <c r="Y48" s="672"/>
      <c r="Z48" s="384"/>
      <c r="AA48" s="384"/>
      <c r="AB48" s="384"/>
      <c r="AC48" s="554"/>
    </row>
    <row r="49" spans="1:29" ht="15" thickBot="1">
      <c r="A49" s="422" t="s">
        <v>1793</v>
      </c>
      <c r="B49" s="423"/>
      <c r="C49" s="1081">
        <f>R50</f>
        <v>19816</v>
      </c>
      <c r="D49" s="2140" t="s">
        <v>2137</v>
      </c>
      <c r="E49" s="1082">
        <f>R49</f>
        <v>18387</v>
      </c>
      <c r="F49" s="2141"/>
      <c r="G49" s="1081">
        <f>T49</f>
        <v>20533</v>
      </c>
      <c r="H49" s="2141"/>
      <c r="I49" s="1082">
        <f>V49</f>
        <v>20527</v>
      </c>
      <c r="J49" s="2141"/>
      <c r="K49" s="2143">
        <f>F49+H49+J49</f>
        <v>0</v>
      </c>
      <c r="L49" s="2491"/>
      <c r="M49" s="2484"/>
      <c r="N49" s="2484"/>
      <c r="O49" s="2484"/>
      <c r="P49" s="3388" t="str">
        <f>A49</f>
        <v>比较价值（元/平方米）</v>
      </c>
      <c r="Q49" s="3374"/>
      <c r="R49" s="3375">
        <f>IF(F1="售价",ROUND(PRODUCT(R48,AA7:AA47),0),ROUND(PRODUCT(R48,AA7:AA47),1))</f>
        <v>18387</v>
      </c>
      <c r="S49" s="3375"/>
      <c r="T49" s="3375">
        <f>IF(F1="售价",ROUND(PRODUCT(T48,AB7:AB47),0),ROUND(PRODUCT(T48,AB7:AB47),1))</f>
        <v>20533</v>
      </c>
      <c r="U49" s="3375"/>
      <c r="V49" s="3375">
        <f>IF(F1="售价",ROUND(PRODUCT(V48,AC7:AC47),0),ROUND(PRODUCT(V48,AC7:AC47),1))</f>
        <v>20527</v>
      </c>
      <c r="W49" s="3375"/>
      <c r="X49" s="384"/>
      <c r="Y49" s="384"/>
      <c r="Z49" s="384"/>
      <c r="AA49" s="384"/>
      <c r="AB49" s="384"/>
      <c r="AC49" s="554"/>
    </row>
    <row r="50" spans="1:29" ht="15" thickBot="1">
      <c r="A50" s="426" t="s">
        <v>1794</v>
      </c>
      <c r="B50" s="427"/>
      <c r="C50" s="350">
        <f>R50</f>
        <v>19816</v>
      </c>
      <c r="D50" s="350"/>
      <c r="E50" s="350"/>
      <c r="F50" s="350"/>
      <c r="G50" s="350"/>
      <c r="H50" s="350"/>
      <c r="I50" s="350"/>
      <c r="J50" s="428"/>
      <c r="K50" s="674"/>
      <c r="L50" s="2491"/>
      <c r="M50" s="2484"/>
      <c r="N50" s="2484"/>
      <c r="O50" s="2484"/>
      <c r="P50" s="3476" t="str">
        <f>A50</f>
        <v>估价对象XX用房的比较价值（楼面单价，元/平方米）</v>
      </c>
      <c r="Q50" s="3477"/>
      <c r="R50" s="3478">
        <f>IF(F1="售价",ROUND(IF(D49="简单平均",AVERAGE(R49:V49),R49*F49+T49*H49+V49*J49),0),ROUND(IF(D49="简单平均",AVERAGE(R49:V49),R49*F49+T49*H49+V49*J49),1))</f>
        <v>19816</v>
      </c>
      <c r="S50" s="3478"/>
      <c r="T50" s="3478"/>
      <c r="U50" s="3478"/>
      <c r="V50" s="3478"/>
      <c r="W50" s="3478"/>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f>IF(E48&lt;E49,E49/E48-1,E48/E49-1)</f>
        <v>0.9584489041170392</v>
      </c>
      <c r="F53" s="434" t="str">
        <f>IF(OR(E53&gt;=0.3,E53&lt;=-0.3),"超过30%","")</f>
        <v>超过30%</v>
      </c>
      <c r="G53" s="433">
        <f>IF(G48&lt;G49,G49/G48-1,G48/G49-1)</f>
        <v>0.93878147372522291</v>
      </c>
      <c r="H53" s="434" t="str">
        <f>IF(OR(G53&gt;=0.3,G53&lt;=-0.3),"超过30%","")</f>
        <v>超过30%</v>
      </c>
      <c r="I53" s="433">
        <f>IF(I48&lt;I49,I49/I48-1,I48/I49-1)</f>
        <v>0.94865299361816136</v>
      </c>
      <c r="J53" s="434" t="str">
        <f>IF(OR(I53&gt;=0.3,I53&lt;=-0.3),"超过30%","")</f>
        <v>超过30%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f>IF(E49&lt;G49,G49/E49-1,E49/G49-1)</f>
        <v>0.11671289498014903</v>
      </c>
      <c r="F54" s="434" t="str">
        <f>IF(OR(E54&gt;=0.2,E54&lt;=-0.2),"超过20%","")</f>
        <v/>
      </c>
      <c r="G54" s="433">
        <f>IF(G49&lt;I49,I49/G49-1,G49/I49-1)</f>
        <v>2.9229794904273021E-4</v>
      </c>
      <c r="H54" s="434" t="str">
        <f>IF(OR(G54&gt;=0.2,G54&lt;=-0.2),"超过20%","")</f>
        <v/>
      </c>
      <c r="I54" s="433">
        <f>IF(I49&lt;E49,E49/I49-1,I49/E49-1)</f>
        <v>0.11638657747321468</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4"/>
      <c r="Q59" s="2507"/>
      <c r="R59" s="2507"/>
      <c r="S59" s="2507"/>
      <c r="T59" s="2507"/>
      <c r="U59" s="2507"/>
      <c r="V59" s="2507"/>
      <c r="W59" s="2507"/>
      <c r="X59" s="2507"/>
      <c r="Y59" s="2507"/>
      <c r="Z59" s="2507"/>
      <c r="AA59" s="2507"/>
      <c r="AB59" s="2507"/>
      <c r="AC59" s="2507"/>
    </row>
    <row r="60" spans="1:29" s="102"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4.4">
      <c r="A62" s="454" t="s">
        <v>1681</v>
      </c>
      <c r="B62" s="443"/>
      <c r="C62" s="455" t="s">
        <v>1776</v>
      </c>
      <c r="D62" s="3154" t="s">
        <v>3425</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4.4" thickBot="1">
      <c r="A63" s="454"/>
      <c r="B63" s="443"/>
      <c r="C63" s="444">
        <v>100</v>
      </c>
      <c r="D63" s="445">
        <v>102</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t="s">
        <v>3416</v>
      </c>
      <c r="D66" s="3153" t="s">
        <v>3417</v>
      </c>
      <c r="E66" s="3153" t="s">
        <v>3418</v>
      </c>
      <c r="F66" s="512" t="s">
        <v>3419</v>
      </c>
      <c r="G66" s="512" t="s">
        <v>3420</v>
      </c>
      <c r="H66" s="512" t="s">
        <v>3421</v>
      </c>
      <c r="I66" s="512" t="s">
        <v>3422</v>
      </c>
      <c r="J66" s="512" t="s">
        <v>3423</v>
      </c>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9.4" thickTop="1">
      <c r="A87" s="369"/>
      <c r="B87" s="468" t="s">
        <v>1823</v>
      </c>
      <c r="C87" s="3155" t="s">
        <v>3428</v>
      </c>
      <c r="D87" s="3156" t="s">
        <v>3429</v>
      </c>
      <c r="E87" s="3156" t="s">
        <v>3431</v>
      </c>
      <c r="F87" s="3156" t="s">
        <v>3432</v>
      </c>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69"/>
      <c r="B89" s="468" t="str">
        <f>B27</f>
        <v>楼层</v>
      </c>
      <c r="C89" s="3156" t="s">
        <v>3434</v>
      </c>
      <c r="D89" s="3156" t="s">
        <v>3436</v>
      </c>
      <c r="E89" s="3156" t="s">
        <v>3437</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3157" t="s">
        <v>3439</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100</v>
      </c>
      <c r="E104" s="6">
        <v>300</v>
      </c>
      <c r="F104" s="6">
        <v>500</v>
      </c>
      <c r="G104" s="6">
        <v>700</v>
      </c>
      <c r="H104" s="6">
        <v>900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6" t="s">
        <v>3440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3156" t="s">
        <v>3441</v>
      </c>
      <c r="D108" s="3156" t="s">
        <v>3443</v>
      </c>
      <c r="E108" s="3156" t="s">
        <v>3444</v>
      </c>
      <c r="F108" s="3158" t="s">
        <v>3445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6" t="s">
        <v>3447</v>
      </c>
      <c r="D115" s="3156" t="s">
        <v>3448</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3156" t="s">
        <v>3449</v>
      </c>
      <c r="D117" s="3156" t="s">
        <v>3450</v>
      </c>
      <c r="E117" s="3156" t="s">
        <v>3451</v>
      </c>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3158" t="s">
        <v>3453</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3156" t="s">
        <v>3441</v>
      </c>
      <c r="D123" s="3156" t="s">
        <v>3443</v>
      </c>
      <c r="E123" s="3156" t="s">
        <v>3444</v>
      </c>
      <c r="F123" s="3158" t="s">
        <v>3445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topLeftCell="A19" zoomScaleNormal="70" zoomScaleSheetLayoutView="100" workbookViewId="0">
      <selection activeCell="L36" sqref="L3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673</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942.93529999999998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8522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5569802</v>
      </c>
      <c r="D5" s="202" t="s">
        <v>1469</v>
      </c>
      <c r="E5" s="203" t="s">
        <v>1470</v>
      </c>
      <c r="F5" s="203" t="s">
        <v>1471</v>
      </c>
      <c r="G5" s="204"/>
    </row>
    <row r="6" spans="1:8" s="205" customFormat="1" ht="13.5" customHeight="1">
      <c r="A6" s="731" t="s">
        <v>1472</v>
      </c>
      <c r="B6" s="206" t="s">
        <v>1473</v>
      </c>
      <c r="C6" s="3178">
        <f>基准地价修正!D33*基准地价修正!C33</f>
        <v>5200949</v>
      </c>
      <c r="D6" s="208"/>
      <c r="E6" s="209"/>
      <c r="F6" s="209"/>
      <c r="G6" s="210"/>
    </row>
    <row r="7" spans="1:8" s="205" customFormat="1" ht="13.5" customHeight="1">
      <c r="A7" s="731" t="s">
        <v>1474</v>
      </c>
      <c r="B7" s="206" t="s">
        <v>1475</v>
      </c>
      <c r="C7" s="211">
        <f>ROUND(C6*F7,0)</f>
        <v>158629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210224</v>
      </c>
      <c r="D8" s="213"/>
      <c r="E8" s="211"/>
      <c r="F8" s="212"/>
      <c r="G8" s="1713" t="s">
        <v>3407</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210224</v>
      </c>
      <c r="D10" s="794">
        <f ca="1">IF(B1="",'数据-汇总表'!E6,IF(INDIRECT("'数据-取费表'!c"&amp;$G$1)="住宅",INDIRECT("'数据-取费表'!s"&amp;$G$1),INDIRECT("'数据-取费表'!k"&amp;$G$1)+INDIRECT("'数据-取费表'!s"&amp;$G$1)))</f>
        <v>1106.44</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1106.44</v>
      </c>
      <c r="E19" s="202">
        <f>'数据-取费表'!B31</f>
        <v>200</v>
      </c>
      <c r="F19" s="222"/>
      <c r="G19" s="1713" t="s">
        <v>3408</v>
      </c>
    </row>
    <row r="20" spans="1:7" s="205" customFormat="1" ht="13.5" customHeight="1">
      <c r="A20" s="246" t="s">
        <v>1574</v>
      </c>
      <c r="B20" s="201" t="s">
        <v>1575</v>
      </c>
      <c r="C20" s="223">
        <f ca="1">ROUND((C5+C19)*F20,0)</f>
        <v>167094</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175254</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172664</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2590</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286845</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286845</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6692211</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3208676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2766100</v>
      </c>
      <c r="D34" s="208"/>
      <c r="E34" s="211"/>
      <c r="F34" s="248"/>
      <c r="G34" s="210"/>
    </row>
    <row r="35" spans="1:7" ht="13.5" customHeight="1">
      <c r="A35" s="733" t="s">
        <v>351</v>
      </c>
      <c r="B35" s="206" t="s">
        <v>1527</v>
      </c>
      <c r="C35" s="211">
        <f ca="1">ROUND(C34*F35,0)</f>
        <v>165966</v>
      </c>
      <c r="D35" s="211"/>
      <c r="E35" s="211"/>
      <c r="F35" s="250">
        <f>'数据-取费表'!B33</f>
        <v>0.06</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221288</v>
      </c>
      <c r="D37" s="208">
        <f ca="1">D19</f>
        <v>1106.44</v>
      </c>
      <c r="E37" s="240">
        <f>'数据-取费表'!B35</f>
        <v>200</v>
      </c>
      <c r="F37" s="250"/>
      <c r="G37" s="252"/>
    </row>
    <row r="38" spans="1:7" ht="13.5" customHeight="1">
      <c r="A38" s="733" t="s">
        <v>354</v>
      </c>
      <c r="B38" s="206" t="s">
        <v>1533</v>
      </c>
      <c r="C38" s="211">
        <f ca="1">ROUND(C34*F38,0)</f>
        <v>55322</v>
      </c>
      <c r="D38" s="211"/>
      <c r="E38" s="211"/>
      <c r="F38" s="250">
        <f>'数据-取费表'!B36</f>
        <v>0.02</v>
      </c>
      <c r="G38" s="210" t="s">
        <v>1528</v>
      </c>
    </row>
    <row r="39" spans="1:7" s="205" customFormat="1" ht="13.5" customHeight="1">
      <c r="A39" s="246" t="s">
        <v>1534</v>
      </c>
      <c r="B39" s="201" t="s">
        <v>1535</v>
      </c>
      <c r="C39" s="223">
        <f ca="1">ROUND(C33*F20,0)</f>
        <v>96260</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51226</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49734</v>
      </c>
      <c r="D42" s="229"/>
      <c r="E42" s="229"/>
      <c r="F42" s="230"/>
      <c r="G42" s="3438" t="s">
        <v>1591</v>
      </c>
    </row>
    <row r="43" spans="1:7" ht="13.5" customHeight="1">
      <c r="A43" s="733" t="s">
        <v>347</v>
      </c>
      <c r="B43" s="206" t="s">
        <v>1545</v>
      </c>
      <c r="C43" s="229">
        <f ca="1">ROUND(IF('数据-取费表'!B22&lt;=1,C39*F22*'数据-取费表'!B20/2,C39*(POWER((1+F22),'数据-取费表'!B20/2)-1)),0)</f>
        <v>1492</v>
      </c>
      <c r="D43" s="229"/>
      <c r="E43" s="229"/>
      <c r="F43" s="230"/>
      <c r="G43" s="3439"/>
    </row>
    <row r="44" spans="1:7" ht="13.5" customHeight="1">
      <c r="A44" s="733" t="s">
        <v>348</v>
      </c>
      <c r="B44" s="206" t="s">
        <v>1546</v>
      </c>
      <c r="C44" s="229">
        <f ca="1">ROUND(IF('数据-取费表'!B22&lt;=1,C40*F22*'数据-取费表'!B20/2,C40*(POWER((1+F22),'数据-取费表'!B20/2)-1)),4)</f>
        <v>2.9999999999999997E-4</v>
      </c>
      <c r="D44" s="229"/>
      <c r="E44" s="229"/>
      <c r="F44" s="230"/>
      <c r="G44" s="3440"/>
    </row>
    <row r="45" spans="1:7" s="205" customFormat="1" ht="13.5" customHeight="1">
      <c r="A45" s="246" t="s">
        <v>1547</v>
      </c>
      <c r="B45" s="235" t="s">
        <v>1513</v>
      </c>
      <c r="C45" s="236">
        <f ca="1">C46</f>
        <v>165247</v>
      </c>
      <c r="D45" s="226">
        <f ca="1">C47</f>
        <v>1E-3</v>
      </c>
      <c r="E45" s="227" t="s">
        <v>1539</v>
      </c>
      <c r="F45" s="237">
        <f ca="1">F27</f>
        <v>0.05</v>
      </c>
      <c r="G45" s="238" t="s">
        <v>1548</v>
      </c>
    </row>
    <row r="46" spans="1:7" s="205" customFormat="1" ht="13.5" customHeight="1">
      <c r="A46" s="733" t="s">
        <v>346</v>
      </c>
      <c r="B46" s="239" t="s">
        <v>1549</v>
      </c>
      <c r="C46" s="240">
        <f ca="1">ROUND((C33+C39)*F27,0)</f>
        <v>165247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3801586</v>
      </c>
      <c r="D49" s="223"/>
      <c r="E49" s="223"/>
      <c r="F49" s="255"/>
      <c r="G49" s="225" t="s">
        <v>1554</v>
      </c>
    </row>
    <row r="50" spans="1:7" s="249" customFormat="1">
      <c r="A50" s="246" t="s">
        <v>1555</v>
      </c>
      <c r="B50" s="201" t="s">
        <v>1556</v>
      </c>
      <c r="C50" s="223"/>
      <c r="D50" s="223"/>
      <c r="E50" s="223"/>
      <c r="F50" s="255">
        <f>IF('数据-取费表'!B24=0,'数据-取费表'!N16,1)</f>
        <v>0.72</v>
      </c>
      <c r="G50" s="238"/>
    </row>
    <row r="51" spans="1:7" ht="16.5" customHeight="1">
      <c r="A51" s="246" t="s">
        <v>1558</v>
      </c>
      <c r="B51" s="201" t="s">
        <v>1593</v>
      </c>
      <c r="C51" s="223">
        <f ca="1">ROUND(C49*F50,0)</f>
        <v>2737142</v>
      </c>
      <c r="D51" s="223"/>
      <c r="E51" s="223"/>
      <c r="F51" s="255"/>
      <c r="G51" s="225" t="s">
        <v>1560</v>
      </c>
    </row>
    <row r="52" spans="1:7" s="199" customFormat="1" ht="16.8" thickBot="1">
      <c r="A52" s="256" t="s">
        <v>1561</v>
      </c>
      <c r="B52" s="257"/>
      <c r="C52" s="258">
        <f ca="1">C31+C51</f>
        <v>9429353</v>
      </c>
      <c r="D52" s="257"/>
      <c r="E52" s="257"/>
      <c r="F52" s="257"/>
      <c r="G52" s="259"/>
    </row>
    <row r="55" spans="1:7" ht="15">
      <c r="B55" s="261" t="s">
        <v>1562</v>
      </c>
      <c r="C55" s="262"/>
    </row>
    <row r="56" spans="1:7">
      <c r="B56" s="264" t="s">
        <v>802</v>
      </c>
      <c r="C56" s="266">
        <f ca="1">1-C57</f>
        <v>0.71</v>
      </c>
    </row>
    <row r="57" spans="1:7">
      <c r="B57" s="264" t="s">
        <v>803</v>
      </c>
      <c r="C57" s="265">
        <f ca="1">ROUND(C51/C52,3)</f>
        <v>0.28999999999999998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4" t="s">
        <v>2597</v>
      </c>
      <c r="B20" s="3499" t="s">
        <v>2618</v>
      </c>
      <c r="C20" s="2839" t="s">
        <v>2429</v>
      </c>
      <c r="D20" s="2840"/>
      <c r="E20" s="2841">
        <v>1</v>
      </c>
      <c r="F20" s="2842" t="s">
        <v>2430</v>
      </c>
      <c r="G20" s="2842"/>
    </row>
    <row r="21" spans="1:13" ht="19.5" customHeight="1">
      <c r="A21" s="3505"/>
      <c r="B21" s="3498"/>
      <c r="C21" s="2843" t="s">
        <v>2431</v>
      </c>
      <c r="D21" s="2844"/>
      <c r="E21" s="2845">
        <v>1</v>
      </c>
      <c r="F21" s="2842" t="s">
        <v>2432</v>
      </c>
      <c r="G21" s="2842"/>
    </row>
    <row r="22" spans="1:13" ht="19.5" customHeight="1">
      <c r="A22" s="3505"/>
      <c r="B22" s="3498"/>
      <c r="C22" s="2843" t="s">
        <v>2433</v>
      </c>
      <c r="D22" s="2844"/>
      <c r="E22" s="2845">
        <v>0.9</v>
      </c>
      <c r="F22" s="2842" t="s">
        <v>2434</v>
      </c>
      <c r="G22" s="2842"/>
    </row>
    <row r="23" spans="1:13" ht="19.5" customHeight="1">
      <c r="A23" s="3505"/>
      <c r="B23" s="3498"/>
      <c r="C23" s="2843" t="s">
        <v>2435</v>
      </c>
      <c r="D23" s="2844"/>
      <c r="E23" s="2845">
        <v>0.9</v>
      </c>
      <c r="F23" s="2842" t="s">
        <v>2436</v>
      </c>
      <c r="G23" s="2842"/>
    </row>
    <row r="24" spans="1:13" ht="19.5" customHeight="1">
      <c r="A24" s="3505"/>
      <c r="B24" s="3498"/>
      <c r="C24" s="2843" t="s">
        <v>2437</v>
      </c>
      <c r="D24" s="2844"/>
      <c r="E24" s="2845">
        <v>0.8</v>
      </c>
      <c r="F24" s="2842" t="s">
        <v>2438</v>
      </c>
      <c r="G24" s="2842"/>
    </row>
    <row r="25" spans="1:13" ht="19.5" customHeight="1" thickBot="1">
      <c r="A25" s="3506"/>
      <c r="B25" s="3500"/>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01" t="s">
        <v>2621</v>
      </c>
      <c r="B27" s="3499" t="s">
        <v>2602</v>
      </c>
      <c r="C27" s="2839" t="s">
        <v>2442</v>
      </c>
      <c r="D27" s="2840"/>
      <c r="E27" s="2841">
        <v>1</v>
      </c>
      <c r="F27" s="2842" t="s">
        <v>2443</v>
      </c>
      <c r="G27" s="2842"/>
    </row>
    <row r="28" spans="1:13" ht="19.5" customHeight="1">
      <c r="A28" s="3502"/>
      <c r="B28" s="3498"/>
      <c r="C28" s="2843" t="s">
        <v>2444</v>
      </c>
      <c r="D28" s="2844"/>
      <c r="E28" s="2845">
        <v>1</v>
      </c>
      <c r="F28" s="2842" t="s">
        <v>2445</v>
      </c>
      <c r="G28" s="2842"/>
    </row>
    <row r="29" spans="1:13" ht="19.5" customHeight="1">
      <c r="A29" s="3502"/>
      <c r="B29" s="3498"/>
      <c r="C29" s="2843" t="s">
        <v>2446</v>
      </c>
      <c r="D29" s="2844"/>
      <c r="E29" s="2845">
        <v>0.8</v>
      </c>
      <c r="F29" s="2842" t="s">
        <v>2447</v>
      </c>
      <c r="G29" s="2842"/>
    </row>
    <row r="30" spans="1:13" ht="19.5" customHeight="1">
      <c r="A30" s="3502"/>
      <c r="B30" s="3498"/>
      <c r="C30" s="2843" t="s">
        <v>2448</v>
      </c>
      <c r="D30" s="2844"/>
      <c r="E30" s="2845">
        <v>0.8</v>
      </c>
      <c r="F30" s="2842" t="s">
        <v>2449</v>
      </c>
      <c r="G30" s="2842"/>
    </row>
    <row r="31" spans="1:13" ht="19.5" customHeight="1">
      <c r="A31" s="3502"/>
      <c r="B31" s="3498"/>
      <c r="C31" s="2843" t="s">
        <v>2450</v>
      </c>
      <c r="D31" s="2844"/>
      <c r="E31" s="2845">
        <v>0.8</v>
      </c>
      <c r="F31" s="2842" t="s">
        <v>2451</v>
      </c>
      <c r="G31" s="2842"/>
    </row>
    <row r="32" spans="1:13" ht="19.5" customHeight="1">
      <c r="A32" s="3502"/>
      <c r="B32" s="3498"/>
      <c r="C32" s="2843" t="s">
        <v>2452</v>
      </c>
      <c r="D32" s="2844"/>
      <c r="E32" s="2845">
        <v>0.7</v>
      </c>
      <c r="F32" s="2842" t="s">
        <v>2453</v>
      </c>
      <c r="G32" s="2842"/>
    </row>
    <row r="33" spans="1:7" ht="19.5" customHeight="1">
      <c r="A33" s="3502"/>
      <c r="B33" s="3498"/>
      <c r="C33" s="2843" t="s">
        <v>2454</v>
      </c>
      <c r="D33" s="2844"/>
      <c r="E33" s="2845">
        <v>0.8</v>
      </c>
      <c r="F33" s="2842" t="s">
        <v>2455</v>
      </c>
      <c r="G33" s="2842"/>
    </row>
    <row r="34" spans="1:7" ht="19.5" customHeight="1">
      <c r="A34" s="3502"/>
      <c r="B34" s="3498"/>
      <c r="C34" s="2843" t="s">
        <v>2456</v>
      </c>
      <c r="D34" s="2844"/>
      <c r="E34" s="2845">
        <v>0.6</v>
      </c>
      <c r="F34" s="2842" t="s">
        <v>2457</v>
      </c>
      <c r="G34" s="2842"/>
    </row>
    <row r="35" spans="1:7" ht="19.5" customHeight="1">
      <c r="A35" s="3502"/>
      <c r="B35" s="3498"/>
      <c r="C35" s="2843" t="s">
        <v>2458</v>
      </c>
      <c r="D35" s="2844"/>
      <c r="E35" s="2845">
        <v>0.2</v>
      </c>
      <c r="F35" s="2842" t="s">
        <v>2459</v>
      </c>
      <c r="G35" s="2842"/>
    </row>
    <row r="36" spans="1:7" ht="19.5" customHeight="1">
      <c r="A36" s="3502"/>
      <c r="B36" s="3498"/>
      <c r="C36" s="2843" t="s">
        <v>2460</v>
      </c>
      <c r="D36" s="2844"/>
      <c r="E36" s="2845">
        <v>0.2</v>
      </c>
      <c r="F36" s="2842" t="s">
        <v>2461</v>
      </c>
      <c r="G36" s="2842"/>
    </row>
    <row r="37" spans="1:7" ht="19.5" customHeight="1">
      <c r="A37" s="3502"/>
      <c r="B37" s="3496" t="s">
        <v>2622</v>
      </c>
      <c r="C37" s="2843" t="s">
        <v>2462</v>
      </c>
      <c r="D37" s="2844"/>
      <c r="E37" s="2845">
        <v>0.6</v>
      </c>
      <c r="F37" s="2842" t="s">
        <v>2463</v>
      </c>
      <c r="G37" s="2842"/>
    </row>
    <row r="38" spans="1:7" ht="19.5" customHeight="1">
      <c r="A38" s="3502"/>
      <c r="B38" s="3498"/>
      <c r="C38" s="2843" t="s">
        <v>2464</v>
      </c>
      <c r="D38" s="2844"/>
      <c r="E38" s="2845">
        <v>0.6</v>
      </c>
      <c r="F38" s="2842" t="s">
        <v>2465</v>
      </c>
      <c r="G38" s="2842"/>
    </row>
    <row r="39" spans="1:7" ht="19.5" customHeight="1" thickBot="1">
      <c r="A39" s="3503"/>
      <c r="B39" s="3500"/>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04" t="s">
        <v>2600</v>
      </c>
      <c r="B41" s="3499" t="s">
        <v>2624</v>
      </c>
      <c r="C41" s="2839" t="s">
        <v>2469</v>
      </c>
      <c r="D41" s="2840"/>
      <c r="E41" s="2841">
        <v>1</v>
      </c>
      <c r="F41" s="2842" t="s">
        <v>2470</v>
      </c>
      <c r="G41" s="2842"/>
    </row>
    <row r="42" spans="1:7" ht="19.5" customHeight="1">
      <c r="A42" s="3505"/>
      <c r="B42" s="3498"/>
      <c r="C42" s="2843" t="s">
        <v>2471</v>
      </c>
      <c r="D42" s="2844"/>
      <c r="E42" s="2845">
        <v>1</v>
      </c>
      <c r="F42" s="2842" t="s">
        <v>2472</v>
      </c>
      <c r="G42" s="2842"/>
    </row>
    <row r="43" spans="1:7" ht="19.5" customHeight="1">
      <c r="A43" s="3505"/>
      <c r="B43" s="3497"/>
      <c r="C43" s="2843" t="s">
        <v>2473</v>
      </c>
      <c r="D43" s="2844"/>
      <c r="E43" s="2845">
        <v>1.5</v>
      </c>
      <c r="F43" s="2842" t="s">
        <v>2474</v>
      </c>
      <c r="G43" s="2842"/>
    </row>
    <row r="44" spans="1:7" ht="19.5" customHeight="1">
      <c r="A44" s="3505"/>
      <c r="B44" s="2854" t="s">
        <v>2625</v>
      </c>
      <c r="C44" s="2843" t="s">
        <v>2626</v>
      </c>
      <c r="D44" s="2844"/>
      <c r="E44" s="2845">
        <v>2</v>
      </c>
      <c r="F44" s="2842" t="s">
        <v>2475</v>
      </c>
      <c r="G44" s="2842"/>
    </row>
    <row r="45" spans="1:7" ht="19.5" customHeight="1">
      <c r="A45" s="3505"/>
      <c r="B45" s="3496" t="s">
        <v>2627</v>
      </c>
      <c r="C45" s="2843" t="s">
        <v>2476</v>
      </c>
      <c r="D45" s="2844"/>
      <c r="E45" s="2845">
        <v>1</v>
      </c>
      <c r="F45" s="2842" t="s">
        <v>2477</v>
      </c>
      <c r="G45" s="2842"/>
    </row>
    <row r="46" spans="1:7" ht="19.5" customHeight="1">
      <c r="A46" s="3505"/>
      <c r="B46" s="3498"/>
      <c r="C46" s="2843" t="s">
        <v>2478</v>
      </c>
      <c r="D46" s="2844"/>
      <c r="E46" s="2845">
        <v>1</v>
      </c>
      <c r="F46" s="2842" t="s">
        <v>2479</v>
      </c>
      <c r="G46" s="2842"/>
    </row>
    <row r="47" spans="1:7" ht="19.5" customHeight="1">
      <c r="A47" s="3505"/>
      <c r="B47" s="3498"/>
      <c r="C47" s="2843" t="s">
        <v>2480</v>
      </c>
      <c r="D47" s="2844"/>
      <c r="E47" s="2845">
        <v>1</v>
      </c>
      <c r="F47" s="2842" t="s">
        <v>2481</v>
      </c>
      <c r="G47" s="2842"/>
    </row>
    <row r="48" spans="1:7" ht="19.5" customHeight="1">
      <c r="A48" s="3505"/>
      <c r="B48" s="3498"/>
      <c r="C48" s="2843" t="s">
        <v>2482</v>
      </c>
      <c r="D48" s="2844"/>
      <c r="E48" s="2845">
        <v>1</v>
      </c>
      <c r="F48" s="2842" t="s">
        <v>2483</v>
      </c>
      <c r="G48" s="2842"/>
    </row>
    <row r="49" spans="1:7" ht="19.5" customHeight="1">
      <c r="A49" s="3505"/>
      <c r="B49" s="3498"/>
      <c r="C49" s="2843" t="s">
        <v>2484</v>
      </c>
      <c r="D49" s="2844"/>
      <c r="E49" s="2845">
        <v>1</v>
      </c>
      <c r="F49" s="2842" t="s">
        <v>2485</v>
      </c>
      <c r="G49" s="2842"/>
    </row>
    <row r="50" spans="1:7" ht="19.5" customHeight="1">
      <c r="A50" s="3505"/>
      <c r="B50" s="3498"/>
      <c r="C50" s="2843" t="s">
        <v>2486</v>
      </c>
      <c r="D50" s="2844"/>
      <c r="E50" s="2845">
        <v>1</v>
      </c>
      <c r="F50" s="2842" t="s">
        <v>2487</v>
      </c>
      <c r="G50" s="2842"/>
    </row>
    <row r="51" spans="1:7" ht="19.5" customHeight="1" thickBot="1">
      <c r="A51" s="3506"/>
      <c r="B51" s="3500"/>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4.4">
      <c r="A72" s="2854"/>
      <c r="B72" s="2854"/>
      <c r="C72" s="2854" t="s">
        <v>2640</v>
      </c>
      <c r="D72" s="2854"/>
      <c r="E72" s="2854" t="s">
        <v>2611</v>
      </c>
      <c r="F72" s="2854" t="s">
        <v>2611</v>
      </c>
    </row>
    <row r="73" spans="1:7" ht="14.4">
      <c r="A73" s="2854">
        <v>1</v>
      </c>
      <c r="B73" s="3496" t="s">
        <v>2641</v>
      </c>
      <c r="C73" s="2828" t="s">
        <v>2642</v>
      </c>
      <c r="D73" s="2828" t="s">
        <v>2643</v>
      </c>
      <c r="E73" s="2854">
        <v>0.2</v>
      </c>
      <c r="F73" s="2854">
        <v>25</v>
      </c>
    </row>
    <row r="74" spans="1:7" ht="24">
      <c r="A74" s="2854">
        <v>2</v>
      </c>
      <c r="B74" s="3498"/>
      <c r="C74" s="2828" t="s">
        <v>2644</v>
      </c>
      <c r="D74" s="2828" t="s">
        <v>2645</v>
      </c>
      <c r="E74" s="2854">
        <v>0.2</v>
      </c>
      <c r="F74" s="2854">
        <v>25</v>
      </c>
    </row>
    <row r="75" spans="1:7" ht="24">
      <c r="A75" s="2854">
        <v>3</v>
      </c>
      <c r="B75" s="3498"/>
      <c r="C75" s="2828" t="s">
        <v>2646</v>
      </c>
      <c r="D75" s="2828" t="s">
        <v>2647</v>
      </c>
      <c r="E75" s="2854">
        <v>0.2</v>
      </c>
      <c r="F75" s="2854">
        <v>25</v>
      </c>
    </row>
    <row r="76" spans="1:7" ht="14.4">
      <c r="A76" s="2854">
        <v>4</v>
      </c>
      <c r="B76" s="3498"/>
      <c r="C76" s="2828" t="s">
        <v>2648</v>
      </c>
      <c r="D76" s="2828" t="s">
        <v>2649</v>
      </c>
      <c r="E76" s="2854">
        <v>0.15</v>
      </c>
      <c r="F76" s="2854">
        <v>20</v>
      </c>
    </row>
    <row r="77" spans="1:7" ht="24">
      <c r="A77" s="2854">
        <v>5</v>
      </c>
      <c r="B77" s="3498"/>
      <c r="C77" s="2828" t="s">
        <v>2650</v>
      </c>
      <c r="D77" s="2828" t="s">
        <v>2651</v>
      </c>
      <c r="E77" s="2854">
        <v>0.15</v>
      </c>
      <c r="F77" s="2854">
        <v>20</v>
      </c>
    </row>
    <row r="78" spans="1:7" ht="24">
      <c r="A78" s="2854">
        <v>6</v>
      </c>
      <c r="B78" s="3498"/>
      <c r="C78" s="2828" t="s">
        <v>2652</v>
      </c>
      <c r="D78" s="2828" t="s">
        <v>2653</v>
      </c>
      <c r="E78" s="2854">
        <v>0.15</v>
      </c>
      <c r="F78" s="2854">
        <v>20</v>
      </c>
    </row>
    <row r="79" spans="1:7" ht="24">
      <c r="A79" s="2854">
        <v>7</v>
      </c>
      <c r="B79" s="3498"/>
      <c r="C79" s="2828" t="s">
        <v>2654</v>
      </c>
      <c r="D79" s="2828" t="s">
        <v>2655</v>
      </c>
      <c r="E79" s="2854">
        <v>0.15</v>
      </c>
      <c r="F79" s="2854">
        <v>20</v>
      </c>
    </row>
    <row r="80" spans="1:7" ht="24">
      <c r="A80" s="2854">
        <v>8</v>
      </c>
      <c r="B80" s="3498"/>
      <c r="C80" s="2828" t="s">
        <v>2656</v>
      </c>
      <c r="D80" s="2828" t="s">
        <v>2657</v>
      </c>
      <c r="E80" s="2854">
        <v>0.1</v>
      </c>
      <c r="F80" s="2854">
        <v>15</v>
      </c>
    </row>
    <row r="81" spans="1:6" ht="24">
      <c r="A81" s="2854">
        <v>9</v>
      </c>
      <c r="B81" s="3498"/>
      <c r="C81" s="2828" t="s">
        <v>2658</v>
      </c>
      <c r="D81" s="2828" t="s">
        <v>2659</v>
      </c>
      <c r="E81" s="2854">
        <v>0.1</v>
      </c>
      <c r="F81" s="2854">
        <v>15</v>
      </c>
    </row>
    <row r="82" spans="1:6" ht="24">
      <c r="A82" s="2854">
        <v>10</v>
      </c>
      <c r="B82" s="3498"/>
      <c r="C82" s="2828" t="s">
        <v>2660</v>
      </c>
      <c r="D82" s="2828" t="s">
        <v>2661</v>
      </c>
      <c r="E82" s="2854">
        <v>0.1</v>
      </c>
      <c r="F82" s="2854">
        <v>15</v>
      </c>
    </row>
    <row r="83" spans="1:6" ht="24">
      <c r="A83" s="2854">
        <v>11</v>
      </c>
      <c r="B83" s="3498"/>
      <c r="C83" s="2828" t="s">
        <v>2662</v>
      </c>
      <c r="D83" s="2828" t="s">
        <v>2663</v>
      </c>
      <c r="E83" s="2854">
        <v>0.1</v>
      </c>
      <c r="F83" s="2854">
        <v>15</v>
      </c>
    </row>
    <row r="84" spans="1:6" ht="24">
      <c r="A84" s="2854">
        <v>12</v>
      </c>
      <c r="B84" s="3498"/>
      <c r="C84" s="2828" t="s">
        <v>2664</v>
      </c>
      <c r="D84" s="2828" t="s">
        <v>2665</v>
      </c>
      <c r="E84" s="2854">
        <v>0.1</v>
      </c>
      <c r="F84" s="2854">
        <v>15</v>
      </c>
    </row>
    <row r="85" spans="1:6" ht="24">
      <c r="A85" s="2854">
        <v>13</v>
      </c>
      <c r="B85" s="3498"/>
      <c r="C85" s="2828" t="s">
        <v>2666</v>
      </c>
      <c r="D85" s="2828" t="s">
        <v>2667</v>
      </c>
      <c r="E85" s="2854">
        <v>0.1</v>
      </c>
      <c r="F85" s="2854">
        <v>15</v>
      </c>
    </row>
    <row r="86" spans="1:6" ht="24">
      <c r="A86" s="2854">
        <v>14</v>
      </c>
      <c r="B86" s="3498"/>
      <c r="C86" s="2828" t="s">
        <v>2668</v>
      </c>
      <c r="D86" s="2828" t="s">
        <v>2669</v>
      </c>
      <c r="E86" s="2854">
        <v>0.1</v>
      </c>
      <c r="F86" s="2854">
        <v>15</v>
      </c>
    </row>
    <row r="87" spans="1:6" ht="24">
      <c r="A87" s="2854">
        <v>15</v>
      </c>
      <c r="B87" s="3498"/>
      <c r="C87" s="2828" t="s">
        <v>2670</v>
      </c>
      <c r="D87" s="2828" t="s">
        <v>2671</v>
      </c>
      <c r="E87" s="2854">
        <v>0.1</v>
      </c>
      <c r="F87" s="2854">
        <v>15</v>
      </c>
    </row>
    <row r="88" spans="1:6" ht="24">
      <c r="A88" s="2854">
        <v>16</v>
      </c>
      <c r="B88" s="3498"/>
      <c r="C88" s="2828" t="s">
        <v>2672</v>
      </c>
      <c r="D88" s="2828" t="s">
        <v>2673</v>
      </c>
      <c r="E88" s="2854">
        <v>0.1</v>
      </c>
      <c r="F88" s="2854">
        <v>15</v>
      </c>
    </row>
    <row r="89" spans="1:6" ht="24">
      <c r="A89" s="2854">
        <v>17</v>
      </c>
      <c r="B89" s="3497"/>
      <c r="C89" s="2828" t="s">
        <v>2674</v>
      </c>
      <c r="D89" s="2828" t="s">
        <v>2675</v>
      </c>
      <c r="E89" s="2854">
        <v>0.1</v>
      </c>
      <c r="F89" s="2854">
        <v>15</v>
      </c>
    </row>
    <row r="90" spans="1:6" ht="14.4">
      <c r="A90" s="2854">
        <v>18</v>
      </c>
      <c r="B90" s="3496" t="s">
        <v>2676</v>
      </c>
      <c r="C90" s="2828" t="s">
        <v>2677</v>
      </c>
      <c r="D90" s="2828" t="s">
        <v>2678</v>
      </c>
      <c r="E90" s="2854">
        <v>0.2</v>
      </c>
      <c r="F90" s="2854">
        <v>25</v>
      </c>
    </row>
    <row r="91" spans="1:6" ht="24">
      <c r="A91" s="2854">
        <v>19</v>
      </c>
      <c r="B91" s="3498"/>
      <c r="C91" s="2828" t="s">
        <v>2679</v>
      </c>
      <c r="D91" s="2828" t="s">
        <v>2680</v>
      </c>
      <c r="E91" s="2854">
        <v>0.2</v>
      </c>
      <c r="F91" s="2854">
        <v>25</v>
      </c>
    </row>
    <row r="92" spans="1:6" ht="14.4">
      <c r="A92" s="2854">
        <v>20</v>
      </c>
      <c r="B92" s="3498"/>
      <c r="C92" s="2828" t="s">
        <v>2681</v>
      </c>
      <c r="D92" s="2828" t="s">
        <v>2682</v>
      </c>
      <c r="E92" s="2854">
        <v>0.15</v>
      </c>
      <c r="F92" s="2854">
        <v>20</v>
      </c>
    </row>
    <row r="93" spans="1:6" ht="24">
      <c r="A93" s="2854">
        <v>21</v>
      </c>
      <c r="B93" s="3498"/>
      <c r="C93" s="2828" t="s">
        <v>2683</v>
      </c>
      <c r="D93" s="2828" t="s">
        <v>2684</v>
      </c>
      <c r="E93" s="2854">
        <v>0.15</v>
      </c>
      <c r="F93" s="2854">
        <v>20</v>
      </c>
    </row>
    <row r="94" spans="1:6" ht="24">
      <c r="A94" s="2854">
        <v>22</v>
      </c>
      <c r="B94" s="3498"/>
      <c r="C94" s="2828" t="s">
        <v>2685</v>
      </c>
      <c r="D94" s="2828" t="s">
        <v>2686</v>
      </c>
      <c r="E94" s="2854">
        <v>0.15</v>
      </c>
      <c r="F94" s="2854">
        <v>20</v>
      </c>
    </row>
    <row r="95" spans="1:6" ht="36">
      <c r="A95" s="2854">
        <v>23</v>
      </c>
      <c r="B95" s="3498"/>
      <c r="C95" s="2828" t="s">
        <v>2687</v>
      </c>
      <c r="D95" s="2828" t="s">
        <v>2688</v>
      </c>
      <c r="E95" s="2854">
        <v>0.15</v>
      </c>
      <c r="F95" s="2854">
        <v>20</v>
      </c>
    </row>
    <row r="96" spans="1:6" ht="24">
      <c r="A96" s="2854">
        <v>24</v>
      </c>
      <c r="B96" s="3498"/>
      <c r="C96" s="2828" t="s">
        <v>2689</v>
      </c>
      <c r="D96" s="2828" t="s">
        <v>2690</v>
      </c>
      <c r="E96" s="2854">
        <v>0.1</v>
      </c>
      <c r="F96" s="2854">
        <v>15</v>
      </c>
    </row>
    <row r="97" spans="1:6" ht="24">
      <c r="A97" s="2854">
        <v>25</v>
      </c>
      <c r="B97" s="3498"/>
      <c r="C97" s="2828" t="s">
        <v>2691</v>
      </c>
      <c r="D97" s="2828" t="s">
        <v>2692</v>
      </c>
      <c r="E97" s="2854">
        <v>0.1</v>
      </c>
      <c r="F97" s="2854">
        <v>15</v>
      </c>
    </row>
    <row r="98" spans="1:6" ht="24">
      <c r="A98" s="2854">
        <v>26</v>
      </c>
      <c r="B98" s="3498"/>
      <c r="C98" s="2828" t="s">
        <v>2693</v>
      </c>
      <c r="D98" s="2828" t="s">
        <v>2694</v>
      </c>
      <c r="E98" s="2854">
        <v>0.1</v>
      </c>
      <c r="F98" s="2854">
        <v>15</v>
      </c>
    </row>
    <row r="99" spans="1:6" ht="24">
      <c r="A99" s="2854">
        <v>27</v>
      </c>
      <c r="B99" s="3498"/>
      <c r="C99" s="2828" t="s">
        <v>2695</v>
      </c>
      <c r="D99" s="2828" t="s">
        <v>2696</v>
      </c>
      <c r="E99" s="2854">
        <v>0.1</v>
      </c>
      <c r="F99" s="2854">
        <v>15</v>
      </c>
    </row>
    <row r="100" spans="1:6" ht="24">
      <c r="A100" s="2854">
        <v>28</v>
      </c>
      <c r="B100" s="3498"/>
      <c r="C100" s="2828" t="s">
        <v>2697</v>
      </c>
      <c r="D100" s="2828" t="s">
        <v>2698</v>
      </c>
      <c r="E100" s="2854">
        <v>0.1</v>
      </c>
      <c r="F100" s="2854">
        <v>15</v>
      </c>
    </row>
    <row r="101" spans="1:6" ht="24">
      <c r="A101" s="2854">
        <v>29</v>
      </c>
      <c r="B101" s="3498"/>
      <c r="C101" s="2828" t="s">
        <v>2699</v>
      </c>
      <c r="D101" s="2828" t="s">
        <v>2700</v>
      </c>
      <c r="E101" s="2854">
        <v>0.1</v>
      </c>
      <c r="F101" s="2854">
        <v>15</v>
      </c>
    </row>
    <row r="102" spans="1:6" ht="24">
      <c r="A102" s="2854">
        <v>30</v>
      </c>
      <c r="B102" s="3498"/>
      <c r="C102" s="2828" t="s">
        <v>2701</v>
      </c>
      <c r="D102" s="2828" t="s">
        <v>2702</v>
      </c>
      <c r="E102" s="2854">
        <v>0.1</v>
      </c>
      <c r="F102" s="2854">
        <v>15</v>
      </c>
    </row>
    <row r="103" spans="1:6" ht="24">
      <c r="A103" s="2854">
        <v>31</v>
      </c>
      <c r="B103" s="3498"/>
      <c r="C103" s="2828" t="s">
        <v>2703</v>
      </c>
      <c r="D103" s="2828" t="s">
        <v>2704</v>
      </c>
      <c r="E103" s="2854">
        <v>0.1</v>
      </c>
      <c r="F103" s="2854">
        <v>15</v>
      </c>
    </row>
    <row r="104" spans="1:6" ht="24">
      <c r="A104" s="2854">
        <v>32</v>
      </c>
      <c r="B104" s="3498"/>
      <c r="C104" s="2828" t="s">
        <v>2705</v>
      </c>
      <c r="D104" s="2828" t="s">
        <v>2706</v>
      </c>
      <c r="E104" s="2854">
        <v>0.1</v>
      </c>
      <c r="F104" s="2854">
        <v>15</v>
      </c>
    </row>
    <row r="105" spans="1:6" ht="24">
      <c r="A105" s="2854">
        <v>33</v>
      </c>
      <c r="B105" s="3498"/>
      <c r="C105" s="2828" t="s">
        <v>2707</v>
      </c>
      <c r="D105" s="2828" t="s">
        <v>2708</v>
      </c>
      <c r="E105" s="2854">
        <v>0.1</v>
      </c>
      <c r="F105" s="2854">
        <v>15</v>
      </c>
    </row>
    <row r="106" spans="1:6" ht="24">
      <c r="A106" s="2854">
        <v>34</v>
      </c>
      <c r="B106" s="3497"/>
      <c r="C106" s="2828" t="s">
        <v>2709</v>
      </c>
      <c r="D106" s="2828" t="s">
        <v>2710</v>
      </c>
      <c r="E106" s="2854">
        <v>0.1</v>
      </c>
      <c r="F106" s="2854">
        <v>15</v>
      </c>
    </row>
    <row r="107" spans="1:6" ht="36">
      <c r="A107" s="2854">
        <v>35</v>
      </c>
      <c r="B107" s="3496" t="s">
        <v>2711</v>
      </c>
      <c r="C107" s="2854" t="s">
        <v>2712</v>
      </c>
      <c r="D107" s="2828" t="s">
        <v>2713</v>
      </c>
      <c r="E107" s="2854">
        <v>0.15</v>
      </c>
      <c r="F107" s="2854">
        <v>20</v>
      </c>
    </row>
    <row r="108" spans="1:6" ht="24">
      <c r="A108" s="2854">
        <v>36</v>
      </c>
      <c r="B108" s="3498"/>
      <c r="C108" s="2854" t="s">
        <v>2714</v>
      </c>
      <c r="D108" s="2828" t="s">
        <v>2715</v>
      </c>
      <c r="E108" s="2854">
        <v>0.15</v>
      </c>
      <c r="F108" s="2854">
        <v>20</v>
      </c>
    </row>
    <row r="109" spans="1:6" ht="24">
      <c r="A109" s="2854">
        <v>37</v>
      </c>
      <c r="B109" s="3498"/>
      <c r="C109" s="2854" t="s">
        <v>2716</v>
      </c>
      <c r="D109" s="2828" t="s">
        <v>2717</v>
      </c>
      <c r="E109" s="2854">
        <v>0.15</v>
      </c>
      <c r="F109" s="2854">
        <v>20</v>
      </c>
    </row>
    <row r="110" spans="1:6" ht="24">
      <c r="A110" s="2854">
        <v>38</v>
      </c>
      <c r="B110" s="3498"/>
      <c r="C110" s="2854" t="s">
        <v>2718</v>
      </c>
      <c r="D110" s="2828" t="s">
        <v>2719</v>
      </c>
      <c r="E110" s="2854">
        <v>0.1</v>
      </c>
      <c r="F110" s="2854">
        <v>15</v>
      </c>
    </row>
    <row r="111" spans="1:6" ht="24">
      <c r="A111" s="2854">
        <v>39</v>
      </c>
      <c r="B111" s="3498"/>
      <c r="C111" s="2854" t="s">
        <v>2720</v>
      </c>
      <c r="D111" s="2828" t="s">
        <v>2721</v>
      </c>
      <c r="E111" s="2854">
        <v>0.1</v>
      </c>
      <c r="F111" s="2854">
        <v>15</v>
      </c>
    </row>
    <row r="112" spans="1:6" ht="24">
      <c r="A112" s="2854">
        <v>40</v>
      </c>
      <c r="B112" s="3497"/>
      <c r="C112" s="2854" t="s">
        <v>2722</v>
      </c>
      <c r="D112" s="2828" t="s">
        <v>2723</v>
      </c>
      <c r="E112" s="2854">
        <v>0.1</v>
      </c>
      <c r="F112" s="2854">
        <v>15</v>
      </c>
    </row>
    <row r="113" spans="1:6" ht="24">
      <c r="A113" s="2854">
        <v>41</v>
      </c>
      <c r="B113" s="3495" t="s">
        <v>2724</v>
      </c>
      <c r="C113" s="2854" t="s">
        <v>2725</v>
      </c>
      <c r="D113" s="2828" t="s">
        <v>2726</v>
      </c>
      <c r="E113" s="2854">
        <v>0.1</v>
      </c>
      <c r="F113" s="2854">
        <v>15</v>
      </c>
    </row>
    <row r="114" spans="1:6" ht="24">
      <c r="A114" s="2854">
        <v>42</v>
      </c>
      <c r="B114" s="3495"/>
      <c r="C114" s="2854" t="s">
        <v>2727</v>
      </c>
      <c r="D114" s="2828" t="s">
        <v>2728</v>
      </c>
      <c r="E114" s="2854">
        <v>0.1</v>
      </c>
      <c r="F114" s="2854">
        <v>15</v>
      </c>
    </row>
    <row r="115" spans="1:6" ht="24">
      <c r="A115" s="2854">
        <v>43</v>
      </c>
      <c r="B115" s="3495"/>
      <c r="C115" s="2854" t="s">
        <v>2729</v>
      </c>
      <c r="D115" s="2828" t="s">
        <v>2730</v>
      </c>
      <c r="E115" s="2854">
        <v>0.1</v>
      </c>
      <c r="F115" s="2854">
        <v>15</v>
      </c>
    </row>
    <row r="116" spans="1:6" ht="24">
      <c r="A116" s="2854">
        <v>44</v>
      </c>
      <c r="B116" s="3496" t="s">
        <v>2731</v>
      </c>
      <c r="C116" s="2854" t="s">
        <v>2732</v>
      </c>
      <c r="D116" s="2828" t="s">
        <v>2733</v>
      </c>
      <c r="E116" s="2854">
        <v>0.1</v>
      </c>
      <c r="F116" s="2854">
        <v>15</v>
      </c>
    </row>
    <row r="117" spans="1:6" ht="24">
      <c r="A117" s="2854">
        <v>45</v>
      </c>
      <c r="B117" s="3497"/>
      <c r="C117" s="2828" t="s">
        <v>2734</v>
      </c>
      <c r="D117" s="2828" t="s">
        <v>2735</v>
      </c>
      <c r="E117" s="2854">
        <v>0.1</v>
      </c>
      <c r="F117" s="2854">
        <v>15</v>
      </c>
    </row>
    <row r="118" spans="1:6" ht="24">
      <c r="A118" s="2854">
        <v>46</v>
      </c>
      <c r="B118" s="3496" t="s">
        <v>2736</v>
      </c>
      <c r="C118" s="2854" t="s">
        <v>2737</v>
      </c>
      <c r="D118" s="2828" t="s">
        <v>2738</v>
      </c>
      <c r="E118" s="2854">
        <v>0.1</v>
      </c>
      <c r="F118" s="2854">
        <v>15</v>
      </c>
    </row>
    <row r="119" spans="1:6" ht="24">
      <c r="A119" s="2854">
        <v>47</v>
      </c>
      <c r="B119" s="3497"/>
      <c r="C119" s="2854" t="s">
        <v>2739</v>
      </c>
      <c r="D119" s="2828" t="s">
        <v>2740</v>
      </c>
      <c r="E119" s="2854">
        <v>0.1</v>
      </c>
      <c r="F119" s="2854">
        <v>15</v>
      </c>
    </row>
    <row r="120" spans="1:6" ht="24">
      <c r="A120" s="2854">
        <v>48</v>
      </c>
      <c r="B120" s="3496" t="s">
        <v>2741</v>
      </c>
      <c r="C120" s="2854" t="s">
        <v>2742</v>
      </c>
      <c r="D120" s="2828" t="s">
        <v>2743</v>
      </c>
      <c r="E120" s="2854">
        <v>0.1</v>
      </c>
      <c r="F120" s="2854">
        <v>15</v>
      </c>
    </row>
    <row r="121" spans="1:6" ht="24">
      <c r="A121" s="2854">
        <v>49</v>
      </c>
      <c r="B121" s="3497"/>
      <c r="C121" s="2854" t="s">
        <v>2744</v>
      </c>
      <c r="D121" s="2828" t="s">
        <v>2745</v>
      </c>
      <c r="E121" s="2854">
        <v>0.1</v>
      </c>
      <c r="F121" s="2854">
        <v>15</v>
      </c>
    </row>
    <row r="122" spans="1:6" ht="24">
      <c r="A122" s="2854">
        <v>50</v>
      </c>
      <c r="B122" s="3495" t="s">
        <v>2746</v>
      </c>
      <c r="C122" s="2854" t="s">
        <v>2747</v>
      </c>
      <c r="D122" s="2828" t="s">
        <v>2748</v>
      </c>
      <c r="E122" s="2854">
        <v>0.1</v>
      </c>
      <c r="F122" s="2854">
        <v>15</v>
      </c>
    </row>
    <row r="123" spans="1:6" ht="24">
      <c r="A123" s="2854">
        <v>51</v>
      </c>
      <c r="B123" s="3495"/>
      <c r="C123" s="2854" t="s">
        <v>2749</v>
      </c>
      <c r="D123" s="2828" t="s">
        <v>2750</v>
      </c>
      <c r="E123" s="2854">
        <v>0.1</v>
      </c>
      <c r="F123" s="2854">
        <v>15</v>
      </c>
    </row>
    <row r="124" spans="1:6" ht="24">
      <c r="A124" s="2854">
        <v>52</v>
      </c>
      <c r="B124" s="3495" t="s">
        <v>2751</v>
      </c>
      <c r="C124" s="2854" t="s">
        <v>2752</v>
      </c>
      <c r="D124" s="2828" t="s">
        <v>2753</v>
      </c>
      <c r="E124" s="2854">
        <v>0.1</v>
      </c>
      <c r="F124" s="2854">
        <v>15</v>
      </c>
    </row>
    <row r="125" spans="1:6" ht="24">
      <c r="A125" s="2854">
        <v>53</v>
      </c>
      <c r="B125" s="3495"/>
      <c r="C125" s="2854" t="s">
        <v>2754</v>
      </c>
      <c r="D125" s="2828" t="s">
        <v>2755</v>
      </c>
      <c r="E125" s="2854">
        <v>0.1</v>
      </c>
      <c r="F125" s="2854">
        <v>15</v>
      </c>
    </row>
    <row r="126" spans="1:6" ht="24">
      <c r="A126" s="2854">
        <v>54</v>
      </c>
      <c r="B126" s="2854" t="s">
        <v>2756</v>
      </c>
      <c r="C126" s="2854" t="s">
        <v>2757</v>
      </c>
      <c r="D126" s="2828" t="s">
        <v>2758</v>
      </c>
      <c r="E126" s="2854">
        <v>0.1</v>
      </c>
      <c r="F126" s="2854">
        <v>15</v>
      </c>
    </row>
    <row r="127" spans="1:6" ht="24">
      <c r="A127" s="2854">
        <v>55</v>
      </c>
      <c r="B127" s="3495" t="s">
        <v>2759</v>
      </c>
      <c r="C127" s="2854" t="s">
        <v>2760</v>
      </c>
      <c r="D127" s="2828" t="s">
        <v>2761</v>
      </c>
      <c r="E127" s="2854">
        <v>0.1</v>
      </c>
      <c r="F127" s="2854">
        <v>15</v>
      </c>
    </row>
    <row r="128" spans="1:6" ht="24">
      <c r="A128" s="2854">
        <v>56</v>
      </c>
      <c r="B128" s="3495"/>
      <c r="C128" s="2854" t="s">
        <v>2762</v>
      </c>
      <c r="D128" s="2828" t="s">
        <v>2763</v>
      </c>
      <c r="E128" s="2854">
        <v>0.1</v>
      </c>
      <c r="F128" s="2854">
        <v>15</v>
      </c>
    </row>
    <row r="129" spans="1:6" ht="24">
      <c r="A129" s="2854">
        <v>57</v>
      </c>
      <c r="B129" s="3495"/>
      <c r="C129" s="2854" t="s">
        <v>2764</v>
      </c>
      <c r="D129" s="2828" t="s">
        <v>2765</v>
      </c>
      <c r="E129" s="2854">
        <v>0.1</v>
      </c>
      <c r="F129" s="2854">
        <v>15</v>
      </c>
    </row>
    <row r="130" spans="1:6" ht="24">
      <c r="A130" s="2854">
        <v>58</v>
      </c>
      <c r="B130" s="3495" t="s">
        <v>2766</v>
      </c>
      <c r="C130" s="2854" t="s">
        <v>2767</v>
      </c>
      <c r="D130" s="2828" t="s">
        <v>2768</v>
      </c>
      <c r="E130" s="2854">
        <v>0.1</v>
      </c>
      <c r="F130" s="2854">
        <v>15</v>
      </c>
    </row>
    <row r="131" spans="1:6" ht="24">
      <c r="A131" s="2854">
        <v>59</v>
      </c>
      <c r="B131" s="3495"/>
      <c r="C131" s="2854" t="s">
        <v>2769</v>
      </c>
      <c r="D131" s="2828" t="s">
        <v>2770</v>
      </c>
      <c r="E131" s="2854">
        <v>0.1</v>
      </c>
      <c r="F131" s="2854">
        <v>15</v>
      </c>
    </row>
    <row r="132" spans="1:6" ht="24">
      <c r="A132" s="2854">
        <v>60</v>
      </c>
      <c r="B132" s="3496" t="s">
        <v>2771</v>
      </c>
      <c r="C132" s="2854" t="s">
        <v>2772</v>
      </c>
      <c r="D132" s="2828" t="s">
        <v>2773</v>
      </c>
      <c r="E132" s="2854">
        <v>0.1</v>
      </c>
      <c r="F132" s="2854">
        <v>15</v>
      </c>
    </row>
    <row r="133" spans="1:6" ht="24">
      <c r="A133" s="2854">
        <v>61</v>
      </c>
      <c r="B133" s="3497"/>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24">
      <c r="A135" s="2854">
        <v>63</v>
      </c>
      <c r="B135" s="3495" t="s">
        <v>2779</v>
      </c>
      <c r="C135" s="2854" t="s">
        <v>2780</v>
      </c>
      <c r="D135" s="2828" t="s">
        <v>2781</v>
      </c>
      <c r="E135" s="2854">
        <v>0.1</v>
      </c>
      <c r="F135" s="2854">
        <v>15</v>
      </c>
    </row>
    <row r="136" spans="1:6" ht="24">
      <c r="A136" s="2854">
        <v>64</v>
      </c>
      <c r="B136" s="3495"/>
      <c r="C136" s="2854" t="s">
        <v>2782</v>
      </c>
      <c r="D136" s="2828" t="s">
        <v>2783</v>
      </c>
      <c r="E136" s="2854">
        <v>0.1</v>
      </c>
      <c r="F136" s="2854">
        <v>15</v>
      </c>
    </row>
    <row r="137" spans="1:6" ht="24">
      <c r="A137" s="2854">
        <v>65</v>
      </c>
      <c r="B137" s="2854" t="s">
        <v>2784</v>
      </c>
      <c r="C137" s="2854" t="s">
        <v>2785</v>
      </c>
      <c r="D137" s="2828" t="s">
        <v>2786</v>
      </c>
      <c r="E137" s="2854">
        <v>0.1</v>
      </c>
      <c r="F137" s="2854">
        <v>15</v>
      </c>
    </row>
    <row r="138" spans="1:6" ht="14.4">
      <c r="A138" s="2854"/>
      <c r="B138" s="2854"/>
      <c r="C138" s="2854"/>
      <c r="D138" s="2854"/>
      <c r="E138" s="2854" t="s">
        <v>2787</v>
      </c>
      <c r="F138" s="285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2788</v>
      </c>
      <c r="B1" s="2862"/>
      <c r="C1" s="2862"/>
      <c r="D1" s="2862"/>
      <c r="E1" s="2862"/>
      <c r="F1" s="2862"/>
      <c r="G1" s="2862"/>
      <c r="H1" s="2862"/>
      <c r="I1" s="2862"/>
      <c r="J1" s="2862"/>
      <c r="K1" s="2862"/>
      <c r="L1" s="2862"/>
      <c r="M1" s="2862"/>
      <c r="N1" s="706"/>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1.2302</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1.1198999999999999</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25066</v>
      </c>
      <c r="C2" s="2" t="s">
        <v>106</v>
      </c>
      <c r="D2" s="190"/>
      <c r="E2" s="190"/>
      <c r="F2" s="190"/>
      <c r="G2" s="190"/>
    </row>
    <row r="3" spans="1:7" s="191" customFormat="1" ht="18" customHeight="1" thickBot="1">
      <c r="A3" s="194" t="s">
        <v>58</v>
      </c>
      <c r="B3" s="195">
        <f ca="1">ROUND(B2*10000/'数据-汇总表'!E3,0)</f>
        <v>226546</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21</v>
      </c>
      <c r="D10" s="794">
        <f>'数据-汇总表'!E6</f>
        <v>1106.44</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22</v>
      </c>
      <c r="D19" s="203">
        <f>'数据-汇总表'!E3</f>
        <v>1106.44</v>
      </c>
      <c r="E19" s="202">
        <f>'数据-取费表'!B31</f>
        <v>200</v>
      </c>
      <c r="F19" s="222"/>
      <c r="G19" s="1" t="s">
        <v>436</v>
      </c>
    </row>
    <row r="20" spans="1:7" s="205" customFormat="1" ht="13.5" customHeight="1">
      <c r="A20" s="730" t="s">
        <v>419</v>
      </c>
      <c r="B20" s="201" t="s">
        <v>77</v>
      </c>
      <c r="C20" s="223">
        <f>ROUND((C5+C19)*F20,0)</f>
        <v>619</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650</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1063</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1063</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24791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322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277</v>
      </c>
      <c r="D34" s="208"/>
      <c r="E34" s="211"/>
      <c r="F34" s="248">
        <f>IF('数据-取费表'!B24=0,1,'数据-取费表'!N16)</f>
        <v>1</v>
      </c>
      <c r="G34" s="210" t="s">
        <v>89</v>
      </c>
    </row>
    <row r="35" spans="1:7" ht="13.5" customHeight="1">
      <c r="A35" s="733" t="s">
        <v>351</v>
      </c>
      <c r="B35" s="206" t="s">
        <v>33</v>
      </c>
      <c r="C35" s="211">
        <f>ROUND(C34*F35,0)</f>
        <v>17</v>
      </c>
      <c r="D35" s="211"/>
      <c r="E35" s="211"/>
      <c r="F35" s="250">
        <f>'数据-取费表'!B33</f>
        <v>0.06</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22</v>
      </c>
      <c r="D37" s="208">
        <f>'数据-汇总表'!E3</f>
        <v>1106.44</v>
      </c>
      <c r="E37" s="240">
        <f>'数据-取费表'!B35</f>
        <v>200</v>
      </c>
      <c r="F37" s="250"/>
      <c r="G37" s="252" t="s">
        <v>92</v>
      </c>
    </row>
    <row r="38" spans="1:7" ht="13.5" customHeight="1">
      <c r="A38" s="733" t="s">
        <v>354</v>
      </c>
      <c r="B38" s="206" t="s">
        <v>36</v>
      </c>
      <c r="C38" s="211">
        <f>ROUND(C34*F38,0)</f>
        <v>6</v>
      </c>
      <c r="D38" s="211"/>
      <c r="E38" s="211"/>
      <c r="F38" s="250">
        <f>'数据-取费表'!B36</f>
        <v>0.02</v>
      </c>
      <c r="G38" s="210" t="s">
        <v>90</v>
      </c>
    </row>
    <row r="39" spans="1:7" s="205" customFormat="1" ht="13.5" customHeight="1">
      <c r="A39" s="730" t="s">
        <v>338</v>
      </c>
      <c r="B39" s="201" t="s">
        <v>77</v>
      </c>
      <c r="C39" s="223">
        <f>ROUND(C33*F20,0)</f>
        <v>10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5</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5</v>
      </c>
      <c r="D42" s="229"/>
      <c r="E42" s="229"/>
      <c r="F42" s="230"/>
      <c r="G42" s="3438" t="s">
        <v>94</v>
      </c>
    </row>
    <row r="43" spans="1:7" ht="13.5" customHeight="1">
      <c r="A43" s="733" t="s">
        <v>347</v>
      </c>
      <c r="B43" s="206" t="s">
        <v>426</v>
      </c>
      <c r="C43" s="229">
        <f ca="1">ROUND(IF('数据-取费表'!B22&lt;=1,C39*F22*'数据-取费表'!B21/2,C39*(POWER((1+F22),'数据-取费表'!B21/2)-1)),0)</f>
        <v>0</v>
      </c>
      <c r="D43" s="229"/>
      <c r="E43" s="229"/>
      <c r="F43" s="230"/>
      <c r="G43" s="3439"/>
    </row>
    <row r="44" spans="1:7" ht="13.5" customHeight="1">
      <c r="A44" s="733" t="s">
        <v>348</v>
      </c>
      <c r="B44" s="206" t="s">
        <v>428</v>
      </c>
      <c r="C44" s="229">
        <f ca="1">ROUND(IF('数据-取费表'!B22&lt;=1,C40*F22*'数据-取费表'!B21/2,C40*(POWER((1+F22),'数据-取费表'!B21/2)-1)),4)</f>
        <v>2.9999999999999997E-4</v>
      </c>
      <c r="D44" s="229"/>
      <c r="E44" s="229"/>
      <c r="F44" s="230"/>
      <c r="G44" s="3440"/>
    </row>
    <row r="45" spans="1:7" s="205" customFormat="1" ht="13.5" customHeight="1">
      <c r="A45" s="730" t="s">
        <v>341</v>
      </c>
      <c r="B45" s="235" t="s">
        <v>85</v>
      </c>
      <c r="C45" s="236">
        <f>C46</f>
        <v>17</v>
      </c>
      <c r="D45" s="226">
        <f>C47</f>
        <v>1E-3</v>
      </c>
      <c r="E45" s="227" t="s">
        <v>102</v>
      </c>
      <c r="F45" s="237"/>
      <c r="G45" s="238" t="s">
        <v>434</v>
      </c>
    </row>
    <row r="46" spans="1:7" s="205" customFormat="1" ht="13.5" customHeight="1">
      <c r="A46" s="733" t="s">
        <v>349</v>
      </c>
      <c r="B46" s="239" t="s">
        <v>427</v>
      </c>
      <c r="C46" s="240">
        <f>ROUND((C33+C39)*F27,0)</f>
        <v>17</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382</v>
      </c>
      <c r="D49" s="223"/>
      <c r="E49" s="223"/>
      <c r="F49" s="255"/>
      <c r="G49" s="225" t="s">
        <v>435</v>
      </c>
    </row>
    <row r="50" spans="1:7" s="249" customFormat="1" ht="24">
      <c r="A50" s="730" t="s">
        <v>344</v>
      </c>
      <c r="B50" s="201" t="s">
        <v>97</v>
      </c>
      <c r="C50" s="223"/>
      <c r="D50" s="223"/>
      <c r="E50" s="223"/>
      <c r="F50" s="255">
        <f>IF('数据-取费表'!B24=0,'数据-取费表'!N16,1)</f>
        <v>0.72</v>
      </c>
      <c r="G50" s="238" t="s">
        <v>98</v>
      </c>
    </row>
    <row r="51" spans="1:7" ht="16.5" customHeight="1">
      <c r="A51" s="730" t="s">
        <v>345</v>
      </c>
      <c r="B51" s="201" t="s">
        <v>105</v>
      </c>
      <c r="C51" s="223">
        <f ca="1">ROUND(C49*F50,0)</f>
        <v>275</v>
      </c>
      <c r="D51" s="223"/>
      <c r="E51" s="223"/>
      <c r="F51" s="255"/>
      <c r="G51" s="225" t="s">
        <v>37</v>
      </c>
    </row>
    <row r="52" spans="1:7" s="199" customFormat="1" ht="16.8" thickBot="1">
      <c r="A52" s="256" t="s">
        <v>38</v>
      </c>
      <c r="B52" s="257"/>
      <c r="C52" s="258">
        <f ca="1">C31+C51</f>
        <v>25066</v>
      </c>
      <c r="D52" s="257"/>
      <c r="E52" s="257"/>
      <c r="F52" s="257"/>
      <c r="G52" s="259"/>
    </row>
    <row r="55" spans="1:7" ht="15">
      <c r="B55" s="261" t="s">
        <v>39</v>
      </c>
      <c r="C55" s="262"/>
    </row>
    <row r="56" spans="1:7">
      <c r="B56" s="264" t="s">
        <v>40</v>
      </c>
      <c r="C56" s="265">
        <f ca="1">ROUND(C51/C52,3)</f>
        <v>1.0999999999999999E-2</v>
      </c>
    </row>
    <row r="57" spans="1:7">
      <c r="B57" s="264" t="s">
        <v>41</v>
      </c>
      <c r="C57" s="266">
        <f ca="1">1-C56</f>
        <v>0.98899999999999999</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13" zoomScale="70" zoomScaleNormal="70" zoomScaleSheetLayoutView="70" workbookViewId="0">
      <selection activeCell="K31" sqref="K3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27.55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857.34069999999997</v>
      </c>
      <c r="C2" s="1288" t="s">
        <v>879</v>
      </c>
      <c r="D2" s="1374">
        <f ca="1">C40+J29+L46</f>
        <v>8573407</v>
      </c>
      <c r="E2" s="1294" t="s">
        <v>880</v>
      </c>
      <c r="F2" s="1295"/>
      <c r="G2" s="2475"/>
      <c r="H2" s="2465"/>
      <c r="I2" s="2465"/>
      <c r="J2" s="2465"/>
      <c r="K2" s="2466"/>
      <c r="L2" s="2465"/>
      <c r="M2" s="2465"/>
    </row>
    <row r="3" spans="1:37" ht="18" customHeight="1" thickBot="1">
      <c r="A3" s="1296" t="s">
        <v>881</v>
      </c>
      <c r="B3" s="1297">
        <f ca="1">IF(ISERROR(D2/F43),0,ROUND(D2/F43,0))</f>
        <v>7749</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582272</v>
      </c>
      <c r="D5" s="1272" t="s">
        <v>889</v>
      </c>
      <c r="E5" s="1007"/>
      <c r="F5" s="1008"/>
      <c r="G5" s="1291"/>
      <c r="H5" s="290">
        <v>1</v>
      </c>
      <c r="I5" s="291" t="s">
        <v>888</v>
      </c>
      <c r="J5" s="1006">
        <f ca="1">J6+J10+J12</f>
        <v>0</v>
      </c>
      <c r="K5" s="1272" t="s">
        <v>889</v>
      </c>
      <c r="L5" s="1007"/>
      <c r="M5" s="1008"/>
    </row>
    <row r="6" spans="1:37" ht="18" customHeight="1">
      <c r="A6" s="1005" t="s">
        <v>398</v>
      </c>
      <c r="B6" s="3443" t="s">
        <v>694</v>
      </c>
      <c r="C6" s="1010">
        <f ca="1">ROUND(F6*F8*F7*(1-F9),0)</f>
        <v>581545</v>
      </c>
      <c r="D6" s="147" t="s">
        <v>2105</v>
      </c>
      <c r="E6" s="293" t="s">
        <v>696</v>
      </c>
      <c r="F6" s="294">
        <f ca="1">INDIRECT("'数据-取费表'!u"&amp;$G$1)</f>
        <v>1.6</v>
      </c>
      <c r="G6" s="1291"/>
      <c r="H6" s="1005" t="s">
        <v>398</v>
      </c>
      <c r="I6" s="3443" t="s">
        <v>694</v>
      </c>
      <c r="J6" s="292">
        <f ca="1">ROUND(M6*M8*M7*(1-M9),0)</f>
        <v>0</v>
      </c>
      <c r="K6" s="1283" t="s">
        <v>2106</v>
      </c>
      <c r="L6" s="293" t="s">
        <v>696</v>
      </c>
      <c r="M6" s="294">
        <f ca="1">INDIRECT("'数据-取费表'!z"&amp;$G$1)</f>
        <v>0</v>
      </c>
    </row>
    <row r="7" spans="1:37" ht="18" customHeight="1">
      <c r="A7" s="1009"/>
      <c r="B7" s="3444"/>
      <c r="C7" s="1011"/>
      <c r="D7" s="298"/>
      <c r="E7" s="1012" t="s">
        <v>697</v>
      </c>
      <c r="F7" s="294">
        <f ca="1">IF(INDIRECT("'数据-取费表'!ah"&amp;$G$1)="",INDIRECT("'数据-取费表'!k"&amp;$G$1),INDIRECT("'数据-取费表'!ah"&amp;$G$1))</f>
        <v>1106.44</v>
      </c>
      <c r="G7" s="1291"/>
      <c r="H7" s="295"/>
      <c r="I7" s="3444"/>
      <c r="J7" s="297"/>
      <c r="K7" s="298"/>
      <c r="L7" s="293" t="s">
        <v>697</v>
      </c>
      <c r="M7" s="294">
        <f ca="1">F7</f>
        <v>1106.44</v>
      </c>
    </row>
    <row r="8" spans="1:37" ht="18" customHeight="1">
      <c r="A8" s="295"/>
      <c r="B8" s="3444"/>
      <c r="C8" s="297"/>
      <c r="D8" s="298"/>
      <c r="E8" s="293" t="s">
        <v>698</v>
      </c>
      <c r="F8" s="294">
        <f ca="1">INDIRECT("'数据-取费表'!ai"&amp;$G$1)</f>
        <v>365</v>
      </c>
      <c r="G8" s="1291"/>
      <c r="H8" s="295"/>
      <c r="I8" s="3444"/>
      <c r="J8" s="297"/>
      <c r="K8" s="298"/>
      <c r="L8" s="293" t="s">
        <v>698</v>
      </c>
      <c r="M8" s="294">
        <f ca="1">INDIRECT("'数据-取费表'!ai"&amp;$G$1)</f>
        <v>365</v>
      </c>
    </row>
    <row r="9" spans="1:37" ht="18" customHeight="1">
      <c r="A9" s="295"/>
      <c r="B9" s="3445"/>
      <c r="C9" s="297"/>
      <c r="D9" s="298"/>
      <c r="E9" s="293" t="s">
        <v>699</v>
      </c>
      <c r="F9" s="303">
        <f ca="1">INDIRECT("'数据-取费表'!w"&amp;$G$1)</f>
        <v>0.1</v>
      </c>
      <c r="G9" s="1291"/>
      <c r="H9" s="295"/>
      <c r="I9" s="3445"/>
      <c r="J9" s="297"/>
      <c r="K9" s="298"/>
      <c r="L9" s="304" t="s">
        <v>699</v>
      </c>
      <c r="M9" s="305">
        <f ca="1">INDIRECT("'数据-取费表'!ab"&amp;$G$1)</f>
        <v>0</v>
      </c>
    </row>
    <row r="10" spans="1:37" ht="18" customHeight="1">
      <c r="A10" s="1005" t="s">
        <v>402</v>
      </c>
      <c r="B10" s="1273" t="s">
        <v>700</v>
      </c>
      <c r="C10" s="307">
        <f ca="1">ROUND(IF(F10="押一",C6/12*F11,IF(F10="押二",C6/12*2*F11,IF(F10="押三",C6/12*3*F11,C11*F11))),0)</f>
        <v>727</v>
      </c>
      <c r="D10" s="150" t="s">
        <v>2115</v>
      </c>
      <c r="E10" s="304" t="s">
        <v>701</v>
      </c>
      <c r="F10" s="1052" t="s">
        <v>3409</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2737142</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2766100</v>
      </c>
      <c r="D14" s="1256" t="s">
        <v>708</v>
      </c>
      <c r="E14" s="1254"/>
      <c r="F14" s="310"/>
      <c r="G14" s="1291"/>
      <c r="H14" s="927" t="s">
        <v>398</v>
      </c>
      <c r="I14" s="293" t="s">
        <v>709</v>
      </c>
      <c r="J14" s="21">
        <f ca="1">C29</f>
        <v>3801586</v>
      </c>
      <c r="K14" s="12"/>
      <c r="L14" s="758"/>
      <c r="M14" s="759"/>
    </row>
    <row r="15" spans="1:37" s="1303" customFormat="1" ht="18" customHeight="1" thickBot="1">
      <c r="A15" s="927" t="s">
        <v>399</v>
      </c>
      <c r="B15" s="293" t="s">
        <v>710</v>
      </c>
      <c r="C15" s="21">
        <f ca="1">ROUND(C14*F15,0)</f>
        <v>165966</v>
      </c>
      <c r="D15" s="311" t="s">
        <v>711</v>
      </c>
      <c r="E15" s="311" t="s">
        <v>712</v>
      </c>
      <c r="F15" s="312">
        <f>'数据-取费表'!B33</f>
        <v>0.06</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23407</v>
      </c>
      <c r="K16" s="1023" t="s">
        <v>715</v>
      </c>
      <c r="L16" s="1024"/>
      <c r="M16" s="1008"/>
    </row>
    <row r="17" spans="1:37" s="1303" customFormat="1" ht="18" customHeight="1">
      <c r="A17" s="927" t="s">
        <v>681</v>
      </c>
      <c r="B17" s="293" t="s">
        <v>716</v>
      </c>
      <c r="C17" s="21">
        <f ca="1">ROUND(F17*(F43+INDIRECT("'数据-取费表'!S"&amp;$G$1)),0)</f>
        <v>221288</v>
      </c>
      <c r="D17" s="293" t="s">
        <v>717</v>
      </c>
      <c r="E17" s="293" t="s">
        <v>718</v>
      </c>
      <c r="F17" s="23">
        <f>'数据-取费表'!B35</f>
        <v>200</v>
      </c>
      <c r="G17" s="1302"/>
      <c r="H17" s="927" t="s">
        <v>398</v>
      </c>
      <c r="I17" s="293" t="s">
        <v>719</v>
      </c>
      <c r="J17" s="2139">
        <f ca="1">ROUND(IF(AND(项目基本情况!B11="自然人",项目基本情况!B10="北京市"),J6*M17/(1+'数据-取费表'!C42),J18+J19+J20),0)</f>
        <v>12002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55322</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3208676</v>
      </c>
      <c r="D19" s="123"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96260</v>
      </c>
      <c r="D20" s="314" t="s">
        <v>729</v>
      </c>
      <c r="E20" s="293" t="s">
        <v>712</v>
      </c>
      <c r="F20" s="313">
        <f>'数据-取费表'!B37</f>
        <v>0.03</v>
      </c>
      <c r="G20" s="1302"/>
      <c r="H20" s="927" t="s">
        <v>680</v>
      </c>
      <c r="I20" s="147" t="s">
        <v>730</v>
      </c>
      <c r="J20" s="22">
        <f ca="1">ROUND(M20*M21,0)</f>
        <v>12002</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8001.46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单利计息。建造成本、管理费用、销售费用产生的利息。</v>
      </c>
      <c r="E22" s="1268"/>
      <c r="F22" s="23"/>
      <c r="G22" s="1291"/>
      <c r="H22" s="927" t="s">
        <v>402</v>
      </c>
      <c r="I22" s="293" t="s">
        <v>738</v>
      </c>
      <c r="J22" s="21">
        <f ca="1">ROUND(J14*M22,0)</f>
        <v>11405</v>
      </c>
      <c r="K22" s="1255" t="s">
        <v>739</v>
      </c>
      <c r="L22" s="293" t="s">
        <v>712</v>
      </c>
      <c r="M22" s="319">
        <f ca="1">INDIRECT("'数据-取费表'!Ak"&amp;$G$1)</f>
        <v>3.0000000000000001E-3</v>
      </c>
    </row>
    <row r="23" spans="1:37" s="1303" customFormat="1" ht="18" customHeight="1">
      <c r="A23" s="927" t="s">
        <v>397</v>
      </c>
      <c r="B23" s="293" t="s">
        <v>740</v>
      </c>
      <c r="C23" s="21">
        <f ca="1">IF('数据-取费表'!B22&lt;=1,ROUND(C19*F24*F23/2,0)+ROUND(C20*F24*F23/2,0),ROUND(C19*(POWER((1+F24),F23/2)-1),0)+ROUND(C20*(POWER((1+F24),F23/2)-1),0))</f>
        <v>51226</v>
      </c>
      <c r="D23" s="138"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8"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-23407</v>
      </c>
      <c r="K25" s="1031" t="s">
        <v>753</v>
      </c>
      <c r="L25" s="1032"/>
      <c r="M25" s="1033"/>
    </row>
    <row r="26" spans="1:37" ht="18" customHeight="1">
      <c r="A26" s="927" t="s">
        <v>397</v>
      </c>
      <c r="B26" s="293" t="s">
        <v>754</v>
      </c>
      <c r="C26" s="21">
        <f ca="1">ROUND((C19+C20)*F26,0)</f>
        <v>165247</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3801586</v>
      </c>
      <c r="D29" s="1028"/>
      <c r="E29" s="1026"/>
      <c r="F29" s="1029"/>
      <c r="G29" s="1302"/>
      <c r="H29" s="324" t="s">
        <v>396</v>
      </c>
      <c r="I29" s="325" t="s">
        <v>768</v>
      </c>
      <c r="J29" s="326">
        <f ca="1">ROUND(J26/(1+F40)^F41,0)</f>
        <v>0</v>
      </c>
      <c r="K29" s="327" t="s">
        <v>769</v>
      </c>
      <c r="L29" s="328"/>
      <c r="M29" s="329">
        <f ca="1">INDIRECT("'数据-取费表'!k"&amp;$G$1)</f>
        <v>1106.44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125979</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ROUND(IF(AND(项目基本情况!B11="自然人",项目基本情况!B10="北京市"),C6*F31/(1+'数据-取费表'!C42),C32+C33+C34),0)</f>
        <v>108926</v>
      </c>
      <c r="D31" s="1256" t="s">
        <v>720</v>
      </c>
      <c r="E31" s="1255" t="s">
        <v>770</v>
      </c>
      <c r="F31" s="2138" t="str">
        <f>IF(项目基本情况!B11="企业","——",IF(M47="住宅",IF(F6*F7*F8/12/(1+'数据-取费表'!F30)&gt;100000,4%,2.5%),IF(F6*F7*F8/12/(1+'数据-取费表'!F30)&gt;100000,12%,7%)))</f>
        <v>——</v>
      </c>
      <c r="G31" s="1291"/>
      <c r="H31" s="2566" t="s">
        <v>2296</v>
      </c>
      <c r="I31" s="1304"/>
      <c r="J31" s="1305"/>
      <c r="K31" s="121"/>
      <c r="L31" s="2468"/>
      <c r="M31" s="2469"/>
    </row>
    <row r="32" spans="1:37" ht="18" customHeight="1">
      <c r="A32" s="927" t="s">
        <v>397</v>
      </c>
      <c r="B32" s="293" t="s">
        <v>723</v>
      </c>
      <c r="C32" s="21">
        <f ca="1">IF(项目基本情况!B11="自然人","——",ROUND(C6*F32/(1+'数据-取费表'!C42),0))</f>
        <v>30462</v>
      </c>
      <c r="D32" s="1255" t="s">
        <v>724</v>
      </c>
      <c r="E32" s="293" t="s">
        <v>712</v>
      </c>
      <c r="F32" s="321">
        <f>'数据-取费表'!B41</f>
        <v>5.5000000000000007E-2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66462</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12002</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8001.46</v>
      </c>
      <c r="G35" s="1291"/>
      <c r="H35" s="2467"/>
      <c r="I35" s="1304"/>
      <c r="J35" s="1305"/>
      <c r="K35" s="2471"/>
      <c r="L35" s="2470"/>
      <c r="M35" s="2470"/>
    </row>
    <row r="36" spans="1:18" ht="18" customHeight="1">
      <c r="A36" s="1038" t="s">
        <v>402</v>
      </c>
      <c r="B36" s="293" t="s">
        <v>738</v>
      </c>
      <c r="C36" s="21">
        <f ca="1">ROUND(C29*F36,0)</f>
        <v>11405</v>
      </c>
      <c r="D36" s="1255" t="s">
        <v>771</v>
      </c>
      <c r="E36" s="293" t="s">
        <v>712</v>
      </c>
      <c r="F36" s="319">
        <f ca="1">INDIRECT("'数据-取费表'!Ak"&amp;$G$1)</f>
        <v>3.0000000000000001E-3</v>
      </c>
      <c r="G36" s="1291"/>
      <c r="H36" s="2470"/>
      <c r="I36" s="1304"/>
      <c r="J36" s="1305"/>
      <c r="K36" s="2328"/>
      <c r="L36" s="2470"/>
      <c r="M36" s="2470"/>
    </row>
    <row r="37" spans="1:18" ht="18" customHeight="1">
      <c r="A37" s="927" t="s">
        <v>437</v>
      </c>
      <c r="B37" s="293" t="s">
        <v>742</v>
      </c>
      <c r="C37" s="21">
        <f ca="1">ROUND(C13*F37,0)</f>
        <v>2737</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2911</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456293</v>
      </c>
      <c r="D39" s="1031" t="s">
        <v>773</v>
      </c>
      <c r="E39" s="1032"/>
      <c r="F39" s="1033"/>
      <c r="G39" s="1291"/>
      <c r="H39" s="2470">
        <f ca="1">C39/C5</f>
        <v>0.78364235271488236</v>
      </c>
      <c r="I39" s="1304"/>
      <c r="J39" s="1305"/>
      <c r="K39" s="2468"/>
      <c r="L39" s="2470"/>
      <c r="M39" s="2470"/>
    </row>
    <row r="40" spans="1:18" ht="18" customHeight="1">
      <c r="A40" s="290" t="s">
        <v>395</v>
      </c>
      <c r="B40" s="291" t="s">
        <v>774</v>
      </c>
      <c r="C40" s="292">
        <f ca="1">ROUND(C39*(1-((1+F42)/(1+F40))^F41)/(F40-F42),0)</f>
        <v>8366049</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27.55</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7561</v>
      </c>
      <c r="D43" s="327" t="s">
        <v>777</v>
      </c>
      <c r="E43" s="328" t="s">
        <v>778</v>
      </c>
      <c r="F43" s="329">
        <f ca="1">INDIRECT("'数据-取费表'!k"&amp;$G$1)</f>
        <v>1106.44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3339</v>
      </c>
      <c r="B45" s="1306"/>
      <c r="C45" s="1375">
        <f ca="1">ROUND((C68-C40)/10000,4)</f>
        <v>-875.25850000000003</v>
      </c>
      <c r="D45" s="3127" t="s">
        <v>3340</v>
      </c>
      <c r="E45" s="1306"/>
      <c r="F45" s="1306"/>
      <c r="O45" s="1309" t="s">
        <v>808</v>
      </c>
      <c r="P45" s="1365"/>
      <c r="Q45" s="1365"/>
      <c r="R45" s="1365"/>
    </row>
    <row r="46" spans="1:18" s="1291" customFormat="1" ht="13.8" thickBot="1">
      <c r="A46" s="1310" t="s">
        <v>809</v>
      </c>
      <c r="C46" s="1311">
        <f ca="1">ROUND(C45,0)</f>
        <v>-875</v>
      </c>
      <c r="D46" s="1312" t="str">
        <f>C2</f>
        <v>万元</v>
      </c>
      <c r="I46" s="1313" t="s">
        <v>810</v>
      </c>
      <c r="J46" s="1314"/>
      <c r="K46" s="1315"/>
      <c r="L46" s="1316">
        <f ca="1">IF(M47="住宅",0,IF(L48&gt;J51,L60,J60))</f>
        <v>207358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3410</v>
      </c>
      <c r="K47" s="1322" t="s">
        <v>816</v>
      </c>
      <c r="L47" s="1323">
        <f ca="1">INDIRECT("'数据-取费表'!d"&amp;$G$1)</f>
        <v>50</v>
      </c>
      <c r="M47" s="1287" t="str">
        <f>IF(ISNUMBER(FIND("住宅",C1)),"住宅","非住宅")</f>
        <v>非住宅</v>
      </c>
      <c r="O47" s="1324" t="s">
        <v>403</v>
      </c>
      <c r="P47" s="1325" t="s">
        <v>817</v>
      </c>
      <c r="Q47" s="1326">
        <f ca="1">C40+J29</f>
        <v>8366049</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3411</v>
      </c>
      <c r="K48" s="1329" t="s">
        <v>820</v>
      </c>
      <c r="L48" s="1330">
        <f ca="1">INDIRECT("'数据-取费表'!f"&amp;$G$1)</f>
        <v>27.55</v>
      </c>
      <c r="O48" s="1324" t="s">
        <v>404</v>
      </c>
      <c r="P48" s="1325" t="s">
        <v>821</v>
      </c>
      <c r="Q48" s="1326">
        <f ca="1">J60</f>
        <v>207358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2006</v>
      </c>
      <c r="K49" s="1329" t="s">
        <v>824</v>
      </c>
      <c r="L49" s="1332"/>
      <c r="O49" s="1333" t="s">
        <v>405</v>
      </c>
      <c r="P49" s="1325" t="s">
        <v>825</v>
      </c>
      <c r="Q49" s="1326">
        <f ca="1">C29</f>
        <v>3801586</v>
      </c>
      <c r="R49" s="1326" t="s">
        <v>818</v>
      </c>
    </row>
    <row r="50" spans="1:18" s="1291" customFormat="1" ht="13.8" thickBot="1">
      <c r="A50" s="921"/>
      <c r="B50" s="924"/>
      <c r="C50" s="925"/>
      <c r="D50" s="898"/>
      <c r="E50" s="992" t="s">
        <v>697</v>
      </c>
      <c r="F50" s="993">
        <f ca="1">F7</f>
        <v>1106.44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41</v>
      </c>
      <c r="K51" s="1338" t="s">
        <v>830</v>
      </c>
      <c r="L51" s="1339">
        <f ca="1">ROUND(-PV(INDIRECT("'数据-取费表'!h"&amp;$G$1),J51,(C39-C13*C76),0),0)</f>
        <v>4914320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27.55</v>
      </c>
      <c r="R52" s="1326" t="s">
        <v>835</v>
      </c>
    </row>
    <row r="53" spans="1:18" s="1291" customFormat="1" ht="30.75" customHeight="1" thickBot="1">
      <c r="A53" s="1047" t="s">
        <v>440</v>
      </c>
      <c r="B53" s="314" t="s">
        <v>700</v>
      </c>
      <c r="C53" s="307">
        <f ca="1">ROUND(IF(F53="押一",C49/12*F11,IF(F53="押二",C49/12*2*F11,IF(F53="押三",C49/12*3*F11,C54*F11))),0)</f>
        <v>0</v>
      </c>
      <c r="D53" s="150" t="s">
        <v>2118</v>
      </c>
      <c r="E53" s="304" t="s">
        <v>701</v>
      </c>
      <c r="F53" s="1052"/>
      <c r="I53" s="1343" t="s">
        <v>836</v>
      </c>
      <c r="J53" s="2005">
        <f ca="1">IF(M47="住宅",IF(D1="——",MAX(J51,L48),MAX(J51,L48-'数据-取费表'!B24)),IF(D1="——",MIN(J51,L48),MIN(J51,L48-'数据-取费表'!B24)))</f>
        <v>27.55</v>
      </c>
      <c r="K53" s="3441" t="s">
        <v>837</v>
      </c>
      <c r="L53" s="3442"/>
      <c r="O53" s="1324" t="s">
        <v>409</v>
      </c>
      <c r="P53" s="1325" t="s">
        <v>838</v>
      </c>
      <c r="Q53" s="1326">
        <f ca="1">Q47+Q48</f>
        <v>8573407</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0.224</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2737142</v>
      </c>
      <c r="D56" s="1351"/>
      <c r="E56" s="1352"/>
      <c r="F56" s="1344"/>
      <c r="I56" s="1353" t="s">
        <v>842</v>
      </c>
      <c r="J56" s="1354" t="s">
        <v>3396</v>
      </c>
      <c r="K56" s="1327" t="s">
        <v>843</v>
      </c>
      <c r="L56" s="1330" t="str">
        <f ca="1">IF(L48&lt;J51,"——",L48-J51)</f>
        <v>——</v>
      </c>
      <c r="O56" s="1324" t="s">
        <v>403</v>
      </c>
      <c r="P56" s="1325" t="s">
        <v>817</v>
      </c>
      <c r="Q56" s="1326">
        <f ca="1">C40+J29</f>
        <v>8366049</v>
      </c>
      <c r="R56" s="1326" t="s">
        <v>818</v>
      </c>
    </row>
    <row r="57" spans="1:18" s="1291" customFormat="1" ht="24.6" thickBot="1">
      <c r="A57" s="1355"/>
      <c r="B57" s="895" t="s">
        <v>767</v>
      </c>
      <c r="C57" s="229">
        <f ca="1">C29</f>
        <v>3801586</v>
      </c>
      <c r="D57" s="1356"/>
      <c r="E57" s="1357"/>
      <c r="F57" s="1358"/>
      <c r="I57" s="1359" t="s">
        <v>844</v>
      </c>
      <c r="J57" s="1360">
        <f ca="1">IF(OR(M47="住宅",J51&lt;L48,J56="是"),"——",J51-L48)</f>
        <v>13.45</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26144</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12002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1520634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f ca="1">IF(OR(M47="住宅",J51&lt;L48,J56="是"),"0",ROUND(J59/(1+J52)^J53,0))</f>
        <v>207358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12002</v>
      </c>
      <c r="D62" s="910" t="s">
        <v>786</v>
      </c>
      <c r="E62" s="895" t="s">
        <v>787</v>
      </c>
      <c r="F62" s="316">
        <f t="shared" si="0"/>
        <v>1.5</v>
      </c>
      <c r="I62" s="1366" t="s">
        <v>858</v>
      </c>
      <c r="J62" s="609" t="s">
        <v>859</v>
      </c>
      <c r="K62" s="609" t="s">
        <v>860</v>
      </c>
      <c r="L62" s="609" t="s">
        <v>861</v>
      </c>
      <c r="M62" s="1367" t="s">
        <v>862</v>
      </c>
      <c r="O62" s="1324" t="s">
        <v>409</v>
      </c>
      <c r="P62" s="1325" t="s">
        <v>863</v>
      </c>
      <c r="Q62" s="1326">
        <f ca="1">Q56+Q57</f>
        <v>8366049</v>
      </c>
      <c r="R62" s="1326" t="s">
        <v>410</v>
      </c>
    </row>
    <row r="63" spans="1:18" s="1291" customFormat="1" ht="13.8" thickBot="1">
      <c r="A63" s="317"/>
      <c r="B63" s="901"/>
      <c r="C63" s="26"/>
      <c r="D63" s="911"/>
      <c r="E63" s="895" t="s">
        <v>788</v>
      </c>
      <c r="F63" s="294">
        <f t="shared" ca="1" si="0"/>
        <v>8001.46</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11405</v>
      </c>
      <c r="D64" s="909" t="s">
        <v>791</v>
      </c>
      <c r="E64" s="895" t="s">
        <v>783</v>
      </c>
      <c r="F64" s="319">
        <f t="shared" ca="1" si="0"/>
        <v>3.0000000000000001E-3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2737</v>
      </c>
      <c r="D65" s="909" t="s">
        <v>743</v>
      </c>
      <c r="E65" s="895" t="s">
        <v>744</v>
      </c>
      <c r="F65" s="320">
        <f t="shared" ca="1" si="0"/>
        <v>1E-3</v>
      </c>
      <c r="I65" s="1366" t="s">
        <v>867</v>
      </c>
      <c r="J65" s="609">
        <v>40</v>
      </c>
      <c r="K65" s="609">
        <v>30</v>
      </c>
      <c r="L65" s="609">
        <v>50</v>
      </c>
      <c r="M65" s="1368">
        <v>0.02</v>
      </c>
      <c r="O65" s="1324" t="s">
        <v>403</v>
      </c>
      <c r="P65" s="1325" t="s">
        <v>868</v>
      </c>
      <c r="Q65" s="1326">
        <f ca="1">C40+J29</f>
        <v>8366049</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-26144</v>
      </c>
      <c r="D67" s="908" t="s">
        <v>753</v>
      </c>
      <c r="E67" s="913"/>
      <c r="F67" s="914"/>
      <c r="O67" s="1333" t="s">
        <v>405</v>
      </c>
      <c r="P67" s="1325" t="s">
        <v>850</v>
      </c>
      <c r="Q67" s="1369">
        <f ca="1">L51</f>
        <v>4914320</v>
      </c>
      <c r="R67" s="1326" t="s">
        <v>870</v>
      </c>
    </row>
    <row r="68" spans="1:18" s="1291" customFormat="1" ht="16.2" thickBot="1">
      <c r="A68" s="892" t="s">
        <v>395</v>
      </c>
      <c r="B68" s="893" t="s">
        <v>774</v>
      </c>
      <c r="C68" s="292">
        <f ca="1">ROUND(C67*(1-((1+F70)/(1+F68))^F69)/(F68-F70),0)</f>
        <v>-386536</v>
      </c>
      <c r="D68" s="910" t="s">
        <v>758</v>
      </c>
      <c r="E68" s="895" t="s">
        <v>759</v>
      </c>
      <c r="F68" s="303">
        <f ca="1">F40</f>
        <v>0.05</v>
      </c>
      <c r="O68" s="1333" t="s">
        <v>406</v>
      </c>
      <c r="P68" s="1370" t="s">
        <v>871</v>
      </c>
      <c r="Q68" s="1326">
        <f ca="1">ROUND(Q69-Q70*Q71,0)</f>
        <v>264693</v>
      </c>
      <c r="R68" s="1326" t="s">
        <v>414</v>
      </c>
    </row>
    <row r="69" spans="1:18" s="1291" customFormat="1" ht="13.8" thickBot="1">
      <c r="A69" s="896"/>
      <c r="B69" s="897"/>
      <c r="C69" s="297"/>
      <c r="D69" s="915" t="s">
        <v>762</v>
      </c>
      <c r="E69" s="895" t="s">
        <v>763</v>
      </c>
      <c r="F69" s="323">
        <f ca="1">F41</f>
        <v>27.55</v>
      </c>
      <c r="O69" s="1333" t="s">
        <v>411</v>
      </c>
      <c r="P69" s="1370" t="s">
        <v>872</v>
      </c>
      <c r="Q69" s="1326">
        <f ca="1">C39</f>
        <v>456293</v>
      </c>
      <c r="R69" s="1326" t="s">
        <v>818</v>
      </c>
    </row>
    <row r="70" spans="1:18" s="1291" customFormat="1" ht="13.8" thickBot="1">
      <c r="A70" s="899"/>
      <c r="B70" s="900"/>
      <c r="C70" s="301"/>
      <c r="D70" s="911"/>
      <c r="E70" s="895" t="s">
        <v>766</v>
      </c>
      <c r="F70" s="990"/>
      <c r="O70" s="1333" t="s">
        <v>412</v>
      </c>
      <c r="P70" s="1370" t="s">
        <v>873</v>
      </c>
      <c r="Q70" s="1326">
        <f ca="1">C13</f>
        <v>2737142</v>
      </c>
      <c r="R70" s="1326" t="s">
        <v>818</v>
      </c>
    </row>
    <row r="71" spans="1:18" s="1291" customFormat="1" ht="13.8" thickBot="1">
      <c r="A71" s="916" t="s">
        <v>396</v>
      </c>
      <c r="B71" s="917" t="s">
        <v>776</v>
      </c>
      <c r="C71" s="326">
        <f ca="1">ROUND(C68/F71,0)</f>
        <v>-349</v>
      </c>
      <c r="D71" s="918" t="s">
        <v>777</v>
      </c>
      <c r="E71" s="919" t="s">
        <v>778</v>
      </c>
      <c r="F71" s="329">
        <f ca="1">F43</f>
        <v>1106.44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191600</v>
      </c>
      <c r="D75" s="1291"/>
      <c r="E75" s="1291"/>
      <c r="F75" s="1291"/>
      <c r="K75" s="1308"/>
      <c r="L75" s="1291"/>
      <c r="O75" s="1324" t="s">
        <v>409</v>
      </c>
      <c r="P75" s="1325" t="s">
        <v>838</v>
      </c>
      <c r="Q75" s="1326">
        <f ca="1">Q65+Q66</f>
        <v>8366049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0.58000000000000007</v>
      </c>
    </row>
    <row r="80" spans="1:18">
      <c r="B80" s="330" t="s">
        <v>800</v>
      </c>
      <c r="C80" s="265">
        <f ca="1">ROUND(C75/C39,3)</f>
        <v>0.42</v>
      </c>
    </row>
    <row r="81" spans="2:3">
      <c r="B81" s="261" t="s">
        <v>801</v>
      </c>
      <c r="C81" s="229"/>
    </row>
    <row r="82" spans="2:3">
      <c r="B82" s="264" t="s">
        <v>802</v>
      </c>
      <c r="C82" s="266">
        <f ca="1">1-C83</f>
        <v>0.67300000000000004</v>
      </c>
    </row>
    <row r="83" spans="2:3">
      <c r="B83" s="264" t="s">
        <v>803</v>
      </c>
      <c r="C83" s="265">
        <f ca="1">ROUND(C13/C40,3)</f>
        <v>0.32700000000000001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6" customWidth="1"/>
    <col min="2" max="2" width="15.77734375" style="346" customWidth="1"/>
    <col min="3" max="3" width="16.6640625" style="346" customWidth="1"/>
    <col min="4" max="4" width="14.109375" style="346" customWidth="1"/>
    <col min="5" max="5" width="16.44140625" style="346" customWidth="1"/>
    <col min="6" max="6" width="12.21875" style="346" customWidth="1"/>
    <col min="7" max="7" width="16.3320312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1779</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16079</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402" t="s">
        <v>1771</v>
      </c>
      <c r="S4" s="3403"/>
      <c r="T4" s="3402" t="s">
        <v>1772</v>
      </c>
      <c r="U4" s="3403"/>
      <c r="V4" s="3375" t="s">
        <v>1773</v>
      </c>
      <c r="W4" s="3375"/>
      <c r="X4" s="1264"/>
      <c r="Y4" s="3402" t="s">
        <v>1775</v>
      </c>
      <c r="Z4" s="3403"/>
      <c r="AA4" s="3389" t="s">
        <v>1771</v>
      </c>
      <c r="AB4" s="3390" t="s">
        <v>1772</v>
      </c>
      <c r="AC4" s="3389" t="s">
        <v>1773</v>
      </c>
    </row>
    <row r="5" spans="1:29" ht="63.6" customHeight="1">
      <c r="A5" s="347"/>
      <c r="B5" s="348"/>
      <c r="C5" s="3410" t="s">
        <v>3470</v>
      </c>
      <c r="D5" s="3411"/>
      <c r="E5" s="3417" t="s">
        <v>3470</v>
      </c>
      <c r="F5" s="3418"/>
      <c r="G5" s="3410" t="s">
        <v>3471</v>
      </c>
      <c r="H5" s="3411"/>
      <c r="I5" s="3410" t="s">
        <v>3472</v>
      </c>
      <c r="J5" s="3411"/>
      <c r="K5" s="536"/>
      <c r="L5" s="2483"/>
      <c r="M5" s="2484"/>
      <c r="N5" s="2484"/>
      <c r="O5" s="2484"/>
      <c r="P5" s="3398"/>
      <c r="Q5" s="3399"/>
      <c r="R5" s="3404"/>
      <c r="S5" s="3405"/>
      <c r="T5" s="3404"/>
      <c r="U5" s="3405"/>
      <c r="V5" s="3375"/>
      <c r="W5" s="3375"/>
      <c r="X5" s="1264"/>
      <c r="Y5" s="3404"/>
      <c r="Z5" s="3405"/>
      <c r="AA5" s="3390"/>
      <c r="AB5" s="3390"/>
      <c r="AC5" s="3390"/>
    </row>
    <row r="6" spans="1:29" ht="15" thickBot="1">
      <c r="A6" s="349"/>
      <c r="B6" s="350"/>
      <c r="C6" s="3408" t="s">
        <v>1677</v>
      </c>
      <c r="D6" s="3409"/>
      <c r="E6" s="3415" t="s">
        <v>1677</v>
      </c>
      <c r="F6" s="3416"/>
      <c r="G6" s="3408" t="s">
        <v>1677</v>
      </c>
      <c r="H6" s="3409"/>
      <c r="I6" s="3408" t="s">
        <v>1677</v>
      </c>
      <c r="J6" s="3409"/>
      <c r="K6" s="536" t="s">
        <v>1678</v>
      </c>
      <c r="L6" s="2483"/>
      <c r="M6" s="2484"/>
      <c r="N6" s="2484"/>
      <c r="O6" s="2484"/>
      <c r="P6" s="3400"/>
      <c r="Q6" s="3401"/>
      <c r="R6" s="3404"/>
      <c r="S6" s="3405"/>
      <c r="T6" s="3406"/>
      <c r="U6" s="3407"/>
      <c r="V6" s="3375"/>
      <c r="W6" s="3375"/>
      <c r="X6" s="1264"/>
      <c r="Y6" s="3406"/>
      <c r="Z6" s="3407"/>
      <c r="AA6" s="3391"/>
      <c r="AB6" s="3391"/>
      <c r="AC6" s="3391"/>
    </row>
    <row r="7" spans="1:29" s="102" customFormat="1" ht="15" thickBot="1">
      <c r="A7" s="351" t="s">
        <v>1679</v>
      </c>
      <c r="B7" s="352"/>
      <c r="C7" s="353">
        <f>'数据-取费表'!B2</f>
        <v>45734</v>
      </c>
      <c r="D7" s="354">
        <v>100</v>
      </c>
      <c r="E7" s="355">
        <v>45288.000497685185</v>
      </c>
      <c r="F7" s="356">
        <f>SUMIF(69:69,YEAR(E7)&amp;"-"&amp;INT((MONTH(E7)+2)/3),70:70)</f>
        <v>100</v>
      </c>
      <c r="G7" s="1821">
        <v>45090.000497685185</v>
      </c>
      <c r="H7" s="354">
        <f>SUMIF(69:69,YEAR(G7)&amp;"-"&amp;INT((MONTH(G7)+2)/3),70:70)</f>
        <v>100</v>
      </c>
      <c r="I7" s="1821">
        <v>44798.000497685185</v>
      </c>
      <c r="J7" s="354">
        <f>SUMIF(69:69,YEAR(I7)&amp;"-"&amp;INT((MONTH(I7)+2)/3),70:70)</f>
        <v>100</v>
      </c>
      <c r="K7" s="38"/>
      <c r="L7" s="2485"/>
      <c r="M7" s="2437"/>
      <c r="N7" s="2437"/>
      <c r="O7" s="2437"/>
      <c r="P7" s="3412" t="s">
        <v>1680</v>
      </c>
      <c r="Q7" s="3414"/>
      <c r="R7" s="663" t="s">
        <v>14</v>
      </c>
      <c r="S7" s="664">
        <f t="shared" ref="S7:S15" si="0">F7</f>
        <v>100</v>
      </c>
      <c r="T7" s="663" t="s">
        <v>14</v>
      </c>
      <c r="U7" s="664">
        <f t="shared" ref="U7:U15" si="1">H7</f>
        <v>100</v>
      </c>
      <c r="V7" s="663" t="s">
        <v>14</v>
      </c>
      <c r="W7" s="664">
        <f t="shared" ref="W7:W15" si="2">J7</f>
        <v>100</v>
      </c>
      <c r="X7" s="665"/>
      <c r="Y7" s="3412" t="s">
        <v>1680</v>
      </c>
      <c r="Z7" s="3413"/>
      <c r="AA7" s="50">
        <f>D7/F7</f>
        <v>1</v>
      </c>
      <c r="AB7" s="50">
        <f>D7/H7</f>
        <v>1</v>
      </c>
      <c r="AC7" s="50">
        <f>D7/J7</f>
        <v>1</v>
      </c>
    </row>
    <row r="8" spans="1:29" s="102" customFormat="1" ht="15" thickBot="1">
      <c r="A8" s="351" t="s">
        <v>1681</v>
      </c>
      <c r="B8" s="352"/>
      <c r="C8" s="357" t="s">
        <v>1682</v>
      </c>
      <c r="D8" s="354">
        <v>100</v>
      </c>
      <c r="E8" s="357" t="s">
        <v>3414</v>
      </c>
      <c r="F8" s="356">
        <f>SUMIF(72:72,E8,73:73)-SUMIF(72:72,C8,73:73)+100</f>
        <v>100</v>
      </c>
      <c r="G8" s="357" t="s">
        <v>3414</v>
      </c>
      <c r="H8" s="354">
        <f>SUMIF(72:72,G8,73:73)-SUMIF(72:72,C8,73:73)+100</f>
        <v>100</v>
      </c>
      <c r="I8" s="357" t="s">
        <v>3414</v>
      </c>
      <c r="J8" s="354">
        <f>SUMIF(72:72,I8,73:73)-SUMIF(72:72,C8,73:73)+100</f>
        <v>100</v>
      </c>
      <c r="K8" s="38"/>
      <c r="L8" s="2485"/>
      <c r="M8" s="2437"/>
      <c r="N8" s="2437"/>
      <c r="O8" s="2437"/>
      <c r="P8" s="3412" t="s">
        <v>1683</v>
      </c>
      <c r="Q8" s="3413"/>
      <c r="R8" s="663" t="s">
        <v>14</v>
      </c>
      <c r="S8" s="664">
        <f t="shared" si="0"/>
        <v>100</v>
      </c>
      <c r="T8" s="663" t="s">
        <v>14</v>
      </c>
      <c r="U8" s="664">
        <f t="shared" si="1"/>
        <v>100</v>
      </c>
      <c r="V8" s="663" t="s">
        <v>14</v>
      </c>
      <c r="W8" s="664">
        <f t="shared" si="2"/>
        <v>100</v>
      </c>
      <c r="X8" s="665"/>
      <c r="Y8" s="3412" t="s">
        <v>1683</v>
      </c>
      <c r="Z8" s="3413"/>
      <c r="AA8" s="50">
        <f t="shared" ref="AA8:AA45" si="3">D8/F8</f>
        <v>1</v>
      </c>
      <c r="AB8" s="50">
        <f t="shared" ref="AB8:AB45" si="4">D8/H8</f>
        <v>1</v>
      </c>
      <c r="AC8" s="50">
        <f t="shared" ref="AC8:AC45" si="5">D8/J8</f>
        <v>1</v>
      </c>
    </row>
    <row r="9" spans="1:29" s="102" customFormat="1" ht="14.4">
      <c r="A9" s="358" t="s">
        <v>1684</v>
      </c>
      <c r="B9" s="60" t="s">
        <v>1685</v>
      </c>
      <c r="C9" s="1824" t="s">
        <v>21</v>
      </c>
      <c r="D9" s="59">
        <v>100</v>
      </c>
      <c r="E9" s="1824" t="s">
        <v>21</v>
      </c>
      <c r="F9" s="59">
        <f>SUMIF(74:74,E9,75:75)-SUMIF(74:74,C9,75:75)+100</f>
        <v>100</v>
      </c>
      <c r="G9" s="1824" t="s">
        <v>21</v>
      </c>
      <c r="H9" s="59">
        <f>SUMIF(74:74,G9,75:75)-SUMIF(74:74,C9,75:75)+100</f>
        <v>100</v>
      </c>
      <c r="I9" s="1824" t="s">
        <v>21</v>
      </c>
      <c r="J9" s="59">
        <f>SUMIF(74:74,I9,75:75)-SUMIF(74:74,C9,75:75)+100</f>
        <v>100</v>
      </c>
      <c r="K9" s="38"/>
      <c r="L9" s="2485"/>
      <c r="M9" s="2437"/>
      <c r="N9" s="2437"/>
      <c r="O9" s="2537"/>
      <c r="P9" s="3374" t="s">
        <v>1686</v>
      </c>
      <c r="Q9" s="529" t="str">
        <f t="shared" ref="Q9:Q15" si="6">B9</f>
        <v>用途</v>
      </c>
      <c r="R9" s="663" t="s">
        <v>14</v>
      </c>
      <c r="S9" s="664">
        <f t="shared" si="0"/>
        <v>100</v>
      </c>
      <c r="T9" s="663" t="s">
        <v>14</v>
      </c>
      <c r="U9" s="664">
        <f t="shared" si="1"/>
        <v>100</v>
      </c>
      <c r="V9" s="663" t="s">
        <v>14</v>
      </c>
      <c r="W9" s="664">
        <f t="shared" si="2"/>
        <v>100</v>
      </c>
      <c r="X9" s="665"/>
      <c r="Y9" s="3281"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127</v>
      </c>
      <c r="G10" s="401"/>
      <c r="H10" s="119">
        <f>ROUND(100/'数据-取费表'!G16,0)</f>
        <v>127</v>
      </c>
      <c r="I10" s="401"/>
      <c r="J10" s="119">
        <f>ROUND(100/'数据-取费表'!G16,0)</f>
        <v>127</v>
      </c>
      <c r="K10" s="591"/>
      <c r="L10" s="2486"/>
      <c r="M10" s="2487"/>
      <c r="N10" s="2487"/>
      <c r="O10" s="2538"/>
      <c r="P10" s="3374"/>
      <c r="Q10" s="529" t="str">
        <f t="shared" si="6"/>
        <v>土地使用年限（年）</v>
      </c>
      <c r="R10" s="663" t="s">
        <v>14</v>
      </c>
      <c r="S10" s="664">
        <f t="shared" si="0"/>
        <v>127</v>
      </c>
      <c r="T10" s="663" t="s">
        <v>14</v>
      </c>
      <c r="U10" s="664">
        <f t="shared" si="1"/>
        <v>127</v>
      </c>
      <c r="V10" s="663" t="s">
        <v>14</v>
      </c>
      <c r="W10" s="664">
        <f t="shared" si="2"/>
        <v>127</v>
      </c>
      <c r="X10" s="665"/>
      <c r="Y10" s="3281"/>
      <c r="Z10" s="50" t="str">
        <f t="shared" si="7"/>
        <v>土地使用年限（年）</v>
      </c>
      <c r="AA10" s="50">
        <f t="shared" si="3"/>
        <v>0.78740157480314965</v>
      </c>
      <c r="AB10" s="50">
        <f t="shared" si="4"/>
        <v>0.78740157480314965</v>
      </c>
      <c r="AC10" s="50">
        <f t="shared" si="5"/>
        <v>0.78740157480314965</v>
      </c>
    </row>
    <row r="11" spans="1:29" ht="15">
      <c r="A11" s="366"/>
      <c r="B11" s="363" t="s">
        <v>1689</v>
      </c>
      <c r="C11" s="367"/>
      <c r="D11" s="119">
        <v>100</v>
      </c>
      <c r="E11" s="367"/>
      <c r="F11" s="119">
        <f>LOOKUP(E11,79:79,80:80)-LOOKUP(C11,79:79,80:80)+100</f>
        <v>100</v>
      </c>
      <c r="G11" s="368"/>
      <c r="H11" s="119">
        <f>LOOKUP(G11,79:79,80:80)-LOOKUP(C11,79:79,80:80)+100</f>
        <v>100</v>
      </c>
      <c r="I11" s="367"/>
      <c r="J11" s="119">
        <f>LOOKUP(I11,79:79,80:80)-LOOKUP(C11,79:79,80:80)+100</f>
        <v>100</v>
      </c>
      <c r="K11" s="592"/>
      <c r="L11" s="2488"/>
      <c r="M11" s="2484"/>
      <c r="N11" s="2484"/>
      <c r="O11" s="2539"/>
      <c r="P11" s="3374"/>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50">
        <f t="shared" si="5"/>
        <v>1</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7"/>
      <c r="N12" s="2437"/>
      <c r="O12" s="2537"/>
      <c r="P12" s="3374"/>
      <c r="Q12" s="529" t="str">
        <f t="shared" si="6"/>
        <v>配建</v>
      </c>
      <c r="R12" s="663" t="s">
        <v>14</v>
      </c>
      <c r="S12" s="664">
        <f t="shared" si="0"/>
        <v>100</v>
      </c>
      <c r="T12" s="663" t="s">
        <v>14</v>
      </c>
      <c r="U12" s="664">
        <f t="shared" si="1"/>
        <v>100</v>
      </c>
      <c r="V12" s="663" t="s">
        <v>14</v>
      </c>
      <c r="W12" s="664">
        <f t="shared" si="2"/>
        <v>100</v>
      </c>
      <c r="X12" s="665"/>
      <c r="Y12" s="3281"/>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281"/>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81" t="s">
        <v>1691</v>
      </c>
      <c r="Q15" s="1262" t="str">
        <f t="shared" si="6"/>
        <v>居住社区成熟度</v>
      </c>
      <c r="R15" s="666" t="s">
        <v>14</v>
      </c>
      <c r="S15" s="667">
        <f t="shared" si="0"/>
        <v>100</v>
      </c>
      <c r="T15" s="666" t="s">
        <v>14</v>
      </c>
      <c r="U15" s="667">
        <f t="shared" si="1"/>
        <v>100</v>
      </c>
      <c r="V15" s="666" t="s">
        <v>14</v>
      </c>
      <c r="W15" s="667">
        <f t="shared" si="2"/>
        <v>100</v>
      </c>
      <c r="X15" s="1264"/>
      <c r="Y15" s="3381"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82"/>
      <c r="Q16" s="1262"/>
      <c r="R16" s="666"/>
      <c r="S16" s="667"/>
      <c r="T16" s="666"/>
      <c r="U16" s="667"/>
      <c r="V16" s="666"/>
      <c r="W16" s="667"/>
      <c r="X16" s="1264"/>
      <c r="Y16" s="3382"/>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82"/>
      <c r="Q17" s="1262" t="str">
        <f>B17</f>
        <v>商业繁华度</v>
      </c>
      <c r="R17" s="666" t="s">
        <v>14</v>
      </c>
      <c r="S17" s="667">
        <f>F17</f>
        <v>100</v>
      </c>
      <c r="T17" s="666" t="s">
        <v>14</v>
      </c>
      <c r="U17" s="667">
        <f>H17</f>
        <v>100</v>
      </c>
      <c r="V17" s="666" t="s">
        <v>14</v>
      </c>
      <c r="W17" s="667">
        <f>J17</f>
        <v>100</v>
      </c>
      <c r="X17" s="1264"/>
      <c r="Y17" s="3382"/>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82"/>
      <c r="Q18" s="1262"/>
      <c r="R18" s="666"/>
      <c r="S18" s="667"/>
      <c r="T18" s="666"/>
      <c r="U18" s="667"/>
      <c r="V18" s="666"/>
      <c r="W18" s="667"/>
      <c r="X18" s="1264"/>
      <c r="Y18" s="3382"/>
      <c r="Z18" s="1263"/>
      <c r="AA18" s="1263">
        <v>1</v>
      </c>
      <c r="AB18" s="1263">
        <v>1</v>
      </c>
      <c r="AC18" s="1263">
        <v>1</v>
      </c>
    </row>
    <row r="19" spans="1:29" ht="15">
      <c r="A19" s="366"/>
      <c r="B19" s="389" t="s">
        <v>1811</v>
      </c>
      <c r="C19" s="1805" t="str">
        <f>估价对象房地状况!C17</f>
        <v>一般</v>
      </c>
      <c r="D19" s="393">
        <v>100</v>
      </c>
      <c r="E19" s="395"/>
      <c r="F19" s="393">
        <f>SUMIF(91:91,E20,92:92)-SUMIF(91:91,C20,92:92)+100</f>
        <v>105</v>
      </c>
      <c r="G19" s="395"/>
      <c r="H19" s="388">
        <f>SUMIF(91:91,G20,92:92)-SUMIF(91:91,C20,92:92)+100</f>
        <v>105</v>
      </c>
      <c r="I19" s="397"/>
      <c r="J19" s="388">
        <f>SUMIF(91:91,I20,92:92)-SUMIF(91:91,C20,92:92)+100</f>
        <v>105</v>
      </c>
      <c r="K19" s="592">
        <v>5</v>
      </c>
      <c r="L19" s="2489"/>
      <c r="M19" s="2484"/>
      <c r="N19" s="2484"/>
      <c r="O19" s="2539"/>
      <c r="P19" s="3382"/>
      <c r="Q19" s="1262" t="str">
        <f>B19</f>
        <v>办公集聚程度</v>
      </c>
      <c r="R19" s="666" t="s">
        <v>14</v>
      </c>
      <c r="S19" s="667">
        <f>F19</f>
        <v>105</v>
      </c>
      <c r="T19" s="666" t="s">
        <v>14</v>
      </c>
      <c r="U19" s="667">
        <f>H19</f>
        <v>105</v>
      </c>
      <c r="V19" s="666" t="s">
        <v>14</v>
      </c>
      <c r="W19" s="667">
        <f>J19</f>
        <v>105</v>
      </c>
      <c r="X19" s="1264"/>
      <c r="Y19" s="3382"/>
      <c r="Z19" s="1263" t="str">
        <f>Q19</f>
        <v>办公集聚程度</v>
      </c>
      <c r="AA19" s="1263">
        <f t="shared" si="3"/>
        <v>0.95238095238095233</v>
      </c>
      <c r="AB19" s="1263">
        <f t="shared" si="4"/>
        <v>0.95238095238095233</v>
      </c>
      <c r="AC19" s="1263">
        <f t="shared" si="5"/>
        <v>0.95238095238095233</v>
      </c>
    </row>
    <row r="20" spans="1:29" ht="15">
      <c r="A20" s="366"/>
      <c r="B20" s="394"/>
      <c r="C20" s="385" t="s">
        <v>3404</v>
      </c>
      <c r="D20" s="386"/>
      <c r="E20" s="1751" t="s">
        <v>3405</v>
      </c>
      <c r="F20" s="386"/>
      <c r="G20" s="1751" t="s">
        <v>3405</v>
      </c>
      <c r="H20" s="386"/>
      <c r="I20" s="1750" t="s">
        <v>3405</v>
      </c>
      <c r="J20" s="386"/>
      <c r="K20" s="591"/>
      <c r="L20" s="2489"/>
      <c r="M20" s="2484"/>
      <c r="N20" s="2484"/>
      <c r="O20" s="2539"/>
      <c r="P20" s="3382"/>
      <c r="Q20" s="1262"/>
      <c r="R20" s="666"/>
      <c r="S20" s="667"/>
      <c r="T20" s="666"/>
      <c r="U20" s="667"/>
      <c r="V20" s="666"/>
      <c r="W20" s="667"/>
      <c r="X20" s="1264"/>
      <c r="Y20" s="3382"/>
      <c r="Z20" s="1263"/>
      <c r="AA20" s="1263">
        <v>1</v>
      </c>
      <c r="AB20" s="1263">
        <v>1</v>
      </c>
      <c r="AC20" s="1263">
        <v>1</v>
      </c>
    </row>
    <row r="21" spans="1:29" ht="15">
      <c r="A21" s="366"/>
      <c r="B21" s="389" t="s">
        <v>1833</v>
      </c>
      <c r="C21" s="1753" t="str">
        <f>估价对象房地状况!C18</f>
        <v>一般</v>
      </c>
      <c r="D21" s="388">
        <v>100</v>
      </c>
      <c r="E21" s="390"/>
      <c r="F21" s="393">
        <f>SUMIF(93:93,E22,94:94)-SUMIF(93:93,C22,94:94)+100</f>
        <v>103</v>
      </c>
      <c r="G21" s="390"/>
      <c r="H21" s="388">
        <f>SUMIF(93:93,G22,94:94)-SUMIF(93:93,C22,94:94)+100</f>
        <v>103</v>
      </c>
      <c r="I21" s="392"/>
      <c r="J21" s="388">
        <f>SUMIF(93:93,I22,94:94)-SUMIF(93:93,C22,94:94)+100</f>
        <v>103</v>
      </c>
      <c r="K21" s="592">
        <v>3</v>
      </c>
      <c r="L21" s="2489"/>
      <c r="M21" s="2484"/>
      <c r="N21" s="2484"/>
      <c r="O21" s="2539"/>
      <c r="P21" s="3382"/>
      <c r="Q21" s="1262" t="str">
        <f>B21</f>
        <v>交通便捷度</v>
      </c>
      <c r="R21" s="666" t="s">
        <v>14</v>
      </c>
      <c r="S21" s="667">
        <f>F21</f>
        <v>103</v>
      </c>
      <c r="T21" s="666" t="s">
        <v>14</v>
      </c>
      <c r="U21" s="667">
        <f>H21</f>
        <v>103</v>
      </c>
      <c r="V21" s="666" t="s">
        <v>14</v>
      </c>
      <c r="W21" s="667">
        <f>J21</f>
        <v>103</v>
      </c>
      <c r="X21" s="1264"/>
      <c r="Y21" s="3382"/>
      <c r="Z21" s="1263" t="str">
        <f>Q21</f>
        <v>交通便捷度</v>
      </c>
      <c r="AA21" s="1263">
        <f t="shared" si="3"/>
        <v>0.970873786407767</v>
      </c>
      <c r="AB21" s="1263">
        <f t="shared" si="4"/>
        <v>0.970873786407767</v>
      </c>
      <c r="AC21" s="1263">
        <f t="shared" si="5"/>
        <v>0.970873786407767</v>
      </c>
    </row>
    <row r="22" spans="1:29" ht="15">
      <c r="A22" s="366"/>
      <c r="B22" s="585"/>
      <c r="C22" s="385" t="s">
        <v>3404</v>
      </c>
      <c r="D22" s="388"/>
      <c r="E22" s="1751" t="s">
        <v>3405</v>
      </c>
      <c r="F22" s="386"/>
      <c r="G22" s="1751" t="s">
        <v>3405</v>
      </c>
      <c r="H22" s="386"/>
      <c r="I22" s="1750" t="s">
        <v>3405</v>
      </c>
      <c r="J22" s="386"/>
      <c r="K22" s="591"/>
      <c r="L22" s="2489"/>
      <c r="M22" s="2484"/>
      <c r="N22" s="2484"/>
      <c r="O22" s="2539"/>
      <c r="P22" s="3382"/>
      <c r="Q22" s="1262"/>
      <c r="R22" s="666"/>
      <c r="S22" s="667"/>
      <c r="T22" s="666"/>
      <c r="U22" s="667"/>
      <c r="V22" s="666"/>
      <c r="W22" s="667"/>
      <c r="X22" s="1264"/>
      <c r="Y22" s="3382"/>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89"/>
      <c r="M23" s="2484"/>
      <c r="N23" s="2484"/>
      <c r="O23" s="2539"/>
      <c r="P23" s="3382"/>
      <c r="Q23" s="1262" t="str">
        <f t="shared" ref="Q23:Q37" si="8">B23</f>
        <v>区域土地利用方向</v>
      </c>
      <c r="R23" s="666" t="s">
        <v>14</v>
      </c>
      <c r="S23" s="667">
        <f>F23</f>
        <v>100</v>
      </c>
      <c r="T23" s="666" t="s">
        <v>14</v>
      </c>
      <c r="U23" s="667">
        <f>H23</f>
        <v>100</v>
      </c>
      <c r="V23" s="666" t="s">
        <v>14</v>
      </c>
      <c r="W23" s="667">
        <f>J23</f>
        <v>100</v>
      </c>
      <c r="X23" s="1264"/>
      <c r="Y23" s="3382"/>
      <c r="Z23" s="1263" t="str">
        <f>Q23</f>
        <v>区域土地利用方向</v>
      </c>
      <c r="AA23" s="1263">
        <f t="shared" si="3"/>
        <v>1</v>
      </c>
      <c r="AB23" s="1263">
        <f t="shared" si="4"/>
        <v>1</v>
      </c>
      <c r="AC23" s="1263">
        <f t="shared" si="5"/>
        <v>1</v>
      </c>
    </row>
    <row r="24" spans="1:29" ht="15">
      <c r="A24" s="347"/>
      <c r="B24" s="394"/>
      <c r="C24" s="541" t="s">
        <v>3405</v>
      </c>
      <c r="D24" s="386"/>
      <c r="E24" s="1751" t="s">
        <v>3405</v>
      </c>
      <c r="F24" s="386"/>
      <c r="G24" s="1750" t="s">
        <v>3405</v>
      </c>
      <c r="H24" s="386"/>
      <c r="I24" s="1750" t="s">
        <v>3405</v>
      </c>
      <c r="J24" s="386"/>
      <c r="K24" s="697"/>
      <c r="L24" s="2489"/>
      <c r="M24" s="2484"/>
      <c r="N24" s="2484"/>
      <c r="O24" s="2539"/>
      <c r="P24" s="3382"/>
      <c r="Q24" s="1262"/>
      <c r="R24" s="666"/>
      <c r="S24" s="667"/>
      <c r="T24" s="666"/>
      <c r="U24" s="667"/>
      <c r="V24" s="666"/>
      <c r="W24" s="667"/>
      <c r="X24" s="1264"/>
      <c r="Y24" s="3382"/>
      <c r="Z24" s="1263"/>
      <c r="AA24" s="1263"/>
      <c r="AB24" s="1263"/>
      <c r="AC24" s="1263"/>
    </row>
    <row r="25" spans="1:29" ht="28.8">
      <c r="A25" s="347"/>
      <c r="B25" s="585" t="s">
        <v>1872</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v>2</v>
      </c>
      <c r="L25" s="2489"/>
      <c r="M25" s="2484"/>
      <c r="N25" s="2484"/>
      <c r="O25" s="2539"/>
      <c r="P25" s="3382"/>
      <c r="Q25" s="1262" t="str">
        <f t="shared" si="8"/>
        <v>自然及人文环境状况</v>
      </c>
      <c r="R25" s="666" t="s">
        <v>14</v>
      </c>
      <c r="S25" s="667">
        <f>F25</f>
        <v>100</v>
      </c>
      <c r="T25" s="666" t="s">
        <v>14</v>
      </c>
      <c r="U25" s="667">
        <f>H25</f>
        <v>100</v>
      </c>
      <c r="V25" s="666" t="s">
        <v>14</v>
      </c>
      <c r="W25" s="667">
        <f>J25</f>
        <v>100</v>
      </c>
      <c r="X25" s="1264"/>
      <c r="Y25" s="3382"/>
      <c r="Z25" s="1263" t="str">
        <f>Q25</f>
        <v>自然及人文环境状况</v>
      </c>
      <c r="AA25" s="1263">
        <f t="shared" si="3"/>
        <v>1</v>
      </c>
      <c r="AB25" s="1263">
        <f t="shared" si="4"/>
        <v>1</v>
      </c>
      <c r="AC25" s="1263">
        <f t="shared" si="5"/>
        <v>1</v>
      </c>
    </row>
    <row r="26" spans="1:29" ht="15">
      <c r="A26" s="347"/>
      <c r="B26" s="394"/>
      <c r="C26" s="385" t="s">
        <v>3405</v>
      </c>
      <c r="D26" s="386"/>
      <c r="E26" s="1757" t="s">
        <v>3405</v>
      </c>
      <c r="F26" s="386"/>
      <c r="G26" s="1757" t="s">
        <v>3405</v>
      </c>
      <c r="H26" s="386"/>
      <c r="I26" s="385" t="s">
        <v>3405</v>
      </c>
      <c r="J26" s="386"/>
      <c r="K26" s="591"/>
      <c r="L26" s="2489"/>
      <c r="M26" s="2484"/>
      <c r="N26" s="2484"/>
      <c r="O26" s="2539"/>
      <c r="P26" s="3382"/>
      <c r="Q26" s="1262"/>
      <c r="R26" s="666"/>
      <c r="S26" s="667"/>
      <c r="T26" s="666"/>
      <c r="U26" s="667"/>
      <c r="V26" s="666"/>
      <c r="W26" s="667"/>
      <c r="X26" s="1264"/>
      <c r="Y26" s="3382"/>
      <c r="Z26" s="1263"/>
      <c r="AA26" s="1263">
        <v>1</v>
      </c>
      <c r="AB26" s="1263">
        <v>1</v>
      </c>
      <c r="AC26" s="1263">
        <v>1</v>
      </c>
    </row>
    <row r="27" spans="1:29" s="102" customFormat="1" ht="15">
      <c r="A27" s="442"/>
      <c r="B27" s="585" t="s">
        <v>1778</v>
      </c>
      <c r="C27" s="175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v>2</v>
      </c>
      <c r="L27" s="2485"/>
      <c r="M27" s="2437"/>
      <c r="N27" s="2437"/>
      <c r="O27" s="2537"/>
      <c r="P27" s="3382"/>
      <c r="Q27" s="529" t="str">
        <f t="shared" si="8"/>
        <v>公共配套设施</v>
      </c>
      <c r="R27" s="663" t="s">
        <v>14</v>
      </c>
      <c r="S27" s="664">
        <f>F27</f>
        <v>100</v>
      </c>
      <c r="T27" s="663" t="s">
        <v>14</v>
      </c>
      <c r="U27" s="664">
        <f>H27</f>
        <v>100</v>
      </c>
      <c r="V27" s="663" t="s">
        <v>14</v>
      </c>
      <c r="W27" s="664">
        <f>J27</f>
        <v>100</v>
      </c>
      <c r="X27" s="665"/>
      <c r="Y27" s="3382"/>
      <c r="Z27" s="50" t="str">
        <f>Q27</f>
        <v>公共配套设施</v>
      </c>
      <c r="AA27" s="1263">
        <f>D27/F27</f>
        <v>1</v>
      </c>
      <c r="AB27" s="1263">
        <f>D27/H27</f>
        <v>1</v>
      </c>
      <c r="AC27" s="1263">
        <f>D27/J27</f>
        <v>1</v>
      </c>
    </row>
    <row r="28" spans="1:29" s="102" customFormat="1" ht="15">
      <c r="A28" s="442"/>
      <c r="B28" s="394"/>
      <c r="C28" s="1825" t="s">
        <v>3405</v>
      </c>
      <c r="D28" s="386"/>
      <c r="E28" s="1757" t="s">
        <v>3405</v>
      </c>
      <c r="F28" s="386"/>
      <c r="G28" s="1757" t="s">
        <v>3405</v>
      </c>
      <c r="H28" s="386"/>
      <c r="I28" s="385" t="s">
        <v>3405</v>
      </c>
      <c r="J28" s="386"/>
      <c r="K28" s="591"/>
      <c r="L28" s="2485"/>
      <c r="M28" s="2437"/>
      <c r="N28" s="2437"/>
      <c r="O28" s="2537"/>
      <c r="P28" s="3382"/>
      <c r="Q28" s="529"/>
      <c r="R28" s="663"/>
      <c r="S28" s="664"/>
      <c r="T28" s="663"/>
      <c r="U28" s="664"/>
      <c r="V28" s="663"/>
      <c r="W28" s="664"/>
      <c r="X28" s="665"/>
      <c r="Y28" s="3382"/>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382"/>
      <c r="Q29" s="529" t="str">
        <f t="shared" ref="Q29" si="9">B29</f>
        <v>基础设施水平</v>
      </c>
      <c r="R29" s="663" t="s">
        <v>14</v>
      </c>
      <c r="S29" s="664">
        <f>F29</f>
        <v>100</v>
      </c>
      <c r="T29" s="663" t="s">
        <v>14</v>
      </c>
      <c r="U29" s="664">
        <f>H29</f>
        <v>100</v>
      </c>
      <c r="V29" s="663" t="s">
        <v>14</v>
      </c>
      <c r="W29" s="664">
        <f>J29</f>
        <v>100</v>
      </c>
      <c r="X29" s="665"/>
      <c r="Y29" s="3382"/>
      <c r="Z29" s="50" t="str">
        <f>Q29</f>
        <v>基础设施水平</v>
      </c>
      <c r="AA29" s="1263">
        <f>D29/F29</f>
        <v>1</v>
      </c>
      <c r="AB29" s="1263">
        <f>D29/H29</f>
        <v>1</v>
      </c>
      <c r="AC29" s="1263">
        <f>D29/J29</f>
        <v>1</v>
      </c>
    </row>
    <row r="30" spans="1:29" s="102" customFormat="1" ht="15">
      <c r="A30" s="442"/>
      <c r="B30" s="394"/>
      <c r="C30" s="1825" t="s">
        <v>3426</v>
      </c>
      <c r="D30" s="386"/>
      <c r="E30" s="1826" t="s">
        <v>3426</v>
      </c>
      <c r="F30" s="386"/>
      <c r="G30" s="1826" t="s">
        <v>3426</v>
      </c>
      <c r="H30" s="386"/>
      <c r="I30" s="1826" t="s">
        <v>3426</v>
      </c>
      <c r="J30" s="386"/>
      <c r="K30" s="591"/>
      <c r="L30" s="2485"/>
      <c r="M30" s="2437"/>
      <c r="N30" s="2437"/>
      <c r="O30" s="2537"/>
      <c r="P30" s="3382"/>
      <c r="Q30" s="529"/>
      <c r="R30" s="663"/>
      <c r="S30" s="664"/>
      <c r="T30" s="663"/>
      <c r="U30" s="664"/>
      <c r="V30" s="663"/>
      <c r="W30" s="664"/>
      <c r="X30" s="665"/>
      <c r="Y30" s="3382"/>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8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2"/>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382"/>
      <c r="Q32" s="1262" t="str">
        <f t="shared" si="8"/>
        <v>毗邻道路的类型与等级</v>
      </c>
      <c r="R32" s="666" t="s">
        <v>14</v>
      </c>
      <c r="S32" s="667">
        <f t="shared" si="10"/>
        <v>100</v>
      </c>
      <c r="T32" s="666" t="s">
        <v>14</v>
      </c>
      <c r="U32" s="667">
        <f t="shared" si="11"/>
        <v>100</v>
      </c>
      <c r="V32" s="666" t="s">
        <v>14</v>
      </c>
      <c r="W32" s="667">
        <f t="shared" si="12"/>
        <v>100</v>
      </c>
      <c r="X32" s="1264"/>
      <c r="Y32" s="3382"/>
      <c r="Z32" s="1263" t="str">
        <f t="shared" si="13"/>
        <v>毗邻道路的类型与等级</v>
      </c>
      <c r="AA32" s="1263">
        <f t="shared" si="3"/>
        <v>1</v>
      </c>
      <c r="AB32" s="1263">
        <f t="shared" si="4"/>
        <v>1</v>
      </c>
      <c r="AC32" s="1263">
        <f t="shared" si="5"/>
        <v>1</v>
      </c>
    </row>
    <row r="33" spans="1:29" ht="15">
      <c r="A33" s="366"/>
      <c r="B33" s="394"/>
      <c r="C33" s="385" t="s">
        <v>3473</v>
      </c>
      <c r="D33" s="386"/>
      <c r="E33" s="1757" t="s">
        <v>3473</v>
      </c>
      <c r="F33" s="386"/>
      <c r="G33" s="1757" t="s">
        <v>3473</v>
      </c>
      <c r="H33" s="386"/>
      <c r="I33" s="385" t="s">
        <v>3473</v>
      </c>
      <c r="J33" s="386"/>
      <c r="K33" s="538"/>
      <c r="L33" s="2489"/>
      <c r="M33" s="2484"/>
      <c r="N33" s="2484"/>
      <c r="O33" s="2539"/>
      <c r="P33" s="3382"/>
      <c r="Q33" s="1262"/>
      <c r="R33" s="666"/>
      <c r="S33" s="667"/>
      <c r="T33" s="666"/>
      <c r="U33" s="667"/>
      <c r="V33" s="666"/>
      <c r="W33" s="667"/>
      <c r="X33" s="1264"/>
      <c r="Y33" s="3382"/>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82"/>
      <c r="Q34" s="1262" t="str">
        <f t="shared" si="8"/>
        <v>土地级别</v>
      </c>
      <c r="R34" s="666" t="s">
        <v>14</v>
      </c>
      <c r="S34" s="667">
        <f t="shared" si="10"/>
        <v>100</v>
      </c>
      <c r="T34" s="666" t="s">
        <v>14</v>
      </c>
      <c r="U34" s="667">
        <f t="shared" si="11"/>
        <v>100</v>
      </c>
      <c r="V34" s="666" t="s">
        <v>14</v>
      </c>
      <c r="W34" s="667">
        <f t="shared" si="12"/>
        <v>100</v>
      </c>
      <c r="X34" s="1264"/>
      <c r="Y34" s="3382"/>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82"/>
      <c r="Q35" s="1262">
        <f t="shared" si="8"/>
        <v>111</v>
      </c>
      <c r="R35" s="666" t="s">
        <v>14</v>
      </c>
      <c r="S35" s="667">
        <f t="shared" si="10"/>
        <v>100</v>
      </c>
      <c r="T35" s="666" t="s">
        <v>14</v>
      </c>
      <c r="U35" s="667">
        <f t="shared" si="11"/>
        <v>100</v>
      </c>
      <c r="V35" s="666" t="s">
        <v>14</v>
      </c>
      <c r="W35" s="667">
        <f t="shared" si="12"/>
        <v>100</v>
      </c>
      <c r="X35" s="1264"/>
      <c r="Y35" s="3382"/>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67" t="s">
        <v>1696</v>
      </c>
      <c r="Q36" s="1262">
        <f t="shared" si="8"/>
        <v>111</v>
      </c>
      <c r="R36" s="666" t="s">
        <v>14</v>
      </c>
      <c r="S36" s="667">
        <f t="shared" si="10"/>
        <v>100</v>
      </c>
      <c r="T36" s="666" t="s">
        <v>14</v>
      </c>
      <c r="U36" s="667">
        <f t="shared" si="11"/>
        <v>100</v>
      </c>
      <c r="V36" s="666" t="s">
        <v>14</v>
      </c>
      <c r="W36" s="667">
        <f t="shared" si="12"/>
        <v>100</v>
      </c>
      <c r="X36" s="1264"/>
      <c r="Y36" s="3386" t="s">
        <v>1696</v>
      </c>
      <c r="Z36" s="1263">
        <f t="shared" si="13"/>
        <v>111</v>
      </c>
      <c r="AA36" s="1263">
        <f t="shared" si="3"/>
        <v>1</v>
      </c>
      <c r="AB36" s="1263">
        <f t="shared" si="4"/>
        <v>1</v>
      </c>
      <c r="AC36" s="1263">
        <f t="shared" si="5"/>
        <v>1</v>
      </c>
    </row>
    <row r="37" spans="1:29" s="407" customFormat="1" ht="15.6"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6"/>
      <c r="Q37" s="1262">
        <f t="shared" si="8"/>
        <v>111</v>
      </c>
      <c r="R37" s="668" t="s">
        <v>14</v>
      </c>
      <c r="S37" s="669">
        <f t="shared" si="10"/>
        <v>100</v>
      </c>
      <c r="T37" s="668" t="s">
        <v>14</v>
      </c>
      <c r="U37" s="669">
        <f t="shared" si="11"/>
        <v>100</v>
      </c>
      <c r="V37" s="668" t="s">
        <v>14</v>
      </c>
      <c r="W37" s="669">
        <f t="shared" si="12"/>
        <v>100</v>
      </c>
      <c r="X37" s="670"/>
      <c r="Y37" s="3386"/>
      <c r="Z37" s="671">
        <f t="shared" si="13"/>
        <v>111</v>
      </c>
      <c r="AA37" s="1263">
        <f t="shared" si="3"/>
        <v>1</v>
      </c>
      <c r="AB37" s="1263">
        <f t="shared" si="4"/>
        <v>1</v>
      </c>
      <c r="AC37" s="1263">
        <f t="shared" si="5"/>
        <v>1</v>
      </c>
    </row>
    <row r="38" spans="1:29" ht="15.6">
      <c r="A38" s="408" t="s">
        <v>1694</v>
      </c>
      <c r="B38" s="394" t="s">
        <v>1874</v>
      </c>
      <c r="C38" s="598"/>
      <c r="D38" s="404">
        <v>100</v>
      </c>
      <c r="E38" s="598">
        <v>7467</v>
      </c>
      <c r="F38" s="404">
        <f>LOOKUP(E38,116:116,117:117)-LOOKUP(C38,116:116,117:117)+100</f>
        <v>100</v>
      </c>
      <c r="G38" s="598">
        <v>67829.210000000006</v>
      </c>
      <c r="H38" s="404">
        <f>LOOKUP(G38,116:116,117:117)-LOOKUP(C38,116:116,117:117)+100</f>
        <v>100</v>
      </c>
      <c r="I38" s="461">
        <v>12629.88</v>
      </c>
      <c r="J38" s="404">
        <f>LOOKUP(I38,116:116,117:117)-LOOKUP(C38,116:116,117:117)+100</f>
        <v>100</v>
      </c>
      <c r="K38" s="538"/>
      <c r="L38" s="2489"/>
      <c r="M38" s="2484"/>
      <c r="N38" s="2484"/>
      <c r="O38" s="2539"/>
      <c r="P38" s="3386"/>
      <c r="Q38" s="1262" t="str">
        <f>B38</f>
        <v>宗地面积</v>
      </c>
      <c r="R38" s="666" t="s">
        <v>14</v>
      </c>
      <c r="S38" s="667">
        <f t="shared" si="10"/>
        <v>100</v>
      </c>
      <c r="T38" s="666" t="s">
        <v>14</v>
      </c>
      <c r="U38" s="667">
        <f t="shared" si="11"/>
        <v>100</v>
      </c>
      <c r="V38" s="666" t="s">
        <v>14</v>
      </c>
      <c r="W38" s="667">
        <f t="shared" si="12"/>
        <v>100</v>
      </c>
      <c r="X38" s="1264"/>
      <c r="Y38" s="3386"/>
      <c r="Z38" s="1263" t="str">
        <f t="shared" si="13"/>
        <v>宗地面积</v>
      </c>
      <c r="AA38" s="1263">
        <f t="shared" si="3"/>
        <v>1</v>
      </c>
      <c r="AB38" s="1263">
        <f t="shared" si="4"/>
        <v>1</v>
      </c>
      <c r="AC38" s="1263">
        <f t="shared" si="5"/>
        <v>1</v>
      </c>
    </row>
    <row r="39" spans="1:29" ht="15">
      <c r="A39" s="408"/>
      <c r="B39" s="363" t="s">
        <v>1875</v>
      </c>
      <c r="C39" s="1759" t="s">
        <v>3474</v>
      </c>
      <c r="D39" s="373">
        <v>100</v>
      </c>
      <c r="E39" s="1759" t="s">
        <v>3474</v>
      </c>
      <c r="F39" s="373">
        <f>SUMIF(118:118,E39,119:119)-SUMIF(118:118,C39,119:119)+100</f>
        <v>100</v>
      </c>
      <c r="G39" s="1759" t="s">
        <v>3474</v>
      </c>
      <c r="H39" s="373">
        <f>SUMIF(118:118,G39,119:119)-SUMIF(118:118,C39,119:119)+100</f>
        <v>100</v>
      </c>
      <c r="I39" s="1759" t="s">
        <v>3474</v>
      </c>
      <c r="J39" s="373">
        <f>SUMIF(118:118,I39,119:119)-SUMIF(118:118,C39,119:119)+100</f>
        <v>100</v>
      </c>
      <c r="K39" s="537">
        <v>2</v>
      </c>
      <c r="L39" s="2489"/>
      <c r="M39" s="2484"/>
      <c r="N39" s="2484"/>
      <c r="O39" s="2539"/>
      <c r="P39" s="3386"/>
      <c r="Q39" s="1262" t="str">
        <f t="shared" ref="Q39:Q45" si="14">B39</f>
        <v>宗地形状</v>
      </c>
      <c r="R39" s="666" t="s">
        <v>14</v>
      </c>
      <c r="S39" s="667">
        <f t="shared" si="10"/>
        <v>100</v>
      </c>
      <c r="T39" s="666" t="s">
        <v>14</v>
      </c>
      <c r="U39" s="667">
        <f t="shared" si="11"/>
        <v>100</v>
      </c>
      <c r="V39" s="666" t="s">
        <v>14</v>
      </c>
      <c r="W39" s="667">
        <f t="shared" si="12"/>
        <v>100</v>
      </c>
      <c r="X39" s="1264"/>
      <c r="Y39" s="3386"/>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6"/>
      <c r="Q40" s="1262" t="str">
        <f t="shared" si="14"/>
        <v>临街宽度及深度</v>
      </c>
      <c r="R40" s="666" t="s">
        <v>14</v>
      </c>
      <c r="S40" s="667">
        <f t="shared" si="10"/>
        <v>100</v>
      </c>
      <c r="T40" s="666" t="s">
        <v>14</v>
      </c>
      <c r="U40" s="667">
        <f t="shared" si="11"/>
        <v>100</v>
      </c>
      <c r="V40" s="666" t="s">
        <v>14</v>
      </c>
      <c r="W40" s="667">
        <f t="shared" si="12"/>
        <v>100</v>
      </c>
      <c r="X40" s="1264"/>
      <c r="Y40" s="3386"/>
      <c r="Z40" s="1263" t="str">
        <f t="shared" si="13"/>
        <v>临街宽度及深度</v>
      </c>
      <c r="AA40" s="1263">
        <f t="shared" si="3"/>
        <v>1</v>
      </c>
      <c r="AB40" s="1263">
        <f t="shared" si="4"/>
        <v>1</v>
      </c>
      <c r="AC40" s="1263">
        <f t="shared" si="5"/>
        <v>1</v>
      </c>
    </row>
    <row r="41" spans="1:29" s="102" customFormat="1" ht="15">
      <c r="A41" s="409"/>
      <c r="B41" s="363" t="s">
        <v>1877</v>
      </c>
      <c r="C41" s="1827" t="s">
        <v>3475</v>
      </c>
      <c r="D41" s="119">
        <v>100</v>
      </c>
      <c r="E41" s="1827" t="s">
        <v>3475</v>
      </c>
      <c r="F41" s="373">
        <f>SUMIF(122:122,E41,123:123)-SUMIF(122:122,C41,123:123)+100</f>
        <v>100</v>
      </c>
      <c r="G41" s="1827" t="s">
        <v>3475</v>
      </c>
      <c r="H41" s="373">
        <f>SUMIF(122:122,G41,123:123)-SUMIF(122:122,C41,123:123)+100</f>
        <v>100</v>
      </c>
      <c r="I41" s="1827" t="s">
        <v>3475</v>
      </c>
      <c r="J41" s="373">
        <f>SUMIF(122:122,I41,123:123)-SUMIF(122:122,C41,123:123)+100</f>
        <v>100</v>
      </c>
      <c r="K41" s="537">
        <v>1</v>
      </c>
      <c r="L41" s="2485"/>
      <c r="M41" s="2437"/>
      <c r="N41" s="2437"/>
      <c r="O41" s="2537"/>
      <c r="P41" s="3386"/>
      <c r="Q41" s="1262" t="str">
        <f t="shared" si="14"/>
        <v>宗地开发程度</v>
      </c>
      <c r="R41" s="663" t="s">
        <v>14</v>
      </c>
      <c r="S41" s="664">
        <f t="shared" si="10"/>
        <v>100</v>
      </c>
      <c r="T41" s="663" t="s">
        <v>14</v>
      </c>
      <c r="U41" s="664">
        <f t="shared" si="11"/>
        <v>100</v>
      </c>
      <c r="V41" s="663" t="s">
        <v>14</v>
      </c>
      <c r="W41" s="664">
        <f t="shared" si="12"/>
        <v>100</v>
      </c>
      <c r="X41" s="665"/>
      <c r="Y41" s="3386"/>
      <c r="Z41" s="50" t="str">
        <f t="shared" si="13"/>
        <v>宗地开发程度</v>
      </c>
      <c r="AA41" s="50">
        <f t="shared" si="3"/>
        <v>1</v>
      </c>
      <c r="AB41" s="50">
        <f t="shared" si="4"/>
        <v>1</v>
      </c>
      <c r="AC41" s="50">
        <f t="shared" si="5"/>
        <v>1</v>
      </c>
    </row>
    <row r="42" spans="1:29" ht="15">
      <c r="A42" s="408"/>
      <c r="B42" s="363" t="s">
        <v>1878</v>
      </c>
      <c r="C42" s="1759" t="s">
        <v>3405</v>
      </c>
      <c r="D42" s="373">
        <v>100</v>
      </c>
      <c r="E42" s="1759" t="s">
        <v>3405</v>
      </c>
      <c r="F42" s="373">
        <f>SUMIF(124:124,E42,125:125)-SUMIF(124:124,C42,125:125)+100</f>
        <v>100</v>
      </c>
      <c r="G42" s="1759" t="s">
        <v>3405</v>
      </c>
      <c r="H42" s="373">
        <f>SUMIF(124:124,G42,125:125)-SUMIF(124:124,C42,125:125)+100</f>
        <v>100</v>
      </c>
      <c r="I42" s="1759" t="s">
        <v>3405</v>
      </c>
      <c r="J42" s="373">
        <f>SUMIF(124:124,I42,125:125)-SUMIF(124:124,C42,125:125)+100</f>
        <v>100</v>
      </c>
      <c r="K42" s="537">
        <v>2</v>
      </c>
      <c r="L42" s="2489"/>
      <c r="M42" s="2484"/>
      <c r="N42" s="2484"/>
      <c r="O42" s="2539"/>
      <c r="P42" s="3386" t="s">
        <v>1696</v>
      </c>
      <c r="Q42" s="1262" t="str">
        <f t="shared" si="14"/>
        <v>工程地质条件</v>
      </c>
      <c r="R42" s="666" t="s">
        <v>14</v>
      </c>
      <c r="S42" s="667">
        <f t="shared" si="10"/>
        <v>100</v>
      </c>
      <c r="T42" s="666" t="s">
        <v>14</v>
      </c>
      <c r="U42" s="667">
        <f t="shared" si="11"/>
        <v>100</v>
      </c>
      <c r="V42" s="666" t="s">
        <v>14</v>
      </c>
      <c r="W42" s="667">
        <f t="shared" si="12"/>
        <v>100</v>
      </c>
      <c r="X42" s="1264"/>
      <c r="Y42" s="3386"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6"/>
      <c r="Q43" s="1262">
        <f t="shared" si="14"/>
        <v>111</v>
      </c>
      <c r="R43" s="666" t="s">
        <v>14</v>
      </c>
      <c r="S43" s="667">
        <f t="shared" si="10"/>
        <v>100</v>
      </c>
      <c r="T43" s="666" t="s">
        <v>14</v>
      </c>
      <c r="U43" s="667">
        <f t="shared" si="11"/>
        <v>100</v>
      </c>
      <c r="V43" s="666" t="s">
        <v>14</v>
      </c>
      <c r="W43" s="667">
        <f t="shared" si="12"/>
        <v>100</v>
      </c>
      <c r="X43" s="1264"/>
      <c r="Y43" s="3386"/>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6"/>
      <c r="Q44" s="1262">
        <f t="shared" si="14"/>
        <v>111</v>
      </c>
      <c r="R44" s="666" t="s">
        <v>14</v>
      </c>
      <c r="S44" s="667">
        <f t="shared" si="10"/>
        <v>100</v>
      </c>
      <c r="T44" s="666" t="s">
        <v>14</v>
      </c>
      <c r="U44" s="667">
        <f t="shared" si="11"/>
        <v>100</v>
      </c>
      <c r="V44" s="666" t="s">
        <v>14</v>
      </c>
      <c r="W44" s="667">
        <f t="shared" si="12"/>
        <v>100</v>
      </c>
      <c r="X44" s="1264"/>
      <c r="Y44" s="3386"/>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6"/>
      <c r="Q45" s="1262">
        <f t="shared" si="14"/>
        <v>111</v>
      </c>
      <c r="R45" s="668" t="s">
        <v>14</v>
      </c>
      <c r="S45" s="669">
        <f t="shared" si="10"/>
        <v>100</v>
      </c>
      <c r="T45" s="668" t="s">
        <v>14</v>
      </c>
      <c r="U45" s="669">
        <f t="shared" si="11"/>
        <v>100</v>
      </c>
      <c r="V45" s="668" t="s">
        <v>14</v>
      </c>
      <c r="W45" s="669">
        <f t="shared" si="12"/>
        <v>100</v>
      </c>
      <c r="X45" s="670"/>
      <c r="Y45" s="3386"/>
      <c r="Z45" s="671">
        <f t="shared" si="13"/>
        <v>111</v>
      </c>
      <c r="AA45" s="1263">
        <f t="shared" si="3"/>
        <v>1</v>
      </c>
      <c r="AB45" s="1263">
        <f t="shared" si="4"/>
        <v>1</v>
      </c>
      <c r="AC45" s="1263">
        <f t="shared" si="5"/>
        <v>1</v>
      </c>
    </row>
    <row r="46" spans="1:29" ht="14.4">
      <c r="A46" s="415" t="s">
        <v>1844</v>
      </c>
      <c r="B46" s="1829" t="s">
        <v>1879</v>
      </c>
      <c r="C46" s="601" t="s">
        <v>0</v>
      </c>
      <c r="D46" s="417"/>
      <c r="E46" s="418">
        <v>22692</v>
      </c>
      <c r="F46" s="419"/>
      <c r="G46" s="420">
        <v>22811</v>
      </c>
      <c r="H46" s="421"/>
      <c r="I46" s="418">
        <v>20750</v>
      </c>
      <c r="J46" s="421"/>
      <c r="K46" s="673"/>
      <c r="L46" s="2491"/>
      <c r="M46" s="2484"/>
      <c r="N46" s="2484"/>
      <c r="O46" s="2484"/>
      <c r="P46" s="3374" t="str">
        <f>A46</f>
        <v>成交单价</v>
      </c>
      <c r="Q46" s="3374"/>
      <c r="R46" s="3375">
        <f>E46</f>
        <v>22692</v>
      </c>
      <c r="S46" s="3375"/>
      <c r="T46" s="3375">
        <f>G46</f>
        <v>22811</v>
      </c>
      <c r="U46" s="3375"/>
      <c r="V46" s="3375">
        <f>I46</f>
        <v>20750</v>
      </c>
      <c r="W46" s="3375"/>
      <c r="X46" s="384"/>
      <c r="Y46" s="672"/>
      <c r="Z46" s="384"/>
      <c r="AA46" s="384"/>
      <c r="AB46" s="384"/>
      <c r="AC46" s="384"/>
    </row>
    <row r="47" spans="1:29" ht="15" thickBot="1">
      <c r="A47" s="422" t="s">
        <v>1793</v>
      </c>
      <c r="B47" s="602"/>
      <c r="C47" s="425">
        <f>R48</f>
        <v>16079</v>
      </c>
      <c r="D47" s="2140" t="s">
        <v>2137</v>
      </c>
      <c r="E47" s="425">
        <f>R47</f>
        <v>16521</v>
      </c>
      <c r="F47" s="2141"/>
      <c r="G47" s="424">
        <f>T47</f>
        <v>16608</v>
      </c>
      <c r="H47" s="2141"/>
      <c r="I47" s="425">
        <f>V47</f>
        <v>15107</v>
      </c>
      <c r="J47" s="2141"/>
      <c r="K47" s="2143">
        <f>F47+H47+J47</f>
        <v>0</v>
      </c>
      <c r="L47" s="2491"/>
      <c r="M47" s="2484"/>
      <c r="N47" s="2484"/>
      <c r="O47" s="2484"/>
      <c r="P47" s="3374" t="str">
        <f>A47</f>
        <v>比较价值（元/平方米）</v>
      </c>
      <c r="Q47" s="3374"/>
      <c r="R47" s="3475">
        <f>ROUND(PRODUCT(R46,AA7:AA45),0)</f>
        <v>16521</v>
      </c>
      <c r="S47" s="3475"/>
      <c r="T47" s="3475">
        <f>ROUND(PRODUCT(T46,AB7:AB45),0)</f>
        <v>16608</v>
      </c>
      <c r="U47" s="3475"/>
      <c r="V47" s="3475">
        <f>ROUND(PRODUCT(V46,AC7:AC45),0)</f>
        <v>15107</v>
      </c>
      <c r="W47" s="3475"/>
      <c r="X47" s="384"/>
      <c r="Y47" s="384"/>
      <c r="Z47" s="384"/>
      <c r="AA47" s="384"/>
      <c r="AB47" s="384"/>
      <c r="AC47" s="384"/>
    </row>
    <row r="48" spans="1:29" ht="15" thickBot="1">
      <c r="A48" s="426" t="s">
        <v>1880</v>
      </c>
      <c r="B48" s="427"/>
      <c r="C48" s="428">
        <f>R48</f>
        <v>16079</v>
      </c>
      <c r="D48" s="428"/>
      <c r="E48" s="428"/>
      <c r="F48" s="428"/>
      <c r="G48" s="428"/>
      <c r="H48" s="428"/>
      <c r="I48" s="428"/>
      <c r="J48" s="428"/>
      <c r="K48" s="674"/>
      <c r="L48" s="2491"/>
      <c r="M48" s="2484"/>
      <c r="N48" s="2484"/>
      <c r="O48" s="2484"/>
      <c r="P48" s="3376" t="str">
        <f>A48</f>
        <v>估价对象XX用房的比较价值（楼面单价，元/平方米）</v>
      </c>
      <c r="Q48" s="3377"/>
      <c r="R48" s="3474">
        <f>ROUND(IF(D47="简单平均",AVERAGE(R47:W47),R47*F47+T47*H47+V47*J47),0)</f>
        <v>16079</v>
      </c>
      <c r="S48" s="3474"/>
      <c r="T48" s="3474"/>
      <c r="U48" s="3474"/>
      <c r="V48" s="3474"/>
      <c r="W48" s="3474"/>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0.37352460504812068</v>
      </c>
      <c r="F51" s="434" t="str">
        <f>IF(OR(E51&gt;=0.3,E51&lt;=-0.3),"超过30%","")</f>
        <v>超过30%</v>
      </c>
      <c r="G51" s="433">
        <f>IF(G46&lt;G47,G47/G46-1,G46/G47-1)</f>
        <v>0.37349470134874752</v>
      </c>
      <c r="H51" s="434" t="str">
        <f>IF(OR(G51&gt;=0.3,G51&lt;=-0.3),"超过30%","")</f>
        <v>超过30%</v>
      </c>
      <c r="I51" s="433">
        <f>IF(I46&lt;I47,I47/I46-1,I46/I47-1)</f>
        <v>0.37353544714370823</v>
      </c>
      <c r="J51" s="434" t="str">
        <f>IF(OR(I51&gt;=0.3,I51&lt;=-0.3),"超过30%","")</f>
        <v>超过30%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5.2660250590157442E-3</v>
      </c>
      <c r="F52" s="434" t="str">
        <f>IF(OR(E52&gt;=0.2,E52&lt;=-0.2),"超过20%","")</f>
        <v/>
      </c>
      <c r="G52" s="433">
        <f>IF(G47&lt;I47,I47/G47-1,G47/I47-1)</f>
        <v>9.9357913550010002E-2</v>
      </c>
      <c r="H52" s="434" t="str">
        <f>IF(OR(G52&gt;=0.2,G52&lt;=-0.2),"超过20%","")</f>
        <v/>
      </c>
      <c r="I52" s="433">
        <f>IF(I47&lt;E47,E47/I47-1,I47/E47-1)</f>
        <v>9.3598993843913458E-2</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92" t="s">
        <v>1887</v>
      </c>
      <c r="H55" s="3469"/>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16079</v>
      </c>
      <c r="C56" s="609">
        <v>1</v>
      </c>
      <c r="D56" s="889">
        <v>1</v>
      </c>
      <c r="E56" s="609">
        <f>'数据-汇总表'!E8+'数据-汇总表'!E9</f>
        <v>1106.44</v>
      </c>
      <c r="F56" s="832">
        <f t="shared" ref="F56:F64" si="15">ROUND(B56*E56/10000,0)</f>
        <v>1779</v>
      </c>
      <c r="G56" s="3388"/>
      <c r="H56" s="337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0</v>
      </c>
      <c r="C57" s="163">
        <f t="shared" ref="C57:C64" si="16">IF($C$55="北京市系数",I57,J57)</f>
        <v>0</v>
      </c>
      <c r="D57" s="890">
        <v>0.25</v>
      </c>
      <c r="E57" s="613"/>
      <c r="F57" s="832">
        <f t="shared" si="15"/>
        <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0</v>
      </c>
      <c r="C58" s="163">
        <f t="shared" si="16"/>
        <v>0</v>
      </c>
      <c r="D58" s="890">
        <v>0.25</v>
      </c>
      <c r="E58" s="613"/>
      <c r="F58" s="832">
        <f t="shared" si="15"/>
        <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0</v>
      </c>
      <c r="C59" s="163">
        <f t="shared" si="16"/>
        <v>0</v>
      </c>
      <c r="D59" s="890">
        <v>0.25</v>
      </c>
      <c r="E59" s="613"/>
      <c r="F59" s="832">
        <f t="shared" si="15"/>
        <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0</v>
      </c>
      <c r="C60" s="163">
        <f t="shared" si="16"/>
        <v>0</v>
      </c>
      <c r="D60" s="890">
        <v>0.25</v>
      </c>
      <c r="E60" s="208">
        <f>'数据-汇总表'!E11</f>
        <v>0</v>
      </c>
      <c r="F60" s="832">
        <f t="shared" si="15"/>
        <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0</v>
      </c>
      <c r="C61" s="163">
        <f t="shared" si="16"/>
        <v>0</v>
      </c>
      <c r="D61" s="890">
        <v>0.25</v>
      </c>
      <c r="E61" s="208">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3">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0</v>
      </c>
      <c r="C63" s="163">
        <f t="shared" si="16"/>
        <v>0</v>
      </c>
      <c r="D63" s="890">
        <v>0.25</v>
      </c>
      <c r="E63" s="208">
        <f>'数据-汇总表'!E14</f>
        <v>0</v>
      </c>
      <c r="F63" s="832">
        <f t="shared" si="15"/>
        <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f t="shared" si="17"/>
        <v>0</v>
      </c>
      <c r="C64" s="163">
        <f t="shared" si="16"/>
        <v>0</v>
      </c>
      <c r="D64" s="890">
        <v>0.25</v>
      </c>
      <c r="E64" s="208">
        <f>'数据-汇总表'!E15</f>
        <v>0</v>
      </c>
      <c r="F64" s="832">
        <f t="shared" si="15"/>
        <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1106.44</v>
      </c>
      <c r="F65" s="616">
        <f>IF(B46="楼面地价",SUM(F56:F64),ROUND(C48*E65/10000,0))</f>
        <v>1779</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5"/>
      <c r="Q70" s="2437"/>
      <c r="R70" s="2437"/>
      <c r="S70" s="2437"/>
      <c r="T70" s="2437"/>
      <c r="U70" s="2437"/>
      <c r="V70" s="2437"/>
      <c r="W70" s="2437"/>
      <c r="X70" s="2437"/>
      <c r="Y70" s="2437"/>
      <c r="Z70" s="2437"/>
      <c r="AA70" s="2437"/>
      <c r="AB70" s="2437"/>
      <c r="AC70" s="2437"/>
    </row>
    <row r="71" spans="1:29" s="102"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3157" t="s">
        <v>2802</v>
      </c>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v>100</v>
      </c>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0（含）-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v>0</v>
      </c>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95</v>
      </c>
      <c r="E92" s="474">
        <f>D92-$K19</f>
        <v>90</v>
      </c>
      <c r="F92" s="474">
        <f>E92-$K19</f>
        <v>85</v>
      </c>
      <c r="G92" s="474">
        <f>F92-$K19</f>
        <v>80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69"/>
      <c r="B96" s="473"/>
      <c r="C96" s="511">
        <v>100</v>
      </c>
      <c r="D96" s="474">
        <f>C96-$K23</f>
        <v>98</v>
      </c>
      <c r="E96" s="474">
        <f>D96-$K23</f>
        <v>96</v>
      </c>
      <c r="F96" s="474">
        <f>E96-$K23</f>
        <v>94</v>
      </c>
      <c r="G96" s="474">
        <f>F96-$K23</f>
        <v>92</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69"/>
      <c r="B98" s="473"/>
      <c r="C98" s="474">
        <v>100</v>
      </c>
      <c r="D98" s="474">
        <f>C98-$K25</f>
        <v>98</v>
      </c>
      <c r="E98" s="474">
        <f>D98-$K25</f>
        <v>96</v>
      </c>
      <c r="F98" s="474">
        <f>E98-$K25</f>
        <v>94</v>
      </c>
      <c r="G98" s="474">
        <f>F98-$K25</f>
        <v>92</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98</v>
      </c>
      <c r="E100" s="474">
        <f>D100-$K27</f>
        <v>96</v>
      </c>
      <c r="F100" s="474">
        <f>E100-$K27</f>
        <v>94</v>
      </c>
      <c r="G100" s="474">
        <f>F100-$K27</f>
        <v>92</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3156" t="s">
        <v>3582</v>
      </c>
      <c r="D105" s="3156" t="s">
        <v>3583</v>
      </c>
      <c r="E105" s="3156" t="s">
        <v>3584</v>
      </c>
      <c r="F105" s="3156" t="s">
        <v>3585</v>
      </c>
      <c r="G105" s="3156" t="s">
        <v>3586</v>
      </c>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0(含)-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v>0</v>
      </c>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v>100</v>
      </c>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3158" t="s">
        <v>3587</v>
      </c>
      <c r="D118" s="3158" t="s">
        <v>3588</v>
      </c>
      <c r="E118" s="3158" t="s">
        <v>3589</v>
      </c>
      <c r="F118" s="3158" t="s">
        <v>3590</v>
      </c>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3426</v>
      </c>
      <c r="D122" s="484" t="s">
        <v>3427</v>
      </c>
      <c r="E122" s="484" t="s">
        <v>3475</v>
      </c>
      <c r="F122" s="484" t="s">
        <v>3591</v>
      </c>
      <c r="G122" s="484" t="s">
        <v>3592</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3406</v>
      </c>
      <c r="D124" s="484" t="s">
        <v>3405</v>
      </c>
      <c r="E124" s="512" t="s">
        <v>3404</v>
      </c>
      <c r="F124" s="512" t="s">
        <v>3593</v>
      </c>
      <c r="G124" s="512" t="s">
        <v>3594</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917</v>
      </c>
      <c r="C4" s="3188"/>
      <c r="D4" s="3188"/>
      <c r="E4" s="1390"/>
    </row>
    <row r="5" spans="1:5" ht="16.2" thickTop="1">
      <c r="B5" s="3186" t="s">
        <v>909</v>
      </c>
      <c r="C5" s="1391" t="s">
        <v>910</v>
      </c>
      <c r="D5" s="796">
        <f ca="1">结果表!H101</f>
        <v>900</v>
      </c>
    </row>
    <row r="6" spans="1:5" ht="15.6">
      <c r="B6" s="3186"/>
      <c r="C6" s="1391" t="s">
        <v>911</v>
      </c>
      <c r="D6" s="796" t="str">
        <f ca="1">NUMBERSTRING(INT(D5*10000),2)&amp;"元整"</f>
        <v>玖佰万元整</v>
      </c>
    </row>
    <row r="7" spans="1:5" ht="15.6">
      <c r="B7" s="3191"/>
      <c r="C7" s="1392" t="s">
        <v>912</v>
      </c>
      <c r="D7" s="797">
        <f ca="1">结果表!H102</f>
        <v>8134</v>
      </c>
    </row>
    <row r="8" spans="1:5" ht="15.6">
      <c r="B8" s="3192" t="str">
        <f>结果表!E103</f>
        <v>2.估价师知悉的法定优先受偿款</v>
      </c>
      <c r="C8" s="1393" t="s">
        <v>913</v>
      </c>
      <c r="D8" s="797">
        <f>结果表!H103</f>
        <v>0</v>
      </c>
    </row>
    <row r="9" spans="1:5" ht="15.6">
      <c r="B9" s="319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5" t="str">
        <f>结果表!E107</f>
        <v>3.房地产抵押价值</v>
      </c>
      <c r="C13" s="1396" t="s">
        <v>910</v>
      </c>
      <c r="D13" s="799">
        <f ca="1">结果表!H107</f>
        <v>900</v>
      </c>
    </row>
    <row r="14" spans="1:5" ht="15.6">
      <c r="B14" s="3186"/>
      <c r="C14" s="1391" t="s">
        <v>911</v>
      </c>
      <c r="D14" s="796" t="str">
        <f ca="1">NUMBERSTRING(INT(D13*10000),2)&amp;"元整"</f>
        <v>玖佰万元整</v>
      </c>
    </row>
    <row r="15" spans="1:5" ht="15.6">
      <c r="B15" s="3191"/>
      <c r="C15" s="1392" t="s">
        <v>921</v>
      </c>
      <c r="D15" s="805">
        <f ca="1">结果表!H108</f>
        <v>8134</v>
      </c>
    </row>
    <row r="16" spans="1:5" ht="15.6">
      <c r="B16" s="3192" t="str">
        <f>结果表!E109</f>
        <v>——</v>
      </c>
      <c r="C16" s="1396" t="s">
        <v>922</v>
      </c>
      <c r="D16" s="1397" t="str">
        <f>结果表!H109</f>
        <v>——</v>
      </c>
    </row>
    <row r="17" spans="1:5" ht="15.6">
      <c r="B17" s="3193"/>
      <c r="C17" s="1391" t="s">
        <v>923</v>
      </c>
      <c r="D17" s="796" t="e">
        <f>NUMBERSTRING(INT(D16*10000),2)&amp;"元整"</f>
        <v>#VALUE!</v>
      </c>
    </row>
    <row r="18" spans="1:5" ht="15.6">
      <c r="B18" s="3194"/>
      <c r="C18" s="1392" t="s">
        <v>912</v>
      </c>
      <c r="D18" s="805" t="str">
        <f>结果表!H110</f>
        <v>——</v>
      </c>
    </row>
    <row r="19" spans="1:5" ht="15.6">
      <c r="B19" s="3185" t="str">
        <f>结果表!E111</f>
        <v>——</v>
      </c>
      <c r="C19" s="1396" t="s">
        <v>910</v>
      </c>
      <c r="D19" s="797" t="str">
        <f>结果表!H111</f>
        <v>——</v>
      </c>
    </row>
    <row r="20" spans="1:5" ht="15.6">
      <c r="B20" s="3186"/>
      <c r="C20" s="1391" t="s">
        <v>923</v>
      </c>
      <c r="D20" s="796" t="e">
        <f>NUMBERSTRING(INT(D19*10000),2)&amp;"元整"</f>
        <v>#VALUE!</v>
      </c>
    </row>
    <row r="21" spans="1:5" ht="16.2" thickBot="1">
      <c r="B21" s="318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6"/>
    <col min="2" max="8" width="0" style="3166" hidden="1" customWidth="1"/>
    <col min="9" max="10" width="9.109375" style="3166" bestFit="1" customWidth="1"/>
    <col min="11" max="14" width="0" style="3166" hidden="1" customWidth="1"/>
    <col min="15" max="18" width="9" style="3166"/>
    <col min="19" max="19" width="9.109375" style="3166" bestFit="1" customWidth="1"/>
    <col min="20" max="20" width="9.109375" style="3166" hidden="1" customWidth="1"/>
    <col min="21" max="29" width="0" style="3166" hidden="1" customWidth="1"/>
    <col min="30" max="32" width="11.6640625" style="3166" hidden="1" customWidth="1"/>
    <col min="33" max="33" width="11.6640625" style="3166" bestFit="1" customWidth="1"/>
    <col min="34" max="36" width="9" style="3166"/>
    <col min="37" max="39" width="0" style="3166" hidden="1" customWidth="1"/>
    <col min="40" max="41" width="9.109375" style="3166" hidden="1" customWidth="1"/>
    <col min="42" max="42" width="0" style="3166" hidden="1" customWidth="1"/>
    <col min="43" max="43" width="9.109375" style="3166" bestFit="1" customWidth="1"/>
    <col min="44" max="48" width="9.109375" style="3166" hidden="1" customWidth="1"/>
    <col min="49" max="49" width="9.109375" style="3166" bestFit="1" customWidth="1"/>
    <col min="50" max="51" width="0" style="3166" hidden="1" customWidth="1"/>
    <col min="52" max="52" width="9.109375" style="3166" bestFit="1" customWidth="1"/>
    <col min="53" max="54" width="9" style="3166"/>
    <col min="55" max="55" width="9.109375" style="3166" bestFit="1" customWidth="1"/>
    <col min="56" max="16384" width="9" style="3166"/>
  </cols>
  <sheetData>
    <row r="1" spans="1:61" s="3164" customFormat="1" ht="15">
      <c r="A1" s="3164" t="s">
        <v>3476</v>
      </c>
      <c r="B1" s="3164" t="s">
        <v>3477</v>
      </c>
      <c r="C1" s="3164" t="s">
        <v>3478</v>
      </c>
      <c r="D1" s="3164" t="s">
        <v>3479</v>
      </c>
      <c r="E1" s="3164" t="s">
        <v>3480</v>
      </c>
      <c r="F1" s="3164" t="s">
        <v>3481</v>
      </c>
      <c r="G1" s="3164" t="s">
        <v>3482</v>
      </c>
      <c r="H1" s="3164" t="s">
        <v>3483</v>
      </c>
      <c r="I1" s="3164" t="s">
        <v>3484</v>
      </c>
      <c r="J1" s="3164" t="s">
        <v>3485</v>
      </c>
      <c r="K1" s="3164" t="s">
        <v>3486</v>
      </c>
      <c r="L1" s="3164" t="s">
        <v>3487</v>
      </c>
      <c r="M1" s="3164" t="s">
        <v>3488</v>
      </c>
      <c r="N1" s="3164" t="s">
        <v>3489</v>
      </c>
      <c r="O1" s="3164" t="s">
        <v>3490</v>
      </c>
      <c r="P1" s="3164" t="s">
        <v>3491</v>
      </c>
      <c r="Q1" s="3164" t="s">
        <v>3492</v>
      </c>
      <c r="R1" s="3164" t="s">
        <v>3493</v>
      </c>
      <c r="S1" s="3164" t="s">
        <v>3494</v>
      </c>
      <c r="T1" s="3164" t="s">
        <v>3495</v>
      </c>
      <c r="U1" s="3164" t="s">
        <v>3496</v>
      </c>
      <c r="V1" s="3164" t="s">
        <v>3497</v>
      </c>
      <c r="W1" s="3164" t="s">
        <v>3498</v>
      </c>
      <c r="X1" s="3164" t="s">
        <v>3499</v>
      </c>
      <c r="Y1" s="3164" t="s">
        <v>3500</v>
      </c>
      <c r="Z1" s="3164" t="s">
        <v>3501</v>
      </c>
      <c r="AA1" s="3164" t="s">
        <v>3502</v>
      </c>
      <c r="AB1" s="3164" t="s">
        <v>3503</v>
      </c>
      <c r="AC1" s="3164" t="s">
        <v>3504</v>
      </c>
      <c r="AD1" s="3164" t="s">
        <v>3505</v>
      </c>
      <c r="AE1" s="3164" t="s">
        <v>3506</v>
      </c>
      <c r="AF1" s="3164" t="s">
        <v>3507</v>
      </c>
      <c r="AG1" s="3164" t="s">
        <v>3508</v>
      </c>
      <c r="AH1" s="3164" t="s">
        <v>3509</v>
      </c>
      <c r="AI1" s="3164" t="s">
        <v>3510</v>
      </c>
      <c r="AJ1" s="3164" t="s">
        <v>3511</v>
      </c>
      <c r="AK1" s="3164" t="s">
        <v>3512</v>
      </c>
      <c r="AL1" s="3164" t="s">
        <v>3513</v>
      </c>
      <c r="AM1" s="3164" t="s">
        <v>3514</v>
      </c>
      <c r="AN1" s="3164" t="s">
        <v>3515</v>
      </c>
      <c r="AO1" s="3164" t="s">
        <v>3516</v>
      </c>
      <c r="AP1" s="3164" t="s">
        <v>3517</v>
      </c>
      <c r="AQ1" s="3164" t="s">
        <v>3518</v>
      </c>
      <c r="AR1" s="3164" t="s">
        <v>3519</v>
      </c>
      <c r="AS1" s="3164" t="s">
        <v>3520</v>
      </c>
      <c r="AT1" s="3164" t="s">
        <v>3521</v>
      </c>
      <c r="AU1" s="3164" t="s">
        <v>3522</v>
      </c>
      <c r="AV1" s="3164" t="s">
        <v>3523</v>
      </c>
      <c r="AW1" s="3164" t="s">
        <v>3524</v>
      </c>
      <c r="AX1" s="3164" t="s">
        <v>3525</v>
      </c>
      <c r="AY1" s="3164" t="s">
        <v>3526</v>
      </c>
      <c r="AZ1" s="3164" t="s">
        <v>3527</v>
      </c>
      <c r="BA1" s="3164" t="s">
        <v>3528</v>
      </c>
      <c r="BB1" s="3164" t="s">
        <v>3529</v>
      </c>
      <c r="BC1" s="3164" t="s">
        <v>3530</v>
      </c>
      <c r="BD1" s="3164" t="s">
        <v>3531</v>
      </c>
      <c r="BE1" s="3164" t="s">
        <v>3532</v>
      </c>
      <c r="BF1" s="3164" t="s">
        <v>3533</v>
      </c>
      <c r="BG1" s="3164" t="s">
        <v>3534</v>
      </c>
      <c r="BH1" s="3164" t="s">
        <v>3535</v>
      </c>
      <c r="BI1" s="3164" t="s">
        <v>3536</v>
      </c>
    </row>
    <row r="2" spans="1:61" s="3164" customFormat="1" ht="15">
      <c r="A2" s="3164" t="s">
        <v>3537</v>
      </c>
      <c r="B2" s="3164" t="s">
        <v>3538</v>
      </c>
      <c r="C2" s="3164" t="s">
        <v>3539</v>
      </c>
      <c r="D2" s="3164" t="s">
        <v>3540</v>
      </c>
      <c r="E2" s="3164" t="s">
        <v>3541</v>
      </c>
      <c r="F2" s="3164" t="s">
        <v>3542</v>
      </c>
      <c r="G2" s="3164" t="s">
        <v>3543</v>
      </c>
      <c r="H2" s="3164" t="s">
        <v>3544</v>
      </c>
      <c r="I2" s="3164">
        <v>7467</v>
      </c>
      <c r="J2" s="3164">
        <v>52000</v>
      </c>
      <c r="K2" s="3164" t="s">
        <v>3545</v>
      </c>
      <c r="L2" s="3164" t="s">
        <v>3545</v>
      </c>
      <c r="M2" s="3164">
        <v>0</v>
      </c>
      <c r="N2" s="3164">
        <v>0</v>
      </c>
      <c r="O2" s="3164" t="s">
        <v>3546</v>
      </c>
      <c r="P2" s="3164" t="s">
        <v>3547</v>
      </c>
      <c r="Q2" s="3164" t="s">
        <v>3548</v>
      </c>
      <c r="R2" s="3164" t="s">
        <v>3549</v>
      </c>
      <c r="S2" s="3164" t="s">
        <v>3550</v>
      </c>
      <c r="T2" s="3164">
        <v>7</v>
      </c>
      <c r="U2" s="3164" t="s">
        <v>3545</v>
      </c>
      <c r="V2" s="3164" t="s">
        <v>3545</v>
      </c>
      <c r="W2" s="3164">
        <v>90</v>
      </c>
      <c r="X2" s="3164" t="s">
        <v>3551</v>
      </c>
      <c r="Y2" s="3164" t="s">
        <v>3552</v>
      </c>
      <c r="Z2" s="3164" t="s">
        <v>3545</v>
      </c>
      <c r="AA2" s="3164" t="s">
        <v>3545</v>
      </c>
      <c r="AB2" s="3164" t="s">
        <v>3545</v>
      </c>
      <c r="AC2" s="3164" t="s">
        <v>3545</v>
      </c>
      <c r="AD2" s="3165">
        <v>45254.000497685185</v>
      </c>
      <c r="AE2" s="3165">
        <v>45274.000497685185</v>
      </c>
      <c r="AF2" s="3165">
        <v>45288.000497685185</v>
      </c>
      <c r="AG2" s="3165">
        <v>45288.000497685185</v>
      </c>
      <c r="AH2" s="3164" t="s">
        <v>3553</v>
      </c>
      <c r="AI2" s="3164" t="s">
        <v>3554</v>
      </c>
      <c r="AJ2" s="3164" t="s">
        <v>3555</v>
      </c>
      <c r="AK2" s="3164" t="s">
        <v>3556</v>
      </c>
      <c r="AL2" s="3164" t="s">
        <v>3557</v>
      </c>
      <c r="AM2" s="3164" t="s">
        <v>3545</v>
      </c>
      <c r="AN2" s="3164">
        <v>118000</v>
      </c>
      <c r="AO2" s="3164">
        <v>24000</v>
      </c>
      <c r="AP2" s="3164" t="s">
        <v>3558</v>
      </c>
      <c r="AQ2" s="3164">
        <v>118000</v>
      </c>
      <c r="AR2" s="3164">
        <v>158028.66</v>
      </c>
      <c r="AS2" s="3164">
        <v>158028.66</v>
      </c>
      <c r="AT2" s="3164">
        <v>10535.24</v>
      </c>
      <c r="AU2" s="3164">
        <v>10535.24</v>
      </c>
      <c r="AV2" s="3164">
        <v>22692</v>
      </c>
      <c r="AW2" s="3164">
        <v>22692</v>
      </c>
      <c r="AX2" s="3164" t="s">
        <v>3545</v>
      </c>
      <c r="AY2" s="3164" t="s">
        <v>3545</v>
      </c>
      <c r="AZ2" s="3164">
        <v>0</v>
      </c>
      <c r="BA2" s="3164" t="s">
        <v>3545</v>
      </c>
      <c r="BB2" s="3164" t="s">
        <v>3545</v>
      </c>
      <c r="BC2" s="3164" t="s">
        <v>3545</v>
      </c>
      <c r="BD2" s="3164" t="s">
        <v>3545</v>
      </c>
      <c r="BE2" s="3164" t="s">
        <v>3545</v>
      </c>
      <c r="BF2" s="3164" t="s">
        <v>3545</v>
      </c>
      <c r="BG2" s="3164" t="s">
        <v>3545</v>
      </c>
      <c r="BH2" s="3164" t="s">
        <v>3559</v>
      </c>
      <c r="BI2" s="3164" t="s">
        <v>3560</v>
      </c>
    </row>
    <row r="3" spans="1:61" s="3164" customFormat="1" ht="15">
      <c r="A3" s="3164" t="s">
        <v>3561</v>
      </c>
      <c r="B3" s="3164" t="s">
        <v>3538</v>
      </c>
      <c r="C3" s="3164" t="s">
        <v>3539</v>
      </c>
      <c r="D3" s="3164" t="s">
        <v>3540</v>
      </c>
      <c r="E3" s="3164" t="s">
        <v>3541</v>
      </c>
      <c r="F3" s="3164" t="s">
        <v>3562</v>
      </c>
      <c r="G3" s="3164" t="s">
        <v>3563</v>
      </c>
      <c r="H3" s="3164" t="s">
        <v>3544</v>
      </c>
      <c r="I3" s="3164">
        <v>67829.210000000006</v>
      </c>
      <c r="J3" s="3164">
        <v>298100</v>
      </c>
      <c r="K3" s="3164" t="s">
        <v>3545</v>
      </c>
      <c r="L3" s="3164" t="s">
        <v>3545</v>
      </c>
      <c r="M3" s="3164">
        <v>0</v>
      </c>
      <c r="N3" s="3164">
        <v>0</v>
      </c>
      <c r="O3" s="3164" t="s">
        <v>3546</v>
      </c>
      <c r="P3" s="3164" t="s">
        <v>3564</v>
      </c>
      <c r="Q3" s="3164" t="s">
        <v>3565</v>
      </c>
      <c r="R3" s="3164" t="s">
        <v>3566</v>
      </c>
      <c r="S3" s="3164">
        <v>4.4000000000000004</v>
      </c>
      <c r="T3" s="3164">
        <v>4.4000000000000004</v>
      </c>
      <c r="U3" s="3164" t="s">
        <v>3545</v>
      </c>
      <c r="V3" s="3164" t="s">
        <v>3545</v>
      </c>
      <c r="W3" s="3164" t="s">
        <v>3545</v>
      </c>
      <c r="X3" s="3164" t="s">
        <v>3551</v>
      </c>
      <c r="Y3" s="3164" t="s">
        <v>3552</v>
      </c>
      <c r="Z3" s="3164" t="s">
        <v>3545</v>
      </c>
      <c r="AA3" s="3164" t="s">
        <v>3545</v>
      </c>
      <c r="AB3" s="3164" t="s">
        <v>3545</v>
      </c>
      <c r="AC3" s="3164" t="s">
        <v>3545</v>
      </c>
      <c r="AD3" s="3165">
        <v>45056.000497685185</v>
      </c>
      <c r="AE3" s="3165">
        <v>45076.000497685185</v>
      </c>
      <c r="AF3" s="3165">
        <v>45090.000497685185</v>
      </c>
      <c r="AG3" s="3165">
        <v>45090.000497685185</v>
      </c>
      <c r="AH3" s="3164" t="s">
        <v>3553</v>
      </c>
      <c r="AI3" s="3164" t="s">
        <v>3554</v>
      </c>
      <c r="AJ3" s="3164" t="s">
        <v>3567</v>
      </c>
      <c r="AK3" s="3164" t="s">
        <v>3568</v>
      </c>
      <c r="AL3" s="3164" t="s">
        <v>3569</v>
      </c>
      <c r="AM3" s="3164" t="s">
        <v>3570</v>
      </c>
      <c r="AN3" s="3164">
        <v>680000</v>
      </c>
      <c r="AO3" s="3164">
        <v>136000</v>
      </c>
      <c r="AP3" s="3164" t="s">
        <v>3571</v>
      </c>
      <c r="AQ3" s="3164">
        <v>680000</v>
      </c>
      <c r="AR3" s="3164">
        <v>100251.8</v>
      </c>
      <c r="AS3" s="3164">
        <v>100251.8</v>
      </c>
      <c r="AT3" s="3164">
        <v>6683.45</v>
      </c>
      <c r="AU3" s="3164">
        <v>6683.45</v>
      </c>
      <c r="AV3" s="3164">
        <v>22811</v>
      </c>
      <c r="AW3" s="3164">
        <v>22811</v>
      </c>
      <c r="AX3" s="3164" t="s">
        <v>3545</v>
      </c>
      <c r="AY3" s="3164" t="s">
        <v>3545</v>
      </c>
      <c r="AZ3" s="3164">
        <v>0</v>
      </c>
      <c r="BA3" s="3164" t="s">
        <v>3545</v>
      </c>
      <c r="BB3" s="3164" t="s">
        <v>3545</v>
      </c>
      <c r="BC3" s="3164" t="s">
        <v>3545</v>
      </c>
      <c r="BD3" s="3164" t="s">
        <v>3545</v>
      </c>
      <c r="BE3" s="3164" t="s">
        <v>3545</v>
      </c>
      <c r="BF3" s="3164" t="s">
        <v>3545</v>
      </c>
      <c r="BG3" s="3164" t="s">
        <v>3545</v>
      </c>
      <c r="BH3" s="3164" t="s">
        <v>3559</v>
      </c>
      <c r="BI3" s="3164" t="s">
        <v>3560</v>
      </c>
    </row>
    <row r="4" spans="1:61" s="3164" customFormat="1" ht="15">
      <c r="A4" s="3164" t="s">
        <v>3572</v>
      </c>
      <c r="B4" s="3164" t="s">
        <v>3538</v>
      </c>
      <c r="C4" s="3164" t="s">
        <v>3539</v>
      </c>
      <c r="D4" s="3164" t="s">
        <v>3540</v>
      </c>
      <c r="E4" s="3164" t="s">
        <v>3541</v>
      </c>
      <c r="F4" s="3164" t="s">
        <v>3573</v>
      </c>
      <c r="G4" s="3164" t="s">
        <v>3574</v>
      </c>
      <c r="H4" s="3164" t="s">
        <v>3544</v>
      </c>
      <c r="I4" s="3164">
        <v>12629.88</v>
      </c>
      <c r="J4" s="3164">
        <v>80000</v>
      </c>
      <c r="K4" s="3164" t="s">
        <v>3545</v>
      </c>
      <c r="L4" s="3164" t="s">
        <v>3545</v>
      </c>
      <c r="M4" s="3164">
        <v>0</v>
      </c>
      <c r="N4" s="3164">
        <v>0</v>
      </c>
      <c r="O4" s="3164" t="s">
        <v>3546</v>
      </c>
      <c r="P4" s="3164" t="s">
        <v>3547</v>
      </c>
      <c r="Q4" s="3164" t="s">
        <v>3575</v>
      </c>
      <c r="R4" s="3164" t="s">
        <v>3566</v>
      </c>
      <c r="S4" s="3164" t="s">
        <v>3576</v>
      </c>
      <c r="T4" s="3164">
        <v>6.33</v>
      </c>
      <c r="U4" s="3164" t="s">
        <v>3545</v>
      </c>
      <c r="V4" s="3164">
        <v>0.4</v>
      </c>
      <c r="W4" s="3164" t="s">
        <v>3545</v>
      </c>
      <c r="X4" s="3164" t="s">
        <v>3551</v>
      </c>
      <c r="Y4" s="3164" t="s">
        <v>3552</v>
      </c>
      <c r="Z4" s="3164" t="s">
        <v>3545</v>
      </c>
      <c r="AA4" s="3164" t="s">
        <v>3545</v>
      </c>
      <c r="AB4" s="3164" t="s">
        <v>3545</v>
      </c>
      <c r="AC4" s="3164" t="s">
        <v>3545</v>
      </c>
      <c r="AD4" s="3165">
        <v>44764.000497685185</v>
      </c>
      <c r="AE4" s="3165">
        <v>44784.000497685185</v>
      </c>
      <c r="AF4" s="3165">
        <v>44798.000497685185</v>
      </c>
      <c r="AG4" s="3165">
        <v>44798.000497685185</v>
      </c>
      <c r="AH4" s="3164" t="s">
        <v>3553</v>
      </c>
      <c r="AI4" s="3164" t="s">
        <v>3554</v>
      </c>
      <c r="AJ4" s="3164" t="s">
        <v>3577</v>
      </c>
      <c r="AK4" s="3164" t="s">
        <v>3578</v>
      </c>
      <c r="AL4" s="3164" t="s">
        <v>3579</v>
      </c>
      <c r="AM4" s="3164" t="s">
        <v>3580</v>
      </c>
      <c r="AN4" s="3164">
        <v>166000</v>
      </c>
      <c r="AO4" s="3164">
        <v>34000</v>
      </c>
      <c r="AP4" s="3164" t="s">
        <v>3581</v>
      </c>
      <c r="AQ4" s="3164">
        <v>166000</v>
      </c>
      <c r="AR4" s="3164">
        <v>131434.34</v>
      </c>
      <c r="AS4" s="3164">
        <v>131434.34</v>
      </c>
      <c r="AT4" s="3164">
        <v>8762.2900000000009</v>
      </c>
      <c r="AU4" s="3164">
        <v>8762.2900000000009</v>
      </c>
      <c r="AV4" s="3164">
        <v>20750</v>
      </c>
      <c r="AW4" s="3164">
        <v>20750</v>
      </c>
      <c r="AX4" s="3164" t="s">
        <v>3545</v>
      </c>
      <c r="AY4" s="3164" t="s">
        <v>3545</v>
      </c>
      <c r="AZ4" s="3164">
        <v>0</v>
      </c>
      <c r="BA4" s="3164" t="s">
        <v>3545</v>
      </c>
      <c r="BB4" s="3164" t="s">
        <v>3545</v>
      </c>
      <c r="BC4" s="3164">
        <v>0</v>
      </c>
      <c r="BD4" s="3164" t="s">
        <v>3545</v>
      </c>
      <c r="BE4" s="3164" t="s">
        <v>3545</v>
      </c>
      <c r="BF4" s="3164" t="s">
        <v>3545</v>
      </c>
      <c r="BG4" s="3164" t="s">
        <v>3545</v>
      </c>
      <c r="BH4" s="3164" t="s">
        <v>3559</v>
      </c>
      <c r="BI4" s="3164" t="s">
        <v>3560</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9" t="s">
        <v>2829</v>
      </c>
      <c r="B1" s="3509"/>
      <c r="C1" s="3509"/>
      <c r="D1" s="3509"/>
      <c r="E1" s="3509"/>
      <c r="F1" s="3509"/>
      <c r="G1" s="3510"/>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1.4"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07"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1.4" thickBot="1">
      <c r="A4" s="3508"/>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1.4"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1.4"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1.4"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1.4"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1" t="s">
        <v>3171</v>
      </c>
      <c r="B1" s="3511"/>
    </row>
    <row r="2" spans="1:7" ht="15" thickBot="1">
      <c r="A2" s="2965"/>
      <c r="B2" s="2965"/>
    </row>
    <row r="3" spans="1:7" ht="15" thickBot="1">
      <c r="A3" s="2965"/>
      <c r="B3" s="2965"/>
      <c r="C3" s="2966" t="s">
        <v>2801</v>
      </c>
      <c r="D3" s="2966" t="s">
        <v>2857</v>
      </c>
      <c r="E3" s="2966" t="s">
        <v>2803</v>
      </c>
      <c r="F3" s="2966" t="s">
        <v>2858</v>
      </c>
      <c r="G3" s="2966" t="s">
        <v>2621</v>
      </c>
    </row>
    <row r="4" spans="1:7" ht="1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512" t="s">
        <v>3222</v>
      </c>
      <c r="B1" s="3512"/>
      <c r="C1" s="3512"/>
      <c r="D1" s="3512"/>
      <c r="E1" s="3512"/>
      <c r="F1" s="3513"/>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4">
        <f>基准地价修正!G23</f>
        <v>45734</v>
      </c>
      <c r="B1" s="2926" t="s">
        <v>3367</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30" s="2009" customFormat="1" ht="15" thickBot="1">
      <c r="B2" s="2878"/>
      <c r="C2" s="2879"/>
      <c r="D2" s="2010" t="s">
        <v>2800</v>
      </c>
      <c r="E2" s="2011" t="s">
        <v>2801</v>
      </c>
      <c r="F2" s="2011" t="s">
        <v>2802</v>
      </c>
      <c r="G2" s="2011" t="s">
        <v>2803</v>
      </c>
      <c r="H2" s="2011" t="s">
        <v>2804</v>
      </c>
      <c r="I2" s="2011" t="s">
        <v>2621</v>
      </c>
      <c r="J2" s="2880"/>
      <c r="K2" s="2010" t="s">
        <v>2800</v>
      </c>
      <c r="L2" s="2011" t="s">
        <v>2801</v>
      </c>
      <c r="M2" s="2011" t="s">
        <v>2802</v>
      </c>
      <c r="N2" s="2011" t="s">
        <v>2803</v>
      </c>
      <c r="O2" s="2011" t="s">
        <v>2805</v>
      </c>
      <c r="P2" s="2011" t="s">
        <v>2621</v>
      </c>
      <c r="Q2" s="2880"/>
      <c r="R2" s="2010" t="s">
        <v>2800</v>
      </c>
      <c r="S2" s="2011" t="s">
        <v>2801</v>
      </c>
      <c r="T2" s="2011" t="s">
        <v>2802</v>
      </c>
      <c r="U2" s="2011" t="s">
        <v>2806</v>
      </c>
      <c r="V2" s="2011" t="s">
        <v>2807</v>
      </c>
      <c r="W2" s="2011" t="s">
        <v>2621</v>
      </c>
      <c r="X2" s="2880"/>
      <c r="Y2" s="2010" t="s">
        <v>2800</v>
      </c>
      <c r="Z2" s="2011" t="s">
        <v>2801</v>
      </c>
      <c r="AA2" s="2011" t="s">
        <v>2802</v>
      </c>
      <c r="AB2" s="2011" t="s">
        <v>2808</v>
      </c>
      <c r="AC2" s="2011" t="s">
        <v>2807</v>
      </c>
      <c r="AD2" s="2011" t="s">
        <v>2621</v>
      </c>
    </row>
    <row r="3" spans="1:30" s="2883" customFormat="1" ht="13.2">
      <c r="A3" s="2881" t="s">
        <v>2809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3363</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3372</v>
      </c>
      <c r="B6" s="2905">
        <v>2024</v>
      </c>
      <c r="C6" s="2906">
        <v>4</v>
      </c>
      <c r="D6" s="2907">
        <v>-1.02</v>
      </c>
      <c r="E6" s="2907">
        <v>-0.48</v>
      </c>
      <c r="F6" s="3172">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3371</v>
      </c>
      <c r="B7" s="2030">
        <v>2024</v>
      </c>
      <c r="C7" s="2041">
        <v>3</v>
      </c>
      <c r="D7" s="2006">
        <v>-1.19</v>
      </c>
      <c r="E7" s="2006">
        <v>-0.47</v>
      </c>
      <c r="F7" s="3173">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3364</v>
      </c>
      <c r="B8" s="2030">
        <v>2024</v>
      </c>
      <c r="C8" s="2041">
        <v>2</v>
      </c>
      <c r="D8" s="2006">
        <v>-0.59</v>
      </c>
      <c r="E8" s="2006">
        <v>-0.21</v>
      </c>
      <c r="F8" s="3173">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3362</v>
      </c>
      <c r="B9" s="2030">
        <v>2024</v>
      </c>
      <c r="C9" s="2041">
        <v>1</v>
      </c>
      <c r="D9" s="2006">
        <v>0.08</v>
      </c>
      <c r="E9" s="2006">
        <v>0.46</v>
      </c>
      <c r="F9" s="3173">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3358</v>
      </c>
      <c r="B10" s="2030">
        <v>2023</v>
      </c>
      <c r="C10" s="2041">
        <v>4</v>
      </c>
      <c r="D10" s="2006">
        <v>0.19</v>
      </c>
      <c r="E10" s="2006">
        <v>0.24</v>
      </c>
      <c r="F10" s="3173">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3357</v>
      </c>
      <c r="B11" s="2030">
        <v>2023</v>
      </c>
      <c r="C11" s="2041">
        <v>3</v>
      </c>
      <c r="D11" s="2006">
        <v>0.25</v>
      </c>
      <c r="E11" s="2006">
        <v>0.5</v>
      </c>
      <c r="F11" s="3173">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3355</v>
      </c>
      <c r="B12" s="2030">
        <v>2023</v>
      </c>
      <c r="C12" s="2041">
        <v>2</v>
      </c>
      <c r="D12" s="2006">
        <v>0.91</v>
      </c>
      <c r="E12" s="2006">
        <v>0.66</v>
      </c>
      <c r="F12" s="3173">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3354</v>
      </c>
      <c r="B13" s="2030">
        <v>2023</v>
      </c>
      <c r="C13" s="2041">
        <v>1</v>
      </c>
      <c r="D13" s="2006">
        <v>0.89</v>
      </c>
      <c r="E13" s="2006">
        <v>0.74</v>
      </c>
      <c r="F13" s="3173">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3353</v>
      </c>
      <c r="B14" s="2030">
        <v>2022</v>
      </c>
      <c r="C14" s="2041">
        <v>4</v>
      </c>
      <c r="D14" s="2006">
        <v>0.62</v>
      </c>
      <c r="E14" s="2006">
        <v>0.2</v>
      </c>
      <c r="F14" s="3173">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3351</v>
      </c>
      <c r="B15" s="2030">
        <v>2022</v>
      </c>
      <c r="C15" s="2041">
        <v>3</v>
      </c>
      <c r="D15" s="2006">
        <v>0.66</v>
      </c>
      <c r="E15" s="2006">
        <v>0.32</v>
      </c>
      <c r="F15" s="3173">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3342</v>
      </c>
      <c r="B16" s="2030">
        <v>2022</v>
      </c>
      <c r="C16" s="2041">
        <v>2</v>
      </c>
      <c r="D16" s="2006">
        <v>0.93</v>
      </c>
      <c r="E16" s="2006">
        <v>0.15</v>
      </c>
      <c r="F16" s="3173">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2810</v>
      </c>
      <c r="B17" s="2030">
        <v>2022</v>
      </c>
      <c r="C17" s="2041">
        <v>1</v>
      </c>
      <c r="D17" s="2006">
        <v>0.89</v>
      </c>
      <c r="E17" s="2006">
        <v>0.44</v>
      </c>
      <c r="F17" s="3173">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2811</v>
      </c>
      <c r="B18" s="2030">
        <v>2021</v>
      </c>
      <c r="C18" s="2041">
        <v>4</v>
      </c>
      <c r="D18" s="2006">
        <v>1.03</v>
      </c>
      <c r="E18" s="2006">
        <v>0.24</v>
      </c>
      <c r="F18" s="3173">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2812</v>
      </c>
      <c r="B19" s="2030">
        <v>2021</v>
      </c>
      <c r="C19" s="2041">
        <v>3</v>
      </c>
      <c r="D19" s="2006">
        <v>0.47</v>
      </c>
      <c r="E19" s="2006">
        <v>0.41</v>
      </c>
      <c r="F19" s="3173">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2813</v>
      </c>
      <c r="B20" s="2030">
        <v>2021</v>
      </c>
      <c r="C20" s="2041">
        <v>2</v>
      </c>
      <c r="D20" s="2006">
        <v>0.92</v>
      </c>
      <c r="E20" s="2006">
        <v>0.72</v>
      </c>
      <c r="F20" s="3173">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2814</v>
      </c>
      <c r="B21" s="2916">
        <v>2021</v>
      </c>
      <c r="C21" s="2917">
        <v>1</v>
      </c>
      <c r="D21" s="2918">
        <v>0.97</v>
      </c>
      <c r="E21" s="2918">
        <v>0.16</v>
      </c>
      <c r="F21" s="3174">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3370</v>
      </c>
    </row>
    <row r="24" spans="1:30">
      <c r="I24" s="1404" t="s">
        <v>2815</v>
      </c>
    </row>
    <row r="26" spans="1:30" s="2008" customFormat="1" ht="13.2">
      <c r="B26" s="2926" t="s">
        <v>3368</v>
      </c>
      <c r="C26" s="2927"/>
      <c r="D26" s="2927"/>
      <c r="E26" s="2927"/>
      <c r="F26" s="2927"/>
      <c r="G26" s="2927"/>
      <c r="H26" s="2927"/>
      <c r="I26" s="2927"/>
      <c r="J26" s="2893"/>
      <c r="K26" s="2927" t="s">
        <v>2816</v>
      </c>
      <c r="L26" s="2927"/>
      <c r="M26" s="2927"/>
      <c r="N26" s="2927"/>
      <c r="O26" s="2927"/>
      <c r="P26" s="2927"/>
      <c r="Q26" s="2893"/>
      <c r="R26" s="3514" t="s">
        <v>2817</v>
      </c>
      <c r="S26" s="3515"/>
      <c r="T26" s="3515"/>
      <c r="U26" s="3515"/>
      <c r="V26" s="3515"/>
      <c r="W26" s="3515"/>
      <c r="X26" s="2893"/>
      <c r="Y26" s="3514" t="s">
        <v>2818</v>
      </c>
      <c r="Z26" s="3515"/>
      <c r="AA26" s="3515"/>
      <c r="AB26" s="3515"/>
      <c r="AC26" s="3515"/>
      <c r="AD26" s="3515"/>
    </row>
    <row r="27" spans="1:30" s="2009" customFormat="1" ht="15" thickBot="1">
      <c r="B27" s="2878"/>
      <c r="C27" s="2879"/>
      <c r="D27" s="2010" t="s">
        <v>2819</v>
      </c>
      <c r="E27" s="2011" t="s">
        <v>2820</v>
      </c>
      <c r="F27" s="2011" t="s">
        <v>2821</v>
      </c>
      <c r="G27" s="2011" t="s">
        <v>2822</v>
      </c>
      <c r="H27" s="2011"/>
      <c r="I27" s="2011" t="s">
        <v>2823</v>
      </c>
      <c r="J27" s="2880"/>
      <c r="K27" s="2010" t="s">
        <v>2819</v>
      </c>
      <c r="L27" s="2011" t="s">
        <v>2820</v>
      </c>
      <c r="M27" s="2011" t="s">
        <v>2821</v>
      </c>
      <c r="N27" s="2011" t="s">
        <v>2822</v>
      </c>
      <c r="O27" s="2011"/>
      <c r="P27" s="2011" t="s">
        <v>2823</v>
      </c>
      <c r="Q27" s="2880"/>
      <c r="R27" s="2010" t="s">
        <v>2819</v>
      </c>
      <c r="S27" s="2011" t="s">
        <v>2820</v>
      </c>
      <c r="T27" s="2011" t="s">
        <v>2821</v>
      </c>
      <c r="U27" s="2011" t="s">
        <v>2822</v>
      </c>
      <c r="V27" s="2011"/>
      <c r="W27" s="2011" t="s">
        <v>2823</v>
      </c>
      <c r="X27" s="2880"/>
      <c r="Y27" s="2010" t="s">
        <v>2819</v>
      </c>
      <c r="Z27" s="2011" t="s">
        <v>2820</v>
      </c>
      <c r="AA27" s="2011" t="s">
        <v>2821</v>
      </c>
      <c r="AB27" s="2011" t="s">
        <v>2822</v>
      </c>
      <c r="AC27" s="2011"/>
      <c r="AD27" s="2011" t="s">
        <v>2823</v>
      </c>
    </row>
    <row r="28" spans="1:30" s="2883" customFormat="1" ht="13.2">
      <c r="A28" s="2881" t="s">
        <v>2824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3363</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3365</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3360</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3366</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3361</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3359</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3357</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3356</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3354</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3353</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3352</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3342</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2825</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2826</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2827</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2828</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2814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3369</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2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45734</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2299</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0" t="s">
        <v>925</v>
      </c>
      <c r="E3" s="800" t="s">
        <v>931</v>
      </c>
      <c r="F3" s="800" t="s">
        <v>925</v>
      </c>
      <c r="G3" s="800" t="s">
        <v>926</v>
      </c>
      <c r="H3" s="800" t="s">
        <v>925</v>
      </c>
      <c r="I3" s="800" t="s">
        <v>926</v>
      </c>
    </row>
    <row r="4" spans="1:9" ht="30">
      <c r="A4" s="1402" t="str">
        <f>项目基本情况!S2</f>
        <v>北京市通州区光华路18号院房地产</v>
      </c>
      <c r="B4" s="800">
        <f>项目基本情况!C17</f>
        <v>1106.44</v>
      </c>
      <c r="C4" s="800">
        <f>项目基本情况!C18</f>
        <v>8001.46</v>
      </c>
      <c r="D4" s="800" t="e">
        <f ca="1">结果表!D118</f>
        <v>#VALUE!</v>
      </c>
      <c r="E4" s="800" t="e">
        <f ca="1">结果表!E118</f>
        <v>#VALUE!</v>
      </c>
      <c r="F4" s="800" t="e">
        <f ca="1">结果表!F118</f>
        <v>#VALUE!</v>
      </c>
      <c r="G4" s="800" t="e">
        <f ca="1">结果表!G118</f>
        <v>#VALUE!</v>
      </c>
      <c r="H4" s="800">
        <f ca="1">结果表!H118</f>
        <v>900</v>
      </c>
      <c r="I4" s="800">
        <f ca="1">结果表!I118</f>
        <v>8134</v>
      </c>
    </row>
    <row r="5" spans="1:9" ht="30" customHeight="1">
      <c r="A5" s="3198" t="s">
        <v>927</v>
      </c>
      <c r="B5" s="3198"/>
      <c r="C5" s="3198"/>
      <c r="D5" s="3198" t="e">
        <f ca="1">结果表!D119</f>
        <v>#VALUE!</v>
      </c>
      <c r="E5" s="3198"/>
      <c r="F5" s="3198" t="e">
        <f ca="1">结果表!F119</f>
        <v>#VALUE!</v>
      </c>
      <c r="G5" s="3198"/>
      <c r="H5" s="3198" t="str">
        <f ca="1">结果表!H119</f>
        <v>玖佰万元整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900</v>
      </c>
      <c r="E8" s="3197"/>
      <c r="F8" s="3197"/>
      <c r="G8" s="3197"/>
      <c r="H8" s="3197"/>
      <c r="I8" s="3197"/>
    </row>
    <row r="9" spans="1:9" ht="15">
      <c r="A9" s="3198" t="s">
        <v>927</v>
      </c>
      <c r="B9" s="3198"/>
      <c r="C9" s="3198"/>
      <c r="D9" s="3198" t="str">
        <f ca="1">结果表!D123</f>
        <v>玖佰万元整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0" t="s">
        <v>949</v>
      </c>
      <c r="B1" s="3210"/>
      <c r="C1" s="3210"/>
      <c r="D1" s="3210"/>
    </row>
    <row r="2" spans="1:4" ht="17.399999999999999">
      <c r="A2" s="3211" t="s">
        <v>933</v>
      </c>
      <c r="B2" s="3211"/>
      <c r="C2" s="3211"/>
      <c r="D2" s="321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1" t="s">
        <v>939</v>
      </c>
      <c r="B6" s="3211"/>
      <c r="C6" s="3211"/>
      <c r="D6" s="321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8" t="s">
        <v>956</v>
      </c>
      <c r="B15" s="3213" t="s">
        <v>109</v>
      </c>
      <c r="C15" s="3214"/>
    </row>
    <row r="16" spans="1:7" ht="14.4">
      <c r="A16" s="3219"/>
      <c r="B16" s="3213" t="s">
        <v>42</v>
      </c>
      <c r="C16" s="3214"/>
    </row>
    <row r="17" spans="1:3" ht="14.4">
      <c r="A17" s="3219"/>
      <c r="B17" s="3216" t="s">
        <v>957</v>
      </c>
      <c r="C17" s="1428" t="s">
        <v>956</v>
      </c>
    </row>
    <row r="18" spans="1:3" ht="14.4">
      <c r="A18" s="3219"/>
      <c r="B18" s="3216"/>
      <c r="C18" s="1428" t="s">
        <v>958</v>
      </c>
    </row>
    <row r="19" spans="1:3" ht="14.4">
      <c r="A19" s="3219"/>
      <c r="B19" s="3216"/>
      <c r="C19" s="1428" t="s">
        <v>959</v>
      </c>
    </row>
    <row r="20" spans="1:3" ht="14.4">
      <c r="A20" s="3220"/>
      <c r="B20" s="3215" t="s">
        <v>960</v>
      </c>
      <c r="C20" s="3214"/>
    </row>
    <row r="21" spans="1:3" ht="14.4">
      <c r="A21" s="1429" t="s">
        <v>961</v>
      </c>
      <c r="B21" s="1430"/>
      <c r="C21" s="1431"/>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8" t="s">
        <v>967</v>
      </c>
    </row>
    <row r="26" spans="1:3" ht="14.4">
      <c r="A26" s="3217"/>
      <c r="B26" s="3216"/>
      <c r="C26" s="1428" t="s">
        <v>968</v>
      </c>
    </row>
    <row r="27" spans="1:3" ht="14.4">
      <c r="A27" s="3217"/>
      <c r="B27" s="3216"/>
      <c r="C27" s="1428" t="s">
        <v>969</v>
      </c>
    </row>
    <row r="28" spans="1:3" ht="14.4">
      <c r="A28" s="3217"/>
      <c r="B28" s="3216"/>
      <c r="C28" s="1428" t="s">
        <v>970</v>
      </c>
    </row>
    <row r="29" spans="1:3" ht="14.4">
      <c r="A29" s="3217"/>
      <c r="B29" s="3216"/>
      <c r="C29" s="1428" t="s">
        <v>971</v>
      </c>
    </row>
    <row r="30" spans="1:3" ht="14.4">
      <c r="A30" s="3217"/>
      <c r="B30" s="3216"/>
      <c r="C30" s="1428" t="s">
        <v>972</v>
      </c>
    </row>
    <row r="31" spans="1:3" ht="14.4">
      <c r="A31" s="3217"/>
      <c r="B31" s="3216"/>
      <c r="C31" s="1428" t="s">
        <v>973</v>
      </c>
    </row>
    <row r="32" spans="1:3" ht="14.4">
      <c r="A32" s="3217"/>
      <c r="B32" s="3216"/>
      <c r="C32" s="1428" t="s">
        <v>974</v>
      </c>
    </row>
    <row r="33" spans="1:3" ht="14.4">
      <c r="A33" s="3217"/>
      <c r="B33" s="321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45734</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比较法-商业</vt:lpstr>
      <vt:lpstr>基准地价修正</vt:lpstr>
      <vt:lpstr>成本法</vt:lpstr>
      <vt:lpstr>假设开发法</vt:lpstr>
      <vt:lpstr>收益法</vt:lpstr>
      <vt:lpstr>收益法-酒店模型</vt:lpstr>
      <vt:lpstr>收益法（汇总）</vt:lpstr>
      <vt:lpstr>比较法-住宅</vt:lpstr>
      <vt:lpstr>比较法-工业</vt:lpstr>
      <vt:lpstr>比较法-车位</vt:lpstr>
      <vt:lpstr>比较法-仓储</vt:lpstr>
      <vt:lpstr>土地比较法-工业</vt:lpstr>
      <vt:lpstr>基准地价（汇总）</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2025-03-18T02:37:13Z</dcterms:modified>
</cp:coreProperties>
</file>