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48" i="34" l="1"/>
  <c r="I48" i="34"/>
  <c r="G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6" i="1" l="1"/>
  <c r="E5" i="1"/>
  <c r="E39" i="4"/>
  <c r="F24" i="63"/>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I7" i="65"/>
  <c r="E7" i="65"/>
  <c r="G7" i="65"/>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D6" i="61"/>
  <c r="F5" i="61"/>
  <c r="F6" i="61"/>
  <c r="F3" i="61"/>
  <c r="F4" i="61"/>
  <c r="I1" i="61" l="1"/>
  <c r="B30" i="1" s="1"/>
  <c r="D3" i="61"/>
  <c r="D4"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J17" i="37"/>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I7" i="34"/>
  <c r="E7" i="34"/>
  <c r="G7" i="34"/>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36"/>
  <c r="E2" i="35"/>
  <c r="D19" i="9"/>
  <c r="D20" i="9"/>
  <c r="E2" i="33"/>
  <c r="E2" i="11"/>
  <c r="E2" i="37"/>
  <c r="E2" i="21"/>
  <c r="E2" i="34"/>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19" i="57"/>
  <c r="C20" i="57"/>
  <c r="D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AD27" i="31"/>
  <c r="AE27" i="31" s="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28" i="31" l="1"/>
  <c r="AE29" i="31"/>
  <c r="AE31" i="31"/>
  <c r="AE33" i="31"/>
  <c r="AE35" i="31"/>
  <c r="AE37" i="31"/>
  <c r="AE39" i="31"/>
  <c r="AE41" i="31"/>
  <c r="AE43" i="31"/>
  <c r="AE45" i="31"/>
  <c r="AE30" i="31"/>
  <c r="AE32" i="31"/>
  <c r="AE34" i="31"/>
  <c r="AE36" i="31"/>
  <c r="AE38" i="31"/>
  <c r="AE40" i="31"/>
  <c r="AE42" i="31"/>
  <c r="AE44" i="31"/>
  <c r="AE46" i="31"/>
  <c r="Z28" i="31"/>
  <c r="W28" i="31" s="1"/>
  <c r="Z30" i="31"/>
  <c r="Z32" i="31"/>
  <c r="Y32" i="31" s="1"/>
  <c r="Z34" i="31"/>
  <c r="Z36" i="31"/>
  <c r="Y36" i="31" s="1"/>
  <c r="Z35" i="31"/>
  <c r="Z29" i="31"/>
  <c r="Y29" i="31" s="1"/>
  <c r="Z31" i="31"/>
  <c r="Z33" i="31"/>
  <c r="Y33" i="31" s="1"/>
  <c r="Z37" i="31"/>
  <c r="Z38" i="31"/>
  <c r="Y38" i="31" s="1"/>
  <c r="Z40" i="31"/>
  <c r="Z42" i="31"/>
  <c r="Y42" i="31" s="1"/>
  <c r="Z44" i="31"/>
  <c r="Z46" i="31"/>
  <c r="Y46" i="31" s="1"/>
  <c r="Z39" i="31"/>
  <c r="Z41" i="31"/>
  <c r="Y41" i="31" s="1"/>
  <c r="Z43" i="31"/>
  <c r="Z45" i="31"/>
  <c r="X45" i="31" s="1"/>
  <c r="X27" i="31"/>
  <c r="Y27" i="31"/>
  <c r="W27" i="31"/>
  <c r="AD29" i="31"/>
  <c r="AD46" i="31"/>
  <c r="AD38" i="31"/>
  <c r="AD31" i="31"/>
  <c r="AD39" i="31"/>
  <c r="AD42" i="31"/>
  <c r="AD33" i="31"/>
  <c r="AD44" i="31"/>
  <c r="AD36" i="31"/>
  <c r="AD43" i="31"/>
  <c r="AD35" i="31"/>
  <c r="AD45" i="31"/>
  <c r="AD37" i="31"/>
  <c r="AD40" i="31"/>
  <c r="AD32" i="31"/>
  <c r="AD28" i="31"/>
  <c r="AD30" i="31"/>
  <c r="W34" i="31"/>
  <c r="AD34" i="31"/>
  <c r="AD41" i="31"/>
  <c r="AF27" i="31"/>
  <c r="AG27" i="31" s="1"/>
  <c r="W35" i="31"/>
  <c r="W37" i="31"/>
  <c r="W40" i="31"/>
  <c r="W30" i="31"/>
  <c r="X38" i="31"/>
  <c r="X31" i="31"/>
  <c r="Y31" i="31"/>
  <c r="X39" i="31"/>
  <c r="Y39" i="31"/>
  <c r="X33" i="31"/>
  <c r="X43" i="31"/>
  <c r="Y43" i="31"/>
  <c r="W33" i="31"/>
  <c r="W43" i="31"/>
  <c r="X35" i="31"/>
  <c r="Y35" i="31"/>
  <c r="X37" i="31"/>
  <c r="Y37" i="31"/>
  <c r="X40" i="31"/>
  <c r="Y40" i="31"/>
  <c r="X32" i="31"/>
  <c r="X28" i="31"/>
  <c r="X30" i="31"/>
  <c r="Y30" i="31"/>
  <c r="X34" i="31"/>
  <c r="Y34" i="31"/>
  <c r="X41" i="31"/>
  <c r="U27" i="31"/>
  <c r="V27" i="31"/>
  <c r="W39" i="31"/>
  <c r="W41" i="31"/>
  <c r="W29" i="31"/>
  <c r="W31" i="31"/>
  <c r="W46" i="31"/>
  <c r="Y45" i="31"/>
  <c r="W45" i="31"/>
  <c r="X44" i="31"/>
  <c r="Y44" i="31"/>
  <c r="W44" i="31"/>
  <c r="T25" i="31"/>
  <c r="S25" i="31"/>
  <c r="F61" i="40"/>
  <c r="B2" i="40" s="1"/>
  <c r="B3" i="40" s="1"/>
  <c r="F66" i="39"/>
  <c r="B2" i="39" s="1"/>
  <c r="B3" i="39" s="1"/>
  <c r="R25" i="31" l="1"/>
  <c r="B24" i="31" s="1"/>
  <c r="B3" i="31" s="1"/>
  <c r="C34" i="57" s="1"/>
  <c r="I124" i="57" s="1"/>
  <c r="W32" i="31"/>
  <c r="W38" i="31"/>
  <c r="W36" i="31"/>
  <c r="W42" i="31"/>
  <c r="Y28" i="31"/>
  <c r="X36" i="31"/>
  <c r="X42" i="31"/>
  <c r="X29" i="31"/>
  <c r="AF28" i="31"/>
  <c r="AG28" i="31" s="1"/>
  <c r="AF45" i="31"/>
  <c r="AG45" i="31" s="1"/>
  <c r="AF44" i="31"/>
  <c r="AG44" i="31" s="1"/>
  <c r="AF31" i="31"/>
  <c r="AG31" i="31" s="1"/>
  <c r="AF34" i="31"/>
  <c r="AG34" i="31" s="1"/>
  <c r="AF40" i="31"/>
  <c r="AG40" i="31" s="1"/>
  <c r="AF43" i="31"/>
  <c r="AG43" i="31" s="1"/>
  <c r="AF42" i="31"/>
  <c r="AG42" i="31" s="1"/>
  <c r="AF46" i="31"/>
  <c r="AG46" i="31" s="1"/>
  <c r="AF41" i="31"/>
  <c r="AG41" i="31" s="1"/>
  <c r="AF30" i="31"/>
  <c r="AG30" i="31" s="1"/>
  <c r="AF32" i="31"/>
  <c r="AG32" i="31" s="1"/>
  <c r="AF37" i="31"/>
  <c r="AG37" i="31" s="1"/>
  <c r="AF35" i="31"/>
  <c r="AG35" i="31" s="1"/>
  <c r="AF36" i="31"/>
  <c r="AG36" i="31" s="1"/>
  <c r="AF33" i="31"/>
  <c r="AG33" i="31" s="1"/>
  <c r="AF39" i="31"/>
  <c r="AG39" i="31" s="1"/>
  <c r="AF38" i="31"/>
  <c r="AG38" i="31" s="1"/>
  <c r="AF29" i="31"/>
  <c r="AG29" i="31" s="1"/>
  <c r="V34" i="31"/>
  <c r="U34" i="31"/>
  <c r="V28" i="31"/>
  <c r="U28" i="31"/>
  <c r="V37" i="31"/>
  <c r="U37" i="31"/>
  <c r="V30" i="31"/>
  <c r="U30" i="31"/>
  <c r="V40" i="31"/>
  <c r="U40" i="31"/>
  <c r="V35" i="31"/>
  <c r="U35" i="31"/>
  <c r="V32" i="31"/>
  <c r="U32" i="31"/>
  <c r="V38" i="31"/>
  <c r="U38" i="31"/>
  <c r="V36" i="31"/>
  <c r="U36" i="31"/>
  <c r="V42" i="31"/>
  <c r="U42" i="31"/>
  <c r="V43" i="31"/>
  <c r="U43" i="31"/>
  <c r="V31" i="31"/>
  <c r="U31" i="31"/>
  <c r="V29" i="31"/>
  <c r="U29" i="31"/>
  <c r="V41" i="31"/>
  <c r="U41" i="31"/>
  <c r="V39" i="31"/>
  <c r="U39" i="31"/>
  <c r="V33" i="31"/>
  <c r="U33" i="31"/>
  <c r="U46" i="31"/>
  <c r="V46" i="31"/>
  <c r="X46" i="31"/>
  <c r="X25" i="31" s="1"/>
  <c r="Y25" i="31"/>
  <c r="U45" i="31"/>
  <c r="V45" i="31"/>
  <c r="V44" i="31"/>
  <c r="U44" i="31"/>
  <c r="B23" i="31"/>
  <c r="B2" i="31" s="1"/>
  <c r="C33" i="57" s="1"/>
  <c r="H124" i="57" s="1"/>
  <c r="I103" i="57" s="1"/>
  <c r="I104" i="57"/>
  <c r="D110" i="57"/>
  <c r="C107" i="57"/>
  <c r="U25" i="31" l="1"/>
  <c r="C36" i="57"/>
  <c r="F124" i="57" s="1"/>
  <c r="G124" i="57" s="1"/>
  <c r="V25" i="31"/>
  <c r="D14" i="62"/>
  <c r="F14" i="62" s="1"/>
  <c r="D109" i="57"/>
  <c r="D120" i="57" s="1"/>
  <c r="I116" i="57" s="1"/>
  <c r="C106" i="57"/>
  <c r="H125" i="57"/>
  <c r="E14" i="62"/>
  <c r="D115" i="57"/>
  <c r="D116" i="57" s="1"/>
  <c r="I112" i="57" s="1"/>
  <c r="D129" i="57" s="1"/>
  <c r="I113" i="57"/>
  <c r="D46" i="57"/>
  <c r="M49" i="57"/>
  <c r="I111" i="57"/>
  <c r="D128" i="57" s="1"/>
  <c r="G14" i="62" s="1"/>
  <c r="B6" i="62" s="1"/>
  <c r="M56" i="9"/>
  <c r="D130" i="9"/>
  <c r="D13" i="52" s="1"/>
  <c r="C35" i="57" l="1"/>
  <c r="D124" i="57" s="1"/>
  <c r="F125" i="57"/>
  <c r="E124" i="57"/>
  <c r="D125"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5" i="62" l="1"/>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<sst xmlns="http://schemas.openxmlformats.org/spreadsheetml/2006/main" count="7353" uniqueCount="2946">
  <si>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</si>
  <si>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</si>
  <si>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</si>
  <si>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</si>
  <si>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</si>
  <si>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</si>
  <si>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</si>
  <si>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</si>
  <si>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</si>
  <si>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</si>
  <si>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</si>
  <si>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</si>
  <si>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</si>
  <si>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</si>
  <si>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</si>
  <si>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</si>
  <si>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</si>
  <si>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</si>
  <si>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</si>
  <si>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</si>
  <si>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</si>
  <si>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</si>
  <si>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</si>
  <si>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</si>
  <si>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</si>
  <si>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</si>
  <si>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</si>
  <si>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</si>
  <si>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</si>
  <si>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</si>
  <si>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</si>
  <si>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</si>
  <si>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</si>
  <si>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</si>
  <si>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</si>
  <si>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</si>
  <si>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</si>
  <si>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</si>
  <si>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</si>
  <si>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</si>
  <si>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</si>
  <si>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</si>
  <si>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</si>
  <si>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</si>
  <si>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</si>
  <si>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</si>
  <si>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</si>
  <si>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</si>
  <si>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</si>
  <si>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</si>
  <si>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</si>
  <si>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</si>
  <si>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</si>
  <si>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</si>
  <si>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</si>
  <si>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</si>
  <si>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</si>
  <si>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</si>
  <si>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</si>
  <si>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</si>
  <si>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</si>
  <si>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</si>
  <si>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</si>
  <si>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</si>
  <si>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</si>
  <si>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</si>
  <si>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</si>
  <si>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</si>
  <si>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</si>
  <si>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</si>
  <si>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</si>
  <si>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</si>
  <si>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</si>
  <si>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</si>
  <si>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</si>
  <si>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</si>
  <si>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</si>
  <si>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</si>
  <si>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</si>
  <si>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</si>
  <si>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</si>
  <si>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</si>
  <si>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</si>
  <si>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</si>
  <si>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</si>
  <si>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</si>
  <si>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</si>
  <si>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</si>
  <si>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</si>
  <si>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</si>
  <si>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</si>
  <si>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</si>
  <si>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</si>
  <si>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</si>
  <si>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</si>
  <si>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</si>
  <si>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</si>
  <si>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</si>
  <si>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</si>
  <si>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</si>
  <si>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</si>
  <si>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</si>
  <si>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</si>
  <si>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</si>
  <si>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</si>
  <si>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</si>
  <si>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</si>
  <si>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</si>
  <si>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</si>
  <si>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</si>
  <si>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</si>
  <si>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</si>
  <si>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</si>
  <si>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</si>
  <si>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</si>
  <si>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</si>
  <si>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</si>
  <si>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</si>
  <si>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</si>
  <si>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</si>
  <si>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</si>
  <si>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</si>
  <si>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</si>
  <si>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</si>
  <si>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</si>
  <si>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</si>
  <si>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</si>
  <si>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</si>
  <si>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</si>
  <si>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</si>
  <si>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</si>
  <si>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</si>
  <si>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</si>
  <si>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</si>
  <si>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</si>
  <si>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</si>
  <si>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</si>
  <si>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</si>
  <si>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</si>
  <si>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</si>
  <si>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</si>
  <si>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</si>
  <si>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</si>
  <si>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</si>
  <si>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</si>
  <si>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</si>
  <si>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</si>
  <si>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</si>
  <si>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</si>
  <si>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</si>
  <si>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</si>
  <si>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</si>
  <si>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</si>
  <si>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</si>
  <si>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</si>
  <si>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</si>
  <si>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</si>
  <si>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</si>
  <si>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</si>
  <si>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</si>
  <si>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</si>
  <si>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</si>
  <si>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</si>
  <si>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</si>
  <si>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</si>
  <si>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</si>
  <si>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</si>
  <si>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</si>
  <si>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</si>
  <si>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</si>
  <si>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</si>
  <si>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</si>
  <si>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</si>
  <si>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</si>
  <si>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</si>
  <si>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</si>
  <si>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</si>
  <si>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</si>
  <si>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</si>
  <si>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</si>
  <si>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</si>
  <si>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</si>
  <si>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</si>
  <si>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</si>
  <si>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</si>
  <si>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</si>
  <si>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</si>
  <si>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</si>
  <si>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</si>
  <si>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</si>
  <si>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</si>
  <si>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</si>
  <si>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</si>
  <si>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</si>
  <si>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</si>
  <si>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</si>
  <si>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</si>
  <si>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</si>
  <si>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</si>
  <si>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</si>
  <si>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</si>
  <si>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</si>
  <si>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</si>
  <si>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</si>
  <si>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</si>
  <si>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</si>
  <si>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</si>
  <si>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</si>
  <si>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</si>
  <si>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</si>
  <si>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</si>
  <si>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</si>
  <si>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</si>
  <si>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</si>
  <si>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</si>
  <si>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</si>
  <si>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</si>
  <si>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</si>
  <si>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</si>
  <si>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</si>
  <si>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</si>
  <si>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</si>
  <si>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</si>
  <si>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</si>
  <si>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</si>
  <si>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</si>
  <si>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</si>
  <si>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</si>
  <si>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</si>
  <si>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</si>
  <si>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</si>
  <si>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</si>
  <si>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</si>
  <si>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</si>
  <si>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</si>
  <si>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</si>
  <si>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</si>
  <si>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</si>
  <si>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</si>
  <si>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</si>
  <si>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</si>
  <si>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</si>
  <si>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</si>
  <si>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</si>
  <si>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</si>
  <si>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</si>
  <si>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</si>
  <si>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</si>
  <si>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</si>
  <si>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</si>
  <si>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</si>
  <si>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</si>
  <si>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</si>
  <si>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</si>
  <si>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</si>
  <si>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</si>
  <si>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</si>
  <si>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</si>
  <si>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</si>
  <si>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</si>
  <si>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</si>
  <si>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</si>
  <si>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</si>
  <si>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</si>
  <si>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</si>
  <si>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</si>
  <si>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</si>
  <si>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</si>
  <si>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</si>
  <si>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</si>
  <si>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</si>
  <si>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</si>
  <si>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</si>
  <si>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</si>
  <si>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</si>
  <si>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</si>
  <si>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</si>
  <si>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</si>
  <si>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</si>
  <si>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</si>
  <si>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</si>
  <si>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</si>
  <si>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</si>
  <si>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</si>
  <si>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</si>
  <si>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</si>
  <si>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</si>
  <si>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</si>
  <si>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</si>
  <si>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</si>
  <si>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</si>
  <si>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</si>
  <si>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</si>
  <si>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</si>
  <si>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</si>
  <si>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</si>
  <si>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</si>
  <si>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</si>
  <si>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</si>
  <si>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</si>
  <si>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</si>
  <si>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</si>
  <si>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</si>
  <si>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</si>
  <si>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</si>
  <si>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</si>
  <si>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</si>
  <si>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</si>
  <si>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</si>
  <si>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</si>
  <si>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</si>
  <si>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</si>
  <si>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</si>
  <si>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</si>
  <si>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</si>
  <si>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</si>
  <si>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</si>
  <si>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</si>
  <si>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</si>
  <si>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</si>
  <si>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</si>
  <si>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</si>
  <si>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</si>
  <si>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</si>
  <si>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</si>
  <si>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</si>
  <si>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</si>
  <si>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</si>
  <si>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</si>
  <si>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</si>
  <si>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</si>
  <si>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</si>
  <si>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</si>
  <si>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</si>
  <si>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</si>
  <si>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</si>
  <si>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</si>
  <si>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</si>
  <si>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</si>
  <si>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</si>
  <si>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</si>
  <si>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</si>
  <si>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</si>
  <si>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</si>
  <si>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</si>
  <si>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</si>
  <si>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</si>
  <si>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</si>
  <si>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</si>
  <si>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</si>
  <si>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</si>
  <si>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</si>
  <si>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</si>
  <si>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</si>
  <si>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</si>
  <si>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</si>
  <si>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</si>
  <si>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</si>
  <si>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</si>
  <si>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</si>
  <si>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</si>
  <si>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</si>
  <si>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</si>
  <si>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</si>
  <si>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</si>
  <si>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</si>
  <si>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</si>
  <si>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</si>
  <si>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</si>
  <si>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</si>
  <si>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</si>
  <si>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</si>
  <si>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</si>
  <si>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</si>
  <si>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</si>
  <si>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</si>
  <si>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</si>
  <si>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</si>
  <si>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</si>
  <si>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</si>
  <si>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</si>
  <si>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</si>
  <si>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</si>
  <si>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</si>
  <si>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</si>
  <si>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</si>
  <si>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</si>
  <si>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</si>
  <si>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</si>
  <si>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</si>
  <si>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</si>
  <si>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</si>
  <si>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</si>
  <si>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</si>
  <si>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</si>
  <si>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</si>
  <si>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</si>
  <si>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</si>
  <si>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</si>
  <si>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</si>
  <si>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</si>
  <si>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</si>
  <si>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</si>
  <si>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</si>
  <si>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</si>
  <si>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</si>
  <si>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</si>
  <si>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</si>
  <si>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</si>
  <si>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</si>
  <si>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</si>
  <si>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</si>
  <si>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</si>
  <si>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</si>
  <si>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</si>
  <si>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</si>
  <si>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</si>
  <si>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</si>
  <si>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</si>
  <si>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</si>
  <si>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</si>
  <si>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</si>
  <si>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</si>
  <si>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</si>
  <si>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</si>
  <si>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</si>
  <si>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</si>
  <si>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</si>
  <si>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</si>
  <si>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</si>
  <si>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</si>
  <si>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</si>
  <si>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</si>
  <si>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</si>
  <si>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</si>
  <si>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</si>
  <si>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</si>
  <si>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</si>
  <si>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</si>
  <si>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</si>
  <si>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</si>
  <si>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</si>
  <si>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</si>
  <si>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</si>
  <si>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</si>
  <si>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</si>
  <si>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</si>
  <si>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</si>
  <si>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</si>
  <si>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</si>
  <si>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</si>
  <si>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</si>
  <si>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</si>
  <si>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</si>
  <si>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</si>
  <si>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</si>
  <si>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</si>
  <si>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</si>
  <si>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</si>
  <si>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</si>
  <si>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</si>
  <si>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</si>
  <si>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</si>
  <si>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</si>
  <si>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</si>
  <si>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</si>
  <si>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</si>
  <si>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</si>
  <si>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</si>
  <si>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</si>
  <si>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</si>
  <si>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</si>
  <si>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</si>
  <si>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</si>
  <si>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</si>
  <si>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</si>
  <si>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</si>
  <si>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</si>
  <si>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</si>
  <si>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</si>
  <si>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</si>
  <si>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</si>
  <si>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</si>
  <si>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</si>
  <si>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</si>
  <si>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</si>
  <si>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</si>
  <si>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</si>
  <si>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</si>
  <si>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</si>
  <si>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</si>
  <si>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</si>
  <si>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</si>
  <si>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</si>
  <si>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</si>
  <si>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</si>
  <si>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</si>
  <si>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</si>
  <si>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</si>
  <si>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</si>
  <si>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</si>
  <si>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</si>
  <si>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</si>
  <si>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</si>
  <si>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</si>
  <si>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</si>
  <si>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</si>
  <si>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</si>
  <si>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</si>
  <si>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</si>
  <si>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</si>
  <si>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</si>
  <si>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</si>
  <si>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</si>
  <si>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</si>
  <si>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</si>
  <si>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</si>
  <si>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</si>
  <si>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</si>
  <si>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</si>
  <si>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</si>
  <si>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</si>
  <si>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</si>
  <si>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</si>
  <si>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</si>
  <si>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</si>
  <si>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</si>
  <si>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</si>
  <si>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</si>
  <si>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</si>
  <si>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</si>
  <si>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</si>
  <si>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</si>
  <si>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</si>
  <si>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</si>
  <si>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</si>
  <si>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</si>
  <si>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</si>
  <si>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</si>
  <si>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</si>
  <si>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</si>
  <si>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</si>
  <si>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</si>
  <si>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</si>
  <si>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</si>
  <si>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</si>
  <si>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</si>
  <si>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</si>
  <si>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</si>
  <si>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</si>
  <si>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</si>
  <si>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</si>
  <si>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</si>
  <si>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</si>
  <si>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</si>
  <si>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</si>
  <si>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</si>
  <si>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</si>
  <si>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</si>
  <si>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</si>
  <si>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</si>
  <si>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</si>
  <si>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</si>
  <si>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</si>
  <si>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</si>
  <si>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</si>
  <si>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</si>
  <si>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</si>
  <si>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</si>
  <si>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</si>
  <si>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</si>
  <si>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</si>
  <si>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</si>
  <si>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</si>
  <si>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</si>
  <si>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</si>
  <si>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</si>
  <si>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</si>
  <si>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</si>
  <si>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</si>
  <si>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</si>
  <si>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</si>
  <si>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</si>
  <si>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</si>
  <si>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</si>
  <si>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</si>
  <si>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</si>
  <si>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</si>
  <si>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</si>
  <si>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</si>
  <si>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</si>
  <si>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</si>
  <si>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</si>
  <si>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</si>
  <si>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</si>
  <si>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</si>
  <si>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</si>
  <si>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</si>
  <si>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</si>
  <si>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</si>
  <si>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</si>
  <si>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</si>
  <si>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</si>
  <si>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</si>
  <si>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</si>
  <si>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</si>
  <si>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</si>
  <si>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</si>
  <si>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</si>
  <si>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</si>
  <si>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</si>
  <si>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</si>
  <si>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</si>
  <si>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</si>
  <si>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</si>
  <si>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</si>
  <si>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</si>
  <si>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</si>
  <si>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</si>
  <si>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</si>
  <si>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</si>
  <si>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</si>
  <si>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</si>
  <si>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</si>
  <si>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</si>
  <si>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</si>
  <si>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</si>
  <si>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</si>
  <si>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</si>
  <si>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</si>
  <si>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</si>
  <si>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</si>
  <si>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</si>
  <si>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</si>
  <si>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</si>
  <si>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</si>
  <si>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</si>
  <si>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</si>
  <si>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</si>
  <si>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</si>
  <si>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</si>
  <si>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</si>
  <si>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</si>
  <si>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</si>
  <si>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</si>
  <si>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</si>
  <si>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</si>
  <si>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</si>
  <si>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</si>
  <si>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</si>
  <si>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</si>
  <si>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</si>
  <si>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</si>
  <si>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</si>
  <si>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</si>
  <si>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</si>
  <si>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</si>
  <si>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</si>
  <si>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</si>
  <si>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</si>
  <si>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</si>
  <si>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</si>
  <si>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</si>
  <si>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</si>
  <si>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</si>
  <si>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</si>
  <si>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</si>
  <si>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</si>
  <si>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</si>
  <si>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</si>
  <si>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</si>
  <si>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</si>
  <si>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</si>
  <si>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</si>
  <si>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</si>
  <si>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</si>
  <si>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</si>
  <si>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</si>
  <si>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</si>
  <si>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</si>
  <si>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</si>
  <si>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</si>
  <si>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</si>
  <si>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</si>
  <si>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</si>
  <si>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</si>
  <si>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</si>
  <si>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</si>
  <si>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</si>
  <si>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</si>
  <si>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</si>
  <si>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</si>
  <si>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</si>
  <si>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</si>
  <si>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</si>
  <si>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</si>
  <si>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</si>
  <si>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</si>
  <si>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</si>
  <si>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</si>
  <si>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</si>
  <si>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</si>
  <si>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</si>
  <si>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</si>
  <si>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</si>
  <si>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</si>
  <si>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</si>
  <si>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</si>
  <si>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</si>
  <si>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</si>
  <si>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</si>
  <si>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</si>
  <si>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</si>
  <si>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</si>
  <si>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</si>
  <si>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</si>
  <si>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</si>
  <si>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</si>
  <si>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</si>
  <si>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</si>
  <si>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</si>
  <si>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</si>
  <si>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</si>
  <si>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</si>
  <si>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</si>
  <si>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</si>
  <si>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</si>
  <si>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</si>
  <si>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</si>
  <si>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</si>
  <si>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</si>
  <si>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</si>
  <si>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</si>
  <si>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</si>
  <si>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</si>
  <si>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</si>
  <si>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</si>
  <si>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</si>
  <si>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</si>
  <si>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</si>
  <si>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</si>
  <si>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</si>
  <si>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</si>
  <si>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</si>
  <si>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</si>
  <si>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</si>
  <si>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</si>
  <si>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</si>
  <si>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</si>
  <si>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</si>
  <si>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</si>
  <si>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</si>
  <si>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</si>
  <si>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</si>
  <si>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</si>
  <si>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</si>
  <si>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</si>
  <si>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</si>
  <si>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</si>
  <si>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</si>
  <si>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</si>
  <si>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</si>
  <si>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</si>
  <si>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</si>
  <si>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</si>
  <si>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</si>
  <si>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</si>
  <si>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</si>
  <si>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</si>
  <si>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</si>
  <si>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</si>
  <si>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</si>
  <si>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</si>
  <si>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</si>
  <si>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</si>
  <si>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</si>
  <si>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</si>
  <si>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</si>
  <si>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</si>
  <si>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</si>
  <si>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</si>
  <si>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</si>
  <si>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</si>
  <si>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</si>
  <si>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</si>
  <si>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</si>
  <si>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</si>
  <si>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</si>
  <si>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</si>
  <si>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</si>
  <si>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</si>
  <si>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</si>
  <si>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</si>
  <si>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</si>
  <si>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</si>
  <si>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</si>
  <si>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</si>
  <si>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</si>
  <si>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</si>
  <si>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</si>
  <si>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</si>
  <si>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</si>
  <si>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</si>
  <si>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</si>
  <si>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</si>
  <si>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</si>
  <si>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</si>
  <si>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</si>
  <si>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</si>
  <si>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</si>
  <si>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</si>
  <si>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</si>
  <si>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</si>
  <si>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</si>
  <si>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</si>
  <si>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</si>
  <si>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</si>
  <si>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</si>
  <si>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</si>
  <si>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</si>
  <si>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</si>
  <si>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</si>
  <si>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</si>
  <si>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</si>
  <si>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</si>
  <si>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</si>
  <si>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</si>
  <si>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</si>
  <si>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</si>
  <si>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</si>
  <si>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</si>
  <si>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</si>
  <si>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</si>
  <si>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</si>
  <si>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</si>
  <si>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</si>
  <si>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</si>
  <si>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</si>
  <si>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</si>
  <si>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</si>
  <si>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</si>
  <si>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</si>
  <si>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</si>
  <si>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</si>
  <si>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</si>
  <si>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</si>
  <si>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</si>
  <si>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</si>
  <si>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</si>
  <si>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</si>
  <si>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</si>
  <si>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</si>
  <si>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</si>
  <si>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</si>
  <si>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</si>
  <si>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</si>
  <si>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</si>
  <si>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</si>
  <si>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</si>
  <si>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</si>
  <si>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</si>
  <si>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</si>
  <si>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</si>
  <si>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</si>
  <si>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</si>
  <si>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</si>
  <si>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</si>
  <si>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</si>
  <si>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</si>
  <si>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</si>
  <si>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</si>
  <si>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</si>
  <si>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</si>
  <si>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</si>
  <si>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</si>
  <si>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</si>
  <si>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</si>
  <si>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</si>
  <si>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</si>
  <si>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</si>
  <si>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</si>
  <si>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</si>
  <si>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</si>
  <si>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</si>
  <si>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</si>
  <si>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</si>
  <si>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</si>
  <si>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</si>
  <si>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</si>
  <si>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</si>
  <si>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</si>
  <si>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</si>
  <si>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</si>
  <si>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</si>
  <si>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</si>
  <si>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</si>
  <si>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</si>
  <si>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</si>
  <si>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</si>
  <si>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</si>
  <si>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</si>
  <si>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</si>
  <si>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</si>
  <si>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</si>
  <si>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</si>
  <si>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</si>
  <si>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</si>
  <si>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</si>
  <si>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</si>
  <si>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</si>
  <si>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</si>
  <si>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</si>
  <si>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</si>
  <si>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</si>
  <si>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</si>
  <si>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</si>
  <si>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</si>
  <si>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</si>
  <si>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</si>
  <si>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</si>
  <si>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</si>
  <si>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</si>
  <si>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</si>
  <si>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</si>
  <si>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</si>
  <si>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</si>
  <si>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</si>
  <si>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</si>
  <si>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</si>
  <si>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</si>
  <si>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</si>
  <si>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</si>
  <si>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</si>
  <si>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</si>
  <si>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</si>
  <si>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</si>
  <si>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</si>
  <si>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</si>
  <si>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</si>
  <si>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</si>
  <si>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</si>
  <si>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</si>
  <si>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</si>
  <si>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</si>
  <si>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</si>
  <si>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</si>
  <si>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</si>
  <si>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</si>
  <si>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</si>
  <si>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</si>
  <si>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</si>
  <si>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</si>
  <si>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</si>
  <si>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</si>
  <si>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</si>
  <si>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</si>
  <si>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</si>
  <si>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</si>
  <si>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</si>
  <si>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</si>
  <si>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</si>
  <si>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</si>
  <si>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</si>
  <si>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</si>
  <si>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</si>
  <si>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</si>
  <si>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</si>
  <si>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</si>
  <si>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</si>
  <si>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</si>
  <si>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</si>
  <si>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</si>
  <si>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</si>
  <si>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</si>
  <si>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</si>
  <si>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</si>
  <si>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</si>
  <si>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</si>
  <si>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</si>
  <si>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</si>
  <si>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</si>
  <si>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</si>
  <si>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</si>
  <si>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</si>
  <si>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</si>
  <si>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</si>
  <si>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</si>
  <si>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</si>
  <si>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</si>
  <si>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</si>
  <si>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</si>
  <si>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</si>
  <si>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</si>
  <si>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</si>
  <si>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</si>
  <si>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</si>
  <si>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</si>
  <si>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</si>
  <si>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</si>
  <si>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</si>
  <si>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</si>
  <si>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</si>
  <si>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</si>
  <si>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</si>
  <si>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</si>
  <si>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</si>
  <si>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</si>
  <si>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</si>
  <si>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</si>
  <si>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</si>
  <si>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</si>
  <si>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</si>
  <si>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</si>
  <si>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</si>
  <si>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</si>
  <si>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</si>
  <si>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</si>
  <si>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</si>
  <si>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</si>
  <si>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</si>
  <si>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</si>
  <si>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</si>
  <si>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</si>
  <si>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</si>
  <si>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</si>
  <si>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</si>
  <si>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</si>
  <si>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</si>
  <si>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</si>
  <si>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</si>
  <si>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</si>
  <si>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</si>
  <si>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</si>
  <si>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</si>
  <si>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</si>
  <si>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</si>
  <si>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</si>
  <si>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</si>
  <si>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</si>
  <si>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</si>
  <si>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</si>
  <si>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</si>
  <si>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</si>
  <si>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</si>
  <si>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</si>
  <si>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</si>
  <si>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</si>
  <si>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</si>
  <si>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</si>
  <si>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</si>
  <si>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</si>
  <si>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</si>
  <si>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</si>
  <si>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</si>
  <si>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</si>
  <si>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</si>
  <si>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</si>
  <si>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</si>
  <si>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</si>
  <si>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</si>
  <si>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</si>
  <si>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</si>
  <si>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</si>
  <si>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</si>
  <si>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</si>
  <si>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</si>
  <si>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</si>
  <si>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</si>
  <si>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</si>
  <si>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</si>
  <si>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</si>
  <si>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</si>
  <si>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</si>
  <si>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</si>
  <si>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</si>
  <si>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</si>
  <si>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</si>
  <si>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</si>
  <si>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</si>
  <si>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</si>
  <si>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</si>
  <si>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</si>
  <si>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</si>
  <si>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</si>
  <si>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</si>
  <si>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</si>
  <si>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</si>
  <si>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</si>
  <si>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</si>
  <si>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</si>
  <si>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</si>
  <si>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</si>
  <si>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</si>
  <si>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</si>
  <si>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</si>
  <si>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</si>
  <si>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</si>
  <si>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</si>
  <si>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</si>
  <si>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</si>
  <si>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</si>
  <si>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</si>
  <si>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</si>
  <si>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</si>
  <si>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</si>
  <si>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</si>
  <si>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</si>
  <si>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</si>
  <si>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</si>
  <si>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</si>
  <si>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</si>
  <si>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</si>
  <si>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</si>
  <si>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</si>
  <si>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</si>
  <si>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</si>
  <si>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</si>
  <si>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</si>
  <si>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</si>
  <si>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</si>
  <si>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</si>
  <si>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</si>
  <si>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</si>
  <si>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</si>
  <si>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</si>
  <si>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</si>
  <si>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</si>
  <si>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</si>
  <si>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</si>
  <si>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</si>
  <si>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</si>
  <si>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</si>
  <si>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</si>
  <si>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</si>
  <si>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</si>
  <si>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</si>
  <si>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</si>
  <si>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</si>
  <si>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</si>
  <si>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</si>
  <si>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</si>
  <si>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</si>
  <si>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</si>
  <si>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</si>
  <si>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</si>
  <si>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</si>
  <si>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</si>
  <si>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</si>
  <si>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</si>
  <si>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</si>
  <si>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</si>
  <si>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</si>
  <si>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</si>
  <si>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</si>
  <si>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</si>
  <si>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</si>
  <si>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</si>
  <si>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</si>
  <si>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</si>
  <si>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</si>
  <si>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</si>
  <si>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</si>
  <si>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</si>
  <si>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</si>
  <si>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</si>
  <si>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</si>
  <si>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</si>
  <si>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</si>
  <si>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</si>
  <si>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</si>
  <si>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</si>
  <si>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</si>
  <si>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</si>
  <si>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</si>
  <si>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</si>
  <si>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</si>
  <si>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</si>
  <si>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</si>
  <si>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</si>
  <si>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</si>
  <si>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</si>
  <si>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</si>
  <si>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</si>
  <si>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</si>
  <si>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</si>
  <si>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</si>
  <si>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</si>
  <si>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</si>
  <si>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</si>
  <si>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</si>
  <si>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</si>
  <si>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</si>
  <si>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</si>
  <si>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</si>
  <si>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</si>
  <si>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</si>
  <si>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</si>
  <si>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</si>
  <si>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</si>
  <si>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</si>
  <si>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</si>
  <si>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</si>
  <si>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</si>
  <si>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</si>
  <si>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</si>
  <si>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</si>
  <si>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</si>
  <si>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</si>
  <si>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</si>
  <si>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</si>
  <si>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</si>
  <si>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</si>
  <si>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</si>
  <si>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</si>
  <si>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</si>
  <si>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</si>
  <si>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</si>
  <si>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</si>
  <si>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</si>
  <si>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</si>
  <si>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</si>
  <si>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</si>
  <si>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</si>
  <si>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</si>
  <si>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</si>
  <si>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</si>
  <si>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</si>
  <si>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</si>
  <si>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</si>
  <si>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</si>
  <si>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</si>
  <si>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</si>
  <si>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</si>
  <si>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</si>
  <si>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</si>
  <si>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</si>
  <si>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</si>
  <si>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</si>
  <si>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</si>
  <si>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</si>
  <si>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</si>
  <si>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</si>
  <si>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</si>
  <si>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</si>
  <si>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</si>
  <si>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</si>
  <si>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</si>
  <si>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</si>
  <si>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</si>
  <si>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</si>
  <si>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</si>
  <si>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</si>
  <si>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</si>
  <si>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</si>
  <si>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</si>
  <si>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</si>
  <si>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</si>
  <si>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</si>
  <si>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</si>
  <si>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</si>
  <si>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</si>
  <si>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</si>
  <si>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</si>
  <si>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</si>
  <si>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</si>
  <si>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</si>
  <si>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</si>
  <si>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</si>
  <si>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</si>
  <si>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</si>
  <si>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</si>
  <si>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</si>
  <si>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</si>
  <si>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</si>
  <si>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</si>
  <si>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</si>
  <si>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</si>
  <si>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</si>
  <si>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</si>
  <si>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</si>
  <si>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</si>
  <si>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</si>
  <si>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</si>
  <si>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</si>
  <si>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</si>
  <si>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</si>
  <si>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</si>
  <si>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</si>
  <si>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</si>
  <si>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</si>
  <si>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</si>
  <si>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</si>
  <si>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</si>
  <si>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</si>
  <si>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</si>
  <si>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</si>
  <si>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</si>
  <si>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</si>
  <si>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</si>
  <si>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</si>
  <si>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</si>
  <si>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</si>
  <si>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</si>
  <si>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</si>
  <si>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</si>
  <si>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</si>
  <si>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</si>
  <si>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</si>
  <si>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</si>
  <si>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</si>
  <si>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</si>
  <si>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</si>
  <si>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</si>
  <si>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</si>
  <si>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</si>
  <si>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</si>
  <si>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</si>
  <si>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</si>
  <si>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</si>
  <si>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</si>
  <si>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</si>
  <si>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</si>
  <si>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</si>
  <si>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</si>
  <si>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</si>
  <si>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</si>
  <si>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</si>
  <si>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</si>
  <si>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</si>
  <si>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</si>
  <si>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</si>
  <si>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</si>
  <si>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</si>
  <si>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</si>
  <si>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</si>
  <si>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</si>
  <si>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</si>
  <si>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</si>
  <si>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</si>
  <si>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</si>
  <si>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</si>
  <si>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</si>
  <si>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</si>
  <si>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</si>
  <si>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</si>
  <si>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</si>
  <si>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</si>
  <si>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</si>
  <si>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</si>
  <si>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</si>
  <si>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</si>
  <si>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</si>
  <si>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</si>
  <si>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</si>
  <si>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</si>
  <si>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</si>
  <si>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</si>
  <si>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</si>
  <si>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</si>
  <si>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</si>
  <si>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</si>
  <si>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</si>
  <si>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</si>
  <si>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</si>
  <si>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</si>
  <si>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</si>
  <si>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</si>
  <si>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</si>
  <si>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</si>
  <si>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</si>
  <si>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</si>
  <si>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</si>
  <si>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</si>
  <si>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</si>
  <si>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</si>
  <si>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</si>
  <si>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</si>
  <si>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</si>
  <si>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</si>
  <si>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</si>
  <si>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</si>
  <si>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</si>
  <si>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</si>
  <si>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</si>
  <si>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</si>
  <si>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</si>
  <si>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</si>
  <si>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</si>
  <si>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</si>
  <si>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</si>
  <si>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</si>
  <si>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</si>
  <si>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</si>
  <si>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</si>
  <si>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</si>
  <si>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</si>
  <si>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</si>
  <si>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</si>
  <si>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</si>
  <si>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</si>
  <si>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</si>
  <si>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</si>
  <si>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</si>
  <si>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</si>
  <si>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</si>
  <si>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</si>
  <si>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</si>
  <si>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</si>
  <si>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</si>
  <si>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</si>
  <si>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</si>
  <si>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</si>
  <si>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</si>
  <si>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</si>
  <si>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</si>
  <si>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</si>
  <si>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</si>
  <si>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</si>
  <si>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</si>
  <si>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</si>
  <si>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</si>
  <si>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</si>
  <si>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</si>
  <si>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</si>
  <si>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</si>
  <si>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</si>
  <si>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</si>
  <si>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</si>
  <si>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</si>
  <si>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</si>
  <si>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</si>
  <si>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</si>
  <si>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</si>
  <si>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</si>
  <si>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</si>
  <si>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</si>
  <si>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</si>
  <si>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</si>
  <si>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</si>
  <si>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</si>
  <si>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</si>
  <si>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</si>
  <si>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</si>
  <si>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</si>
  <si>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</si>
  <si>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</si>
  <si>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</si>
  <si>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</si>
  <si>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</si>
  <si>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</si>
  <si>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</si>
  <si>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</si>
  <si>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</si>
  <si>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</si>
  <si>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</si>
  <si>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</si>
  <si>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</si>
  <si>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</si>
  <si>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</si>
  <si>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</si>
  <si>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</si>
  <si>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</si>
  <si>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</si>
  <si>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</si>
  <si>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</si>
  <si>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</si>
  <si>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</si>
  <si>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</si>
  <si>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</si>
  <si>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</si>
  <si>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</si>
  <si>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</si>
  <si>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</si>
  <si>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</si>
  <si>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</si>
  <si>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</si>
  <si>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</si>
  <si>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</si>
  <si>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</si>
  <si>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</si>
  <si>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</si>
  <si>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</si>
  <si>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</si>
  <si>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</si>
  <si>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</si>
  <si>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</si>
  <si>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</si>
  <si>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</si>
  <si>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</si>
  <si>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</si>
  <si>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</si>
  <si>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</si>
  <si>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</si>
  <si>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</si>
  <si>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</si>
  <si>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</si>
  <si>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</si>
  <si>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</si>
  <si>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</si>
  <si>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</si>
  <si>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</si>
  <si>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</si>
  <si>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</si>
  <si>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</si>
  <si>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</si>
  <si>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</si>
  <si>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</si>
  <si>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</si>
  <si>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</si>
  <si>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</si>
  <si>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</si>
  <si>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</si>
  <si>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</si>
  <si>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</si>
  <si>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</si>
  <si>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</si>
  <si>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</si>
  <si>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</si>
  <si>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</si>
  <si>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</si>
  <si>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</si>
  <si>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</si>
  <si>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</si>
  <si>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</si>
  <si>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</si>
  <si>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</si>
  <si>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</si>
  <si>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</si>
  <si>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</si>
  <si>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</si>
  <si>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</si>
  <si>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</si>
  <si>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</si>
  <si>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</si>
  <si>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</si>
  <si>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</si>
  <si>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</si>
  <si>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</si>
  <si>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</si>
  <si>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</si>
  <si>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</si>
  <si>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</si>
  <si>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</si>
  <si>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</si>
  <si>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</si>
  <si>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</si>
  <si>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</si>
  <si>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</si>
  <si>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</si>
  <si>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</si>
  <si>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</si>
  <si>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</si>
  <si>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</si>
  <si>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</si>
  <si>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</si>
  <si>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</si>
  <si>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</si>
  <si>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</si>
  <si>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</si>
  <si>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</si>
  <si>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</si>
  <si>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</si>
  <si>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</si>
  <si>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</si>
  <si>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</si>
  <si>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</si>
  <si>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</si>
  <si>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</si>
  <si>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</si>
  <si>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</si>
  <si>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</si>
  <si>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</si>
  <si>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</si>
  <si>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</si>
  <si>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</si>
  <si>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</si>
  <si>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</si>
  <si>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</si>
  <si>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</si>
  <si>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</si>
  <si>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</si>
  <si>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</si>
  <si>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</si>
  <si>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</si>
  <si>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</si>
  <si>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</si>
  <si>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</si>
  <si>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</si>
  <si>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</si>
  <si>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</si>
  <si>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</si>
  <si>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</si>
  <si>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</si>
  <si>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</si>
  <si>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</si>
  <si>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</si>
  <si>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</si>
  <si>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</si>
  <si>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</si>
  <si>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</si>
  <si>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</si>
  <si>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</si>
  <si>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</si>
  <si>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</si>
  <si>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</si>
  <si>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</si>
  <si>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</si>
  <si>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</si>
  <si>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</si>
  <si>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</si>
  <si>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</si>
  <si>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</si>
  <si>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</si>
  <si>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</si>
  <si>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</si>
  <si>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</si>
  <si>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</si>
  <si>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</si>
  <si>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</si>
  <si>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</si>
  <si>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</si>
  <si>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</si>
  <si>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</si>
  <si>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</si>
  <si>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</si>
  <si>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</si>
  <si>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</si>
  <si>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</si>
  <si>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</si>
  <si>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</si>
  <si>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</si>
  <si>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</si>
  <si>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</si>
  <si>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</si>
  <si>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</si>
  <si>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</si>
  <si>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</si>
  <si>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</si>
  <si>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</si>
  <si>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</si>
  <si>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</si>
  <si>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</si>
  <si>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</si>
  <si>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</si>
  <si>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</si>
  <si>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</si>
  <si>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</si>
  <si>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</si>
  <si>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</si>
  <si>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</si>
  <si>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</si>
  <si>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</si>
  <si>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</si>
  <si>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</si>
  <si>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</si>
  <si>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</si>
  <si>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</si>
  <si>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</si>
  <si>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</si>
  <si>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</si>
  <si>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</si>
  <si>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</si>
  <si>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</si>
  <si>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</si>
  <si>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</si>
  <si>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</si>
  <si>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</si>
  <si>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</si>
  <si>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</si>
  <si>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</si>
  <si>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</si>
  <si>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</si>
  <si>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</si>
  <si>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</si>
  <si>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</si>
  <si>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</si>
  <si>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</si>
  <si>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</si>
  <si>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</si>
  <si>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</si>
  <si>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</si>
  <si>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</si>
  <si>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</si>
  <si>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</si>
  <si>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</si>
  <si>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</si>
  <si>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</si>
  <si>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</si>
  <si>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</si>
  <si>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</si>
  <si>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</si>
  <si>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</si>
  <si>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</si>
  <si>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</si>
  <si>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</si>
  <si>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</si>
  <si>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</si>
  <si>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</si>
  <si>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</si>
  <si>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</si>
  <si>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</si>
  <si>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</si>
  <si>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</si>
  <si>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</si>
  <si>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</si>
  <si>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</si>
  <si>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</si>
  <si>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</si>
  <si>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</si>
  <si>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</si>
  <si>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</si>
  <si>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</si>
  <si>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</si>
  <si>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</si>
  <si>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</si>
  <si>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</si>
  <si>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</si>
  <si>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</si>
  <si>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</si>
  <si>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</si>
  <si>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</si>
  <si>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</si>
  <si>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</si>
  <si>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</si>
  <si>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</si>
  <si>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</si>
  <si>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</si>
  <si>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</si>
  <si>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</si>
  <si>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</si>
  <si>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</si>
  <si>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</si>
  <si>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</si>
  <si>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</si>
  <si>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</si>
  <si>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</si>
  <si>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</si>
  <si>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</si>
  <si>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</si>
  <si>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</si>
  <si>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</si>
  <si>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</si>
  <si>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</si>
  <si>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</si>
  <si>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</si>
  <si>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</si>
  <si>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</si>
  <si>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</si>
  <si>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</si>
  <si>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</si>
  <si>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</si>
  <si>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</si>
  <si>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</si>
  <si>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</si>
  <si>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</si>
  <si>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</si>
  <si>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</si>
  <si>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</si>
  <si>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</si>
  <si>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</si>
  <si>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</si>
  <si>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</si>
  <si>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</si>
  <si>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</si>
  <si>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</si>
  <si>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</si>
  <si>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</si>
  <si>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</si>
  <si>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</si>
  <si>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</si>
  <si>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</si>
  <si>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</si>
  <si>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</si>
  <si>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</si>
  <si>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</si>
  <si>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</si>
  <si>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</si>
  <si>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</si>
  <si>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</si>
  <si>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</si>
  <si>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</si>
  <si>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</si>
  <si>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</si>
  <si>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</si>
  <si>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</si>
  <si>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</si>
  <si>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</si>
  <si>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</si>
  <si>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</si>
  <si>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</si>
  <si>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</si>
  <si>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</si>
  <si>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</si>
  <si>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</si>
  <si>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</si>
  <si>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</si>
  <si>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</si>
  <si>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</si>
  <si>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</si>
  <si>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</si>
  <si>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</si>
  <si>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</si>
  <si>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</si>
  <si>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</si>
  <si>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</si>
  <si>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</si>
  <si>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</si>
  <si>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</si>
  <si>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</si>
  <si>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</si>
  <si>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</si>
  <si>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</si>
  <si>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</si>
  <si>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</si>
  <si>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</si>
  <si>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</si>
  <si>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</si>
  <si>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</si>
  <si>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</si>
  <si>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</si>
  <si>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</si>
  <si>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</si>
  <si>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</si>
  <si>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</si>
  <si>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</si>
  <si>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</si>
  <si>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</si>
  <si>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</si>
  <si>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</si>
  <si>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</si>
  <si>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</si>
  <si>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</si>
  <si>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</si>
  <si>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</si>
  <si>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</si>
  <si>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</si>
  <si>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</si>
  <si>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</si>
  <si>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</si>
  <si>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</si>
  <si>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</si>
  <si>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</si>
  <si>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</si>
  <si>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</si>
  <si>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</si>
  <si>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</si>
  <si>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</si>
  <si>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</si>
  <si>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</si>
  <si>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</si>
  <si>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</si>
  <si>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</si>
  <si>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</si>
  <si>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</si>
  <si>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</si>
  <si>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</si>
  <si>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</si>
  <si>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</si>
  <si>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</si>
  <si>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</si>
  <si>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</si>
  <si>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</si>
  <si>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</si>
  <si>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</si>
  <si>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</si>
  <si>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</si>
  <si>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</si>
  <si>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</si>
  <si>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</si>
  <si>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</si>
  <si>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</si>
  <si>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</si>
  <si>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</si>
  <si>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</si>
  <si>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</si>
  <si>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</si>
  <si>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</si>
  <si>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</si>
  <si>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</si>
  <si>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</si>
  <si>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</si>
  <si>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</si>
  <si>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</si>
  <si>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</si>
  <si>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</si>
  <si>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</si>
  <si>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</si>
  <si>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</si>
  <si>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</si>
  <si>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</si>
  <si>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</si>
  <si>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</si>
  <si>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</si>
  <si>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</si>
  <si>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</si>
  <si>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</si>
  <si>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</si>
  <si>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</si>
  <si>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</si>
  <si>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</si>
  <si>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</si>
  <si>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</si>
  <si>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</si>
  <si>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</si>
  <si>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</si>
  <si>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</si>
  <si>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</si>
  <si>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</si>
  <si>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</si>
  <si>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</si>
  <si>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</si>
  <si>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</si>
  <si>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</si>
  <si>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</si>
  <si>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</si>
  <si>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</si>
  <si>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</si>
  <si>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</si>
  <si>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</si>
  <si>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</si>
  <si>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</si>
  <si>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</si>
  <si>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</si>
  <si>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</si>
  <si>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</si>
  <si>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</si>
  <si>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</si>
  <si>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</si>
  <si>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</si>
  <si>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</si>
  <si>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</si>
  <si>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</si>
  <si>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</si>
  <si>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</si>
  <si>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</si>
  <si>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</si>
  <si>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</si>
  <si>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</si>
  <si>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</si>
  <si>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</si>
  <si>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</si>
  <si>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</si>
  <si>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</si>
  <si>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</si>
  <si>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</si>
  <si>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</si>
  <si>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</si>
  <si>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</si>
  <si>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</si>
  <si>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</si>
  <si>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</si>
  <si>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</si>
  <si>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</si>
  <si>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</si>
  <si>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</si>
  <si>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</si>
  <si>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</si>
  <si>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</si>
  <si>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</si>
  <si>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</si>
  <si>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</si>
  <si>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</si>
  <si>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</si>
  <si>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</si>
  <si>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</si>
  <si>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</si>
  <si>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</si>
  <si>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</si>
  <si>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</si>
  <si>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</si>
  <si>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</si>
  <si>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</si>
  <si>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</si>
  <si>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</si>
  <si>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</si>
  <si>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</si>
  <si>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</si>
  <si>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</si>
  <si>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</si>
  <si>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</si>
  <si>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</si>
  <si>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</si>
  <si>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</si>
  <si>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</si>
  <si>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</si>
  <si>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</si>
  <si>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</si>
  <si>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</si>
  <si>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</si>
  <si>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</si>
  <si>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</si>
  <si>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</si>
  <si>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</si>
  <si>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</si>
  <si>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</si>
  <si>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</si>
  <si>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</si>
  <si>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</si>
  <si>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</si>
  <si>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</si>
  <si>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</si>
  <si>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</si>
  <si>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</si>
  <si>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</si>
  <si>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</si>
  <si>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</si>
  <si>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</si>
  <si>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</si>
  <si>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</si>
  <si>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</si>
  <si>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</si>
  <si>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</si>
  <si>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</si>
  <si>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</si>
  <si>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</si>
  <si>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</si>
  <si>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</si>
  <si>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</si>
  <si>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</si>
  <si>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</si>
  <si>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</si>
  <si>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</si>
  <si>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</si>
  <si>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</si>
  <si>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</si>
  <si>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</si>
  <si>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</si>
  <si>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</si>
  <si>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</si>
  <si>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</si>
  <si>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</si>
  <si>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</si>
  <si>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</si>
  <si>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</si>
  <si>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</si>
  <si>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</si>
  <si>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</si>
  <si>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</si>
  <si>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</si>
  <si>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</si>
  <si>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</si>
  <si>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</si>
  <si>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</si>
  <si>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</si>
  <si>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</si>
  <si>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</si>
  <si>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</si>
  <si>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</si>
  <si>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</si>
  <si>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</si>
  <si>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</si>
  <si>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</si>
  <si>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</si>
  <si>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</si>
  <si>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</si>
  <si>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</si>
  <si>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</si>
  <si>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</si>
  <si>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</si>
  <si>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</si>
  <si>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</si>
  <si>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</si>
  <si>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</si>
  <si>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</si>
  <si>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</si>
  <si>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</si>
  <si>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</si>
  <si>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</si>
  <si>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</si>
  <si>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</si>
  <si>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</si>
  <si>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</si>
  <si>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</si>
  <si>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</si>
  <si>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</si>
  <si>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</si>
  <si>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</si>
  <si>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</si>
  <si>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</si>
  <si>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</si>
  <si>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</si>
  <si>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</si>
  <si>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</si>
  <si>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</si>
  <si>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</si>
  <si>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</si>
  <si>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</si>
  <si>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</si>
  <si>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</si>
  <si>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</si>
  <si>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</si>
  <si>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</si>
  <si>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</si>
  <si>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</si>
  <si>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</si>
  <si>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</si>
  <si>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</si>
  <si>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</si>
  <si>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</si>
  <si>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</si>
  <si>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</si>
  <si>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</si>
  <si>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</si>
  <si>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</si>
  <si>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</si>
  <si>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</si>
  <si>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</si>
  <si>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</si>
  <si>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</si>
  <si>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</si>
  <si>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</si>
  <si>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</si>
  <si>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</si>
  <si>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</si>
  <si>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</si>
  <si>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</si>
  <si>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</si>
  <si>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</si>
  <si>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</si>
  <si>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</si>
  <si>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</si>
  <si>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</si>
  <si>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</si>
  <si>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</si>
  <si>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</si>
  <si>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</si>
  <si>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</si>
  <si>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</si>
  <si>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</si>
  <si>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</si>
  <si>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</si>
  <si>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</si>
  <si>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</si>
  <si>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</si>
  <si>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</si>
  <si>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</si>
  <si>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</si>
  <si>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</si>
  <si>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</si>
  <si>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</si>
  <si>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</si>
  <si>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</si>
  <si>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</si>
  <si>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</si>
  <si>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</si>
  <si>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</si>
  <si>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</si>
  <si>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</si>
  <si>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</si>
  <si>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</si>
  <si>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</si>
  <si>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</si>
  <si>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</si>
  <si>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</si>
  <si>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</si>
  <si>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</si>
  <si>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</si>
  <si>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</si>
  <si>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</si>
  <si>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</si>
  <si>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</si>
  <si>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</si>
  <si>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</si>
  <si>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</si>
  <si>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</si>
  <si>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</si>
  <si>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</si>
  <si>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</si>
  <si>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</si>
  <si>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</si>
  <si>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</si>
  <si>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</si>
  <si>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</si>
  <si>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</si>
  <si>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</si>
  <si>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</si>
  <si>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</si>
  <si>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</si>
  <si>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</si>
  <si>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</si>
  <si>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</si>
  <si>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</si>
  <si>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</si>
  <si>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</si>
  <si>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</si>
  <si>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</si>
  <si>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</si>
  <si>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</si>
  <si>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</si>
  <si>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</si>
  <si>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</si>
  <si>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</si>
  <si>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</si>
  <si>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</si>
  <si>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</si>
  <si>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</si>
  <si>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</si>
  <si>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</si>
  <si>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</si>
  <si>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</si>
  <si>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</si>
  <si>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</si>
  <si>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</si>
  <si>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</si>
  <si>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</si>
  <si>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</si>
  <si>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</si>
  <si>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</si>
  <si>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</si>
  <si>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</si>
  <si>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</si>
  <si>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</si>
  <si>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</si>
  <si>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</si>
  <si>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</si>
  <si>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</si>
  <si>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</si>
  <si>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</si>
  <si>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</si>
  <si>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</si>
  <si>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</si>
  <si>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</si>
  <si>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</si>
  <si>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</si>
  <si>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</si>
  <si>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</si>
  <si>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</si>
  <si>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</si>
  <si>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</si>
  <si>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</si>
  <si>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</si>
  <si>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</si>
  <si>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</si>
  <si>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</si>
  <si>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</si>
  <si>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</si>
  <si>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</si>
  <si>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</si>
  <si>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</si>
  <si>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</si>
  <si>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</si>
  <si>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</si>
  <si>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</si>
  <si>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</si>
  <si>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</si>
  <si>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</si>
  <si>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</si>
  <si>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</si>
  <si>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</si>
  <si>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</si>
  <si>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</si>
  <si>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</si>
  <si>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</si>
  <si>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</si>
  <si>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</si>
  <si>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</si>
  <si>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</si>
  <si>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</si>
  <si>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</si>
  <si>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</si>
  <si>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</si>
  <si>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</si>
  <si>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</si>
  <si>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</si>
  <si>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</si>
  <si>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</si>
  <si>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</si>
  <si>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</si>
  <si>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</si>
  <si>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</si>
  <si>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</si>
  <si>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</si>
  <si>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</si>
  <si>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</si>
  <si>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</si>
  <si>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</si>
  <si>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</si>
  <si>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</si>
  <si>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</si>
  <si>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</si>
  <si>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</si>
  <si>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</si>
  <si>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</si>
  <si>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</si>
  <si>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</si>
  <si>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</si>
  <si>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</si>
  <si>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</si>
  <si>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</si>
  <si>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</si>
  <si>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</si>
  <si>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</si>
  <si>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</si>
  <si>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</si>
  <si>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</si>
  <si>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</si>
  <si>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</si>
  <si>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</si>
  <si>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</si>
  <si>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</si>
  <si>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</si>
  <si>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</si>
  <si>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</si>
  <si>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</si>
  <si>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</si>
  <si>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</si>
  <si>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</si>
  <si>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</si>
  <si>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</si>
  <si>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</si>
  <si>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</si>
  <si>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</si>
  <si>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</si>
  <si>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</si>
  <si>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</si>
  <si>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</si>
  <si>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</si>
  <si>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</si>
  <si>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</si>
  <si>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</si>
  <si>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</si>
  <si>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</si>
  <si>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</si>
  <si>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</si>
  <si>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</si>
  <si>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</si>
  <si>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</si>
  <si>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</si>
  <si>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</si>
  <si>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</si>
  <si>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</si>
  <si>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</si>
  <si>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</si>
  <si>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</si>
  <si>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</si>
  <si>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</si>
  <si>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</si>
  <si>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</si>
  <si>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</si>
  <si>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</si>
  <si>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</si>
  <si>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</si>
  <si>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</si>
  <si>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</si>
  <si>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</si>
  <si>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</si>
  <si>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</si>
  <si>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</si>
  <si>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</si>
  <si>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</si>
  <si>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</si>
  <si>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</si>
  <si>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</si>
  <si>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</si>
  <si>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</si>
  <si>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</si>
  <si>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</si>
  <si>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</si>
  <si>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</si>
  <si>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</si>
  <si>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</si>
  <si>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</si>
  <si>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</si>
  <si>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</si>
  <si>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</si>
  <si>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</si>
  <si>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</si>
  <si>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</si>
  <si>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</si>
  <si>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</si>
  <si>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</si>
  <si>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</si>
  <si>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</si>
  <si>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</si>
  <si>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</si>
  <si>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</si>
  <si>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</si>
  <si>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</si>
  <si>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</si>
  <si>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</si>
  <si>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</si>
  <si>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</si>
  <si>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</si>
  <si>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</si>
  <si>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</si>
  <si>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</si>
  <si>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</si>
  <si>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</si>
  <si>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</si>
  <si>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</si>
  <si>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</si>
  <si>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</si>
  <si>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</si>
  <si>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</si>
  <si>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</si>
  <si>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</si>
  <si>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</si>
  <si>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</si>
  <si>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</si>
  <si>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</si>
  <si>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</si>
  <si>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</si>
  <si>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</si>
  <si>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</si>
  <si>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</si>
  <si>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</si>
  <si>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</si>
  <si>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</si>
  <si>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</si>
  <si>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</si>
  <si>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</si>
  <si>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</si>
  <si>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</si>
  <si>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</si>
  <si>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</si>
  <si>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</si>
  <si>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</si>
  <si>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</si>
  <si>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</si>
  <si>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</si>
  <si>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</si>
  <si>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</si>
  <si>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</si>
  <si>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</si>
  <si>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</si>
  <si>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</si>
  <si>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</si>
  <si>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</si>
  <si>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</si>
  <si>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</si>
  <si>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</si>
  <si>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</si>
  <si>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</si>
  <si>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</si>
  <si>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</si>
  <si>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</si>
  <si>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</si>
  <si>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</si>
  <si>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</si>
  <si>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</si>
  <si>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</si>
  <si>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</si>
  <si>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</si>
  <si>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</si>
  <si>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</si>
  <si>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</si>
  <si>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</si>
  <si>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</si>
  <si>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</si>
  <si>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</si>
  <si>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</si>
  <si>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</si>
  <si>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</si>
  <si>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</si>
  <si>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</si>
  <si>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</si>
  <si>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</si>
  <si>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</si>
  <si>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</si>
  <si>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</si>
  <si>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</si>
  <si>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</si>
  <si>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</si>
  <si>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</si>
  <si>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</si>
  <si>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</si>
  <si>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</si>
  <si>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</si>
  <si>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</si>
  <si>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</si>
  <si>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</si>
  <si>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</si>
  <si>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</si>
  <si>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</si>
  <si>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</si>
  <si>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</si>
  <si>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</si>
  <si>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</si>
  <si>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</si>
  <si>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</si>
  <si>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</si>
  <si>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</si>
  <si>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</si>
  <si>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</si>
  <si>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</si>
  <si>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</si>
  <si>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</si>
  <si>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</si>
  <si>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</si>
  <si>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</si>
  <si>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</si>
  <si>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</si>
  <si>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</si>
  <si>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</si>
  <si>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</si>
  <si>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</si>
  <si>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</si>
  <si>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</si>
  <si>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</si>
  <si>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</si>
  <si>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</si>
  <si>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</si>
  <si>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</si>
  <si>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</si>
  <si>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</si>
  <si>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</si>
  <si>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</si>
  <si>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</si>
  <si>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</si>
  <si>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</si>
  <si>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</si>
  <si>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</si>
  <si>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</si>
  <si>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</si>
  <si>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</si>
  <si>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</si>
  <si>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</si>
  <si>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</si>
  <si>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</si>
  <si>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</si>
  <si>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</si>
  <si>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</si>
  <si>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</si>
  <si>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</si>
  <si>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</si>
  <si>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</si>
  <si>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</si>
  <si>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</si>
  <si>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</si>
  <si>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</si>
  <si>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</si>
  <si>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</si>
  <si>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</si>
  <si>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</si>
  <si>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</si>
  <si>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</si>
  <si>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</si>
  <si>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</si>
  <si>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</si>
  <si>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</si>
  <si>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</si>
  <si>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</si>
  <si>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</si>
  <si>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</si>
  <si>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</si>
  <si>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</si>
  <si>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</si>
  <si>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</si>
  <si>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</si>
  <si>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</si>
  <si>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</si>
  <si>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</si>
  <si>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</si>
  <si>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</si>
  <si>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</si>
  <si>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</si>
  <si>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</si>
  <si>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</si>
  <si>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</si>
  <si>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</si>
  <si>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</si>
  <si>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</si>
  <si>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</si>
  <si>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</si>
  <si>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</si>
  <si>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</si>
  <si>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</si>
  <si>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</si>
  <si>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</si>
  <si>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</si>
  <si>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</si>
  <si>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</si>
  <si>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</si>
  <si>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</si>
  <si>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</si>
  <si>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</si>
  <si>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</si>
  <si>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</si>
  <si>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</si>
  <si>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</si>
  <si>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</si>
  <si>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</si>
  <si>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</si>
  <si>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</si>
  <si>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</si>
  <si>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</si>
  <si>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</si>
  <si>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</si>
  <si>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</si>
  <si>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</si>
  <si>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</si>
  <si>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</si>
  <si>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</si>
  <si>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</si>
  <si>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</si>
  <si>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</si>
  <si>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</si>
  <si>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</si>
  <si>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</si>
  <si>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</si>
  <si>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</si>
  <si>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</si>
  <si>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</si>
  <si>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</si>
  <si>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</si>
  <si>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</si>
  <si>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</si>
  <si>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</si>
  <si>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</si>
  <si>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</si>
  <si>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</si>
  <si>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</si>
  <si>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</si>
  <si>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</si>
  <si>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</si>
  <si>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</si>
  <si>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</si>
  <si>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</si>
  <si>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</si>
  <si>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</si>
  <si>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</si>
  <si>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</si>
  <si>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</si>
  <si>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</si>
  <si>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</si>
  <si>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</si>
  <si>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</si>
  <si>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</si>
  <si>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</si>
  <si>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</si>
  <si>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</si>
  <si>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</si>
  <si>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</si>
  <si>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</si>
  <si>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</si>
  <si>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</si>
  <si>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</si>
  <si>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</si>
  <si>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</si>
  <si>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</si>
  <si>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</si>
  <si>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</si>
  <si>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</si>
  <si>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</si>
  <si>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</si>
  <si>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</si>
  <si>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</si>
  <si>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</si>
  <si>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</si>
  <si>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</si>
  <si>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</si>
  <si>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</si>
  <si>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</si>
  <si>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</si>
  <si>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</si>
  <si>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</si>
  <si>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</si>
  <si>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</si>
  <si>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</si>
  <si>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</si>
  <si>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</si>
  <si>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</si>
  <si>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</si>
  <si>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</si>
  <si>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</si>
  <si>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</si>
  <si>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</si>
  <si>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</si>
  <si>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</si>
  <si>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</si>
  <si>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</si>
  <si>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</si>
  <si>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</si>
  <si>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</si>
  <si>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</si>
  <si>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</si>
  <si>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</si>
  <si>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</si>
  <si>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</si>
  <si>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</si>
  <si>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</si>
  <si>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</si>
  <si>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</si>
  <si>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</si>
  <si>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</si>
  <si>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</si>
  <si>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</si>
  <si>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</si>
  <si>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</si>
  <si>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</si>
  <si>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</si>
  <si>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</si>
  <si>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</si>
  <si>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</si>
  <si>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</si>
  <si>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</si>
  <si>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</si>
  <si>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</si>
  <si>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</si>
  <si>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</si>
  <si>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</si>
  <si>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</si>
  <si>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</si>
  <si>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</si>
  <si>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</si>
  <si>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</si>
  <si>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</si>
  <si>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</si>
  <si>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</si>
  <si>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</si>
  <si>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</si>
  <si>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</si>
  <si>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</si>
  <si>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</si>
  <si>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</si>
  <si>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</si>
  <si>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</si>
  <si>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</si>
  <si>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</si>
  <si>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</si>
  <si>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</si>
  <si>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</si>
  <si>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</si>
  <si>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</si>
  <si>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</si>
  <si>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</si>
  <si>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</si>
  <si>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</si>
  <si>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</si>
  <si>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</si>
  <si>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</si>
  <si>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</si>
  <si>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</si>
  <si>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</si>
  <si>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</si>
  <si>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</si>
  <si>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</si>
  <si>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</si>
  <si>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</si>
  <si>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</si>
  <si>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</si>
  <si>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</si>
  <si>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</si>
  <si>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</si>
  <si>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</si>
  <si>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</si>
  <si>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</si>
  <si>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</si>
  <si>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</si>
  <si>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</si>
  <si>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</si>
  <si>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</si>
  <si>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</si>
  <si>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</si>
  <si>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</si>
  <si>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</si>
  <si>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</si>
  <si>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</si>
  <si>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</si>
  <si>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</si>
  <si>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</si>
  <si>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</si>
  <si>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</si>
  <si>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</si>
  <si>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</si>
  <si>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</si>
  <si>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</si>
  <si>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</si>
  <si>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</si>
  <si>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</si>
  <si>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</si>
  <si>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</si>
  <si>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</si>
  <si>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</si>
  <si>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</si>
  <si>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</si>
  <si>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</si>
  <si>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</si>
  <si>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</si>
  <si>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</si>
  <si>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</si>
  <si>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</si>
  <si>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</si>
  <si>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</si>
  <si>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</si>
  <si>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</si>
  <si>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</si>
  <si>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</si>
  <si>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</si>
  <si>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</si>
  <si>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</si>
  <si>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</si>
  <si>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</si>
  <si>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</si>
  <si>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</si>
  <si>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</si>
  <si>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</si>
  <si>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</si>
  <si>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</si>
  <si>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</si>
  <si>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</si>
  <si>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</si>
  <si>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</si>
  <si>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</si>
  <si>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</si>
  <si>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</si>
  <si>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</si>
  <si>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</si>
  <si>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</si>
  <si>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</si>
  <si>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</si>
  <si>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</si>
  <si>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</si>
  <si>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</si>
  <si>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</si>
  <si>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</si>
  <si>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</si>
  <si>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</si>
  <si>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</si>
  <si>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</si>
  <si>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</si>
  <si>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</si>
  <si>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</si>
  <si>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</si>
  <si>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</si>
  <si>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</si>
  <si>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</si>
  <si>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</si>
  <si>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</si>
  <si>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</si>
  <si>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</si>
  <si>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</si>
  <si>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</si>
  <si>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</si>
  <si>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</si>
  <si>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</si>
  <si>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</si>
  <si>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</si>
  <si>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</si>
  <si>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</si>
  <si>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</si>
  <si>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</si>
  <si>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</si>
  <si>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</si>
  <si>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</si>
  <si>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</si>
  <si>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</si>
  <si>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</si>
  <si>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</si>
  <si>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</si>
  <si>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</si>
  <si>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</si>
  <si>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</si>
  <si>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</si>
  <si>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</si>
  <si>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</si>
  <si>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</si>
  <si>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</si>
  <si>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</si>
  <si>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</si>
  <si>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</si>
  <si>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</si>
  <si>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</si>
  <si>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</si>
  <si>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</si>
  <si>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</si>
  <si>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</si>
  <si>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</si>
  <si>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</si>
  <si>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</si>
  <si>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</si>
  <si>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</si>
  <si>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</si>
  <si>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</si>
  <si>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</si>
  <si>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</si>
  <si>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</si>
  <si>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</si>
  <si>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</si>
  <si>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</si>
  <si>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</si>
  <si>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</si>
  <si>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</si>
  <si>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</si>
  <si>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</si>
  <si>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</si>
  <si>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</si>
  <si>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</si>
  <si>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</si>
  <si>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</si>
  <si>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</si>
  <si>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</si>
  <si>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</si>
  <si>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</si>
  <si>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</si>
  <si>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</si>
  <si>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</si>
  <si>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</si>
  <si>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</si>
  <si>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</si>
  <si>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</si>
  <si>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</si>
  <si>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</si>
  <si>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</si>
  <si>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</si>
  <si>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</si>
  <si>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</si>
  <si>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</si>
  <si>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</si>
  <si>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</si>
  <si>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</si>
  <si>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</si>
  <si>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</si>
  <si>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</si>
  <si>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</si>
  <si>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</si>
  <si>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</si>
  <si>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</si>
  <si>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</si>
  <si>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</si>
  <si>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</si>
  <si>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</si>
  <si>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</si>
  <si>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</si>
  <si>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</si>
  <si>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</si>
  <si>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</si>
  <si>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</si>
  <si>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</si>
  <si>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</si>
  <si>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</si>
  <si>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</si>
  <si>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</si>
  <si>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</si>
  <si>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</si>
  <si>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</si>
  <si>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</si>
  <si>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</si>
  <si>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</si>
  <si>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</si>
  <si>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</si>
  <si>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</si>
  <si>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</si>
  <si>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</si>
  <si>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t>万元</t>
  </si>
  <si>
    <r>
      <t>110102</t>
    </r>
    <r>
      <rPr>
        <sz val="10"/>
        <color indexed="8"/>
        <rFont val="宋体"/>
        <family val="3"/>
        <charset val="134"/>
      </rPr>
      <t>等</t>
    </r>
    <r>
      <rPr>
        <sz val="10"/>
        <color indexed="8"/>
        <rFont val="Arial"/>
        <family val="2"/>
      </rPr>
      <t>9</t>
    </r>
    <r>
      <rPr>
        <sz val="10"/>
        <color indexed="8"/>
        <rFont val="宋体"/>
        <family val="3"/>
        <charset val="134"/>
      </rPr>
      <t>套房</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</si>
</sst>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6" fontId="247" fillId="8" borderId="172"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196" fontId="247" fillId="8" borderId="172"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3" xfId="0" applyNumberFormat="1" applyFont="1" applyFill="1" applyBorder="1" applyAlignment="1">
      <alignment horizontal="left"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2017年12月29日（评估专业人员实地查勘之日）</v>
      </c>
    </row>
    <row r="10" spans="1:2">
      <c r="A10" s="1701" t="s">
        <v>1117</v>
      </c>
      <c r="B10" s="1688" t="str">
        <f>'预评函-1'!A13</f>
        <v>本次估价的“房地产价值”是指在正常市场情况下，在价值时点2017年12月29日，估价对象规划用途为办公，假定未设立法定优先受偿款下的房地产市场价值。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851.59</v>
      </c>
    </row>
    <row r="19" spans="1:2">
      <c r="A19" s="1701" t="s">
        <v>1126</v>
      </c>
      <c r="B19" s="1688" t="e">
        <f ca="1">'预评函-2（1）'!D7</f>
        <v>#REF!</v>
      </c>
    </row>
    <row r="20" spans="1:2">
      <c r="A20" s="1701" t="s">
        <v>1164</v>
      </c>
      <c r="B20" s="1688" t="str">
        <f>'预评函-2（1）'!C7</f>
        <v>总价（万元）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87.45</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43098</v>
      </c>
      <c r="C2" s="1998" t="s">
        <v>1508</v>
      </c>
      <c r="D2" s="1087">
        <f>B2</f>
        <v>43098</v>
      </c>
      <c r="E2" s="1063"/>
      <c r="F2" s="1063"/>
      <c r="G2" s="1682"/>
      <c r="H2" s="1019"/>
    </row>
    <row r="3" spans="1:10" ht="13.5" thickBot="1">
      <c r="A3" s="1999" t="s">
        <v>1509</v>
      </c>
      <c r="B3" s="2000" t="s">
        <v>2931</v>
      </c>
      <c r="C3" s="1064">
        <f ca="1">SUMIF(注册房地产估价师,B3,估价师及机构信息!B3:B24)</f>
        <v>1120140022</v>
      </c>
      <c r="D3" s="2000" t="s">
        <v>2932</v>
      </c>
      <c r="E3" s="1065">
        <f ca="1">SUMIF(注册房地产估价师,D3,估价师及机构信息!B3:B24)</f>
        <v>1419970001</v>
      </c>
      <c r="F3" s="1066"/>
      <c r="G3" s="1683"/>
      <c r="H3" s="1019"/>
    </row>
    <row r="4" spans="1:10" ht="13.5" customHeight="1" thickTop="1">
      <c r="A4" s="2001" t="s">
        <v>1510</v>
      </c>
      <c r="B4" s="2752" t="s">
        <v>2824</v>
      </c>
      <c r="C4" s="2002" t="s">
        <v>1511</v>
      </c>
      <c r="D4" s="2003" t="s">
        <v>2770</v>
      </c>
      <c r="E4" s="1063"/>
      <c r="F4" s="1063"/>
      <c r="G4" s="1682"/>
    </row>
    <row r="5" spans="1:10">
      <c r="A5" s="2004" t="s">
        <v>1512</v>
      </c>
      <c r="B5" s="2751" t="s">
        <v>2823</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2825</v>
      </c>
      <c r="E7" s="1067"/>
      <c r="F7" s="1066"/>
      <c r="G7" s="1683"/>
    </row>
    <row r="8" spans="1:10" ht="13.5" thickTop="1">
      <c r="A8" s="2848" t="s">
        <v>1518</v>
      </c>
      <c r="B8" s="2017" t="s">
        <v>1519</v>
      </c>
      <c r="C8" s="2860" t="s">
        <v>2945</v>
      </c>
      <c r="D8" s="2861"/>
      <c r="E8" s="2018" t="s">
        <v>1520</v>
      </c>
      <c r="F8" s="2019" t="s">
        <v>1521</v>
      </c>
      <c r="G8" s="690">
        <f>C6</f>
        <v>0</v>
      </c>
    </row>
    <row r="9" spans="1:10">
      <c r="A9" s="2848"/>
      <c r="B9" s="344" t="s">
        <v>1522</v>
      </c>
      <c r="C9" s="2005"/>
      <c r="D9" s="2020" t="s">
        <v>2774</v>
      </c>
      <c r="E9" s="1009" t="s">
        <v>1523</v>
      </c>
      <c r="F9" s="995" t="s">
        <v>221</v>
      </c>
      <c r="G9" s="1011"/>
    </row>
    <row r="10" spans="1:10" ht="13.5" thickBot="1">
      <c r="A10" s="2848"/>
      <c r="B10" s="344" t="s">
        <v>1524</v>
      </c>
      <c r="C10" s="2862"/>
      <c r="D10" s="2863"/>
      <c r="E10" s="2021" t="s">
        <v>1525</v>
      </c>
      <c r="F10" s="1012" t="s">
        <v>224</v>
      </c>
      <c r="G10" s="1013"/>
    </row>
    <row r="11" spans="1:10" ht="13.5" thickBot="1">
      <c r="A11" s="2848"/>
      <c r="B11" s="2022" t="s">
        <v>1526</v>
      </c>
      <c r="C11" s="2864"/>
      <c r="D11" s="2865"/>
      <c r="E11" s="1021"/>
      <c r="F11" s="1020"/>
      <c r="G11" s="1073"/>
    </row>
    <row r="12" spans="1:10" ht="24.75" thickBot="1">
      <c r="A12" s="2851" t="s">
        <v>1527</v>
      </c>
      <c r="B12" s="2023" t="s">
        <v>1528</v>
      </c>
      <c r="C12" s="1015">
        <v>851.59</v>
      </c>
      <c r="D12" s="2023" t="s">
        <v>1529</v>
      </c>
      <c r="E12" s="2024" t="s">
        <v>1530</v>
      </c>
      <c r="F12" s="2025" t="s">
        <v>1531</v>
      </c>
      <c r="G12" s="1073"/>
    </row>
    <row r="13" spans="1:10" ht="21" customHeight="1" thickBot="1">
      <c r="A13" s="2852"/>
      <c r="B13" s="2026" t="s">
        <v>1532</v>
      </c>
      <c r="C13" s="1016">
        <v>87.45</v>
      </c>
      <c r="D13" s="2026" t="s">
        <v>1533</v>
      </c>
      <c r="E13" s="2027" t="s">
        <v>1530</v>
      </c>
      <c r="F13" s="1020"/>
      <c r="G13" s="1073"/>
      <c r="I13" s="2838"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3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3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66" t="s">
        <v>1541</v>
      </c>
      <c r="C17" s="2867"/>
      <c r="D17" s="2868" t="s">
        <v>1542</v>
      </c>
      <c r="E17" s="2869"/>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2933</v>
      </c>
      <c r="D22" s="2055" t="s">
        <v>1550</v>
      </c>
      <c r="E22" s="2054" t="s">
        <v>2934</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54" t="s">
        <v>1557</v>
      </c>
      <c r="D27" s="2855"/>
      <c r="E27" s="1003" t="s">
        <v>2805</v>
      </c>
      <c r="F27" s="1010" t="s">
        <v>1557</v>
      </c>
      <c r="G27" s="1003"/>
      <c r="I27" s="1070"/>
      <c r="K27" s="1070"/>
    </row>
    <row r="28" spans="1:15" ht="50.25">
      <c r="A28" s="1007" t="s">
        <v>1558</v>
      </c>
      <c r="B28" s="977"/>
      <c r="C28" s="2856" t="s">
        <v>1559</v>
      </c>
      <c r="D28" s="2857"/>
      <c r="E28" s="977" t="s">
        <v>2822</v>
      </c>
      <c r="F28" s="1893" t="s">
        <v>1559</v>
      </c>
      <c r="G28" s="977"/>
      <c r="I28" s="1070"/>
      <c r="K28" s="1070"/>
    </row>
    <row r="29" spans="1:15">
      <c r="A29" s="1007" t="s">
        <v>1560</v>
      </c>
      <c r="B29" s="977"/>
      <c r="C29" s="2856" t="s">
        <v>1560</v>
      </c>
      <c r="D29" s="2857"/>
      <c r="E29" s="977"/>
      <c r="F29" s="1893" t="s">
        <v>1561</v>
      </c>
      <c r="G29" s="977"/>
      <c r="I29" s="1070"/>
      <c r="K29" s="1070"/>
    </row>
    <row r="30" spans="1:15">
      <c r="A30" s="1007" t="s">
        <v>1562</v>
      </c>
      <c r="B30" s="977"/>
      <c r="C30" s="2845" t="s">
        <v>1563</v>
      </c>
      <c r="D30" s="2064"/>
      <c r="E30" s="1022" t="str">
        <f>E31&amp;" "&amp;E32&amp;" "&amp;E33&amp;" "&amp;E34</f>
        <v xml:space="preserve">   </v>
      </c>
      <c r="F30" s="1893" t="s">
        <v>1564</v>
      </c>
      <c r="G30" s="977"/>
    </row>
    <row r="31" spans="1:15">
      <c r="A31" s="1007" t="s">
        <v>1565</v>
      </c>
      <c r="B31" s="977"/>
      <c r="C31" s="2846"/>
      <c r="D31" s="1892" t="s">
        <v>1566</v>
      </c>
      <c r="E31" s="977"/>
      <c r="F31" s="1893" t="s">
        <v>1567</v>
      </c>
      <c r="G31" s="977"/>
    </row>
    <row r="32" spans="1:15" ht="13.5" thickBot="1">
      <c r="A32" s="1008" t="s">
        <v>1568</v>
      </c>
      <c r="B32" s="1004"/>
      <c r="C32" s="2846"/>
      <c r="D32" s="1892" t="s">
        <v>1569</v>
      </c>
      <c r="E32" s="977"/>
      <c r="F32" s="1893" t="s">
        <v>1570</v>
      </c>
      <c r="G32" s="977"/>
    </row>
    <row r="33" spans="1:7">
      <c r="A33" s="1006" t="s">
        <v>1571</v>
      </c>
      <c r="B33" s="1003"/>
      <c r="C33" s="2846"/>
      <c r="D33" s="1892" t="s">
        <v>1572</v>
      </c>
      <c r="E33" s="977"/>
      <c r="F33" s="1893" t="s">
        <v>1573</v>
      </c>
      <c r="G33" s="977"/>
    </row>
    <row r="34" spans="1:7" ht="13.5" thickBot="1">
      <c r="A34" s="1007" t="s">
        <v>1574</v>
      </c>
      <c r="B34" s="977"/>
      <c r="C34" s="2847"/>
      <c r="D34" s="1892" t="s">
        <v>1575</v>
      </c>
      <c r="E34" s="977"/>
      <c r="F34" s="1894" t="s">
        <v>1576</v>
      </c>
      <c r="G34" s="1005"/>
    </row>
    <row r="35" spans="1:7">
      <c r="A35" s="1007" t="s">
        <v>1528</v>
      </c>
      <c r="B35" s="977"/>
      <c r="C35" s="2856" t="s">
        <v>1577</v>
      </c>
      <c r="D35" s="2857"/>
      <c r="E35" s="2741" t="s">
        <v>2807</v>
      </c>
      <c r="F35" s="1018" t="s">
        <v>1578</v>
      </c>
      <c r="G35" s="1003"/>
    </row>
    <row r="36" spans="1:7" ht="13.5" thickBot="1">
      <c r="A36" s="1007" t="s">
        <v>1579</v>
      </c>
      <c r="B36" s="977"/>
      <c r="C36" s="2858" t="s">
        <v>1580</v>
      </c>
      <c r="D36" s="2859"/>
      <c r="E36" s="2740" t="s">
        <v>2806</v>
      </c>
      <c r="F36" s="1890" t="s">
        <v>1581</v>
      </c>
      <c r="G36" s="977"/>
    </row>
    <row r="37" spans="1:7" ht="13.5" thickBot="1">
      <c r="A37" s="1007" t="s">
        <v>1582</v>
      </c>
      <c r="B37" s="977"/>
      <c r="C37" s="2843" t="s">
        <v>1583</v>
      </c>
      <c r="D37" s="2065" t="s">
        <v>1567</v>
      </c>
      <c r="E37" s="2742" t="s">
        <v>2800</v>
      </c>
      <c r="F37" s="1894" t="s">
        <v>1584</v>
      </c>
      <c r="G37" s="1004"/>
    </row>
    <row r="38" spans="1:7">
      <c r="A38" s="1007" t="s">
        <v>1585</v>
      </c>
      <c r="B38" s="977"/>
      <c r="C38" s="2849"/>
      <c r="D38" s="1892" t="s">
        <v>1574</v>
      </c>
      <c r="E38" s="2741" t="s">
        <v>2800</v>
      </c>
      <c r="F38" s="1010" t="s">
        <v>1586</v>
      </c>
      <c r="G38" s="1003"/>
    </row>
    <row r="39" spans="1:7">
      <c r="A39" s="1007" t="s">
        <v>1587</v>
      </c>
      <c r="B39" s="977"/>
      <c r="C39" s="2849" t="s">
        <v>1588</v>
      </c>
      <c r="D39" s="1892" t="s">
        <v>1528</v>
      </c>
      <c r="E39" s="977">
        <f>C12</f>
        <v>851.59</v>
      </c>
      <c r="F39" s="1893" t="s">
        <v>1589</v>
      </c>
      <c r="G39" s="977"/>
    </row>
    <row r="40" spans="1:7" ht="24.75" customHeight="1" thickBot="1">
      <c r="A40" s="1008" t="s">
        <v>1590</v>
      </c>
      <c r="B40" s="1004"/>
      <c r="C40" s="2850"/>
      <c r="D40" s="1895" t="s">
        <v>1532</v>
      </c>
      <c r="E40" s="1004">
        <f>C13</f>
        <v>87.45</v>
      </c>
      <c r="F40" s="1894" t="s">
        <v>1591</v>
      </c>
      <c r="G40" s="1004"/>
    </row>
    <row r="41" spans="1:7">
      <c r="A41" s="1009" t="s">
        <v>1592</v>
      </c>
      <c r="B41" s="1059"/>
      <c r="C41" s="2839" t="s">
        <v>1592</v>
      </c>
      <c r="D41" s="2840"/>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41" t="s">
        <v>1595</v>
      </c>
      <c r="D48" s="2842"/>
      <c r="E48" s="1054"/>
      <c r="F48" s="1894" t="s">
        <v>1596</v>
      </c>
      <c r="G48" s="1004"/>
    </row>
    <row r="49" spans="1:15">
      <c r="A49" s="1007" t="s">
        <v>1597</v>
      </c>
      <c r="B49" s="1053"/>
      <c r="C49" s="2843" t="s">
        <v>1598</v>
      </c>
      <c r="D49" s="2844"/>
      <c r="E49" s="1055"/>
      <c r="F49" s="1083"/>
      <c r="G49" s="1084"/>
    </row>
    <row r="50" spans="1:15" ht="13.5" thickBot="1">
      <c r="A50" s="1007" t="s">
        <v>1599</v>
      </c>
      <c r="B50" s="1053"/>
      <c r="C50" s="2850" t="s">
        <v>1600</v>
      </c>
      <c r="D50" s="2853"/>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9" sqref="C9"/>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43098</v>
      </c>
      <c r="C2" s="1854"/>
      <c r="D2" s="2872"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2944</v>
      </c>
      <c r="C3" s="1854"/>
      <c r="D3" s="2873"/>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3"/>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851.59</v>
      </c>
      <c r="C5" s="1854"/>
      <c r="D5" s="2077" t="s">
        <v>1609</v>
      </c>
      <c r="E5" s="393">
        <f>项目情况!E4</f>
        <v>107.22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87.45</v>
      </c>
      <c r="C6" s="1854"/>
      <c r="D6" s="2077" t="s">
        <v>1611</v>
      </c>
      <c r="E6" s="393">
        <f>项目情况!F4</f>
        <v>11.01</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26.24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0.72399999999999998</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2980565</v>
      </c>
      <c r="F18" s="1319">
        <f>ROUND(E5*E17*IF(B25=0,1,E20),0)</f>
        <v>375270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2879</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7.5</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26.24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4" t="s">
        <v>1696</v>
      </c>
      <c r="B1" s="2875"/>
      <c r="C1" s="2875"/>
      <c r="D1" s="2875"/>
      <c r="E1" s="2875"/>
      <c r="F1" s="2875"/>
      <c r="G1" s="287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20" sqref="C20"/>
    </sheetView>
  </sheetViews>
  <sheetFormatPr defaultColWidth="14.625" defaultRowHeight="13.5"/>
  <cols>
    <col min="1" max="1" width="24.375" customWidth="1"/>
  </cols>
  <sheetData>
    <row r="1" spans="1:9" ht="16.5">
      <c r="A1" s="1829" t="s">
        <v>1226</v>
      </c>
      <c r="B1" s="1829">
        <f>SUM(B14:B23)</f>
        <v>851.59</v>
      </c>
      <c r="C1" s="1830"/>
      <c r="D1" s="1830"/>
      <c r="E1" s="1830"/>
      <c r="F1" s="1830"/>
      <c r="G1" s="1834"/>
    </row>
    <row r="2" spans="1:9" ht="16.5">
      <c r="A2" s="1829" t="s">
        <v>1227</v>
      </c>
      <c r="B2" s="1829">
        <f>SUM(C14:C23)</f>
        <v>87.45</v>
      </c>
      <c r="C2" s="1830"/>
      <c r="D2" s="1830"/>
      <c r="E2" s="1830"/>
      <c r="F2" s="1830"/>
      <c r="G2" s="1834"/>
    </row>
    <row r="3" spans="1:9" ht="16.5">
      <c r="A3" s="1829" t="s">
        <v>1228</v>
      </c>
      <c r="B3" s="1832">
        <f>项目基本情况!D2</f>
        <v>43098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3424</v>
      </c>
      <c r="C5" s="1829">
        <f ca="1">ROUND(B5*10000/$B$1,0)</f>
        <v>40207</v>
      </c>
      <c r="D5" s="1829">
        <f ca="1">ROUND(B5*10000/$B$2,0)</f>
        <v>391538</v>
      </c>
      <c r="E5" s="1830"/>
      <c r="F5" s="1834"/>
      <c r="G5" s="1834"/>
    </row>
    <row r="6" spans="1:9" ht="16.5">
      <c r="A6" s="1829" t="s">
        <v>1234</v>
      </c>
      <c r="B6" s="1829">
        <f ca="1">SUM(G14:G23)</f>
        <v>3424</v>
      </c>
      <c r="C6" s="1829">
        <f t="shared" ref="C6:C8" ca="1" si="0">ROUND(B6*10000/$B$1,0)</f>
        <v>40207</v>
      </c>
      <c r="D6" s="1829">
        <f t="shared" ref="D6:D8" ca="1" si="1">ROUND(B6*10000/$B$2,0)</f>
        <v>391538</v>
      </c>
      <c r="E6" s="1830"/>
      <c r="F6" s="1834"/>
      <c r="G6" s="1834"/>
    </row>
    <row r="7" spans="1:9" ht="16.5">
      <c r="A7" s="1829" t="s">
        <v>1235</v>
      </c>
      <c r="B7" s="1829">
        <f>SUM(H14:H23)</f>
        <v>0</v>
      </c>
      <c r="C7" s="1829">
        <f>ROUND(B7*10000/$B$1,0)</f>
        <v>0</v>
      </c>
      <c r="D7" s="1829">
        <f t="shared" si="1"/>
        <v>0</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851.59</v>
      </c>
      <c r="C14" s="1833">
        <f>项目基本情况!C13</f>
        <v>87.45</v>
      </c>
      <c r="D14" s="1833">
        <f ca="1">IF('数据-取费表'!B3="万元",IF(A14="估价对象1（结果表）",结果表!H121,'结果表 (1修多)'!H124),IF(A14="估价对象1（结果表）",结果表!H121,'结果表 (1修多)'!H124)/10000)</f>
        <v>3424</v>
      </c>
      <c r="E14" s="1833">
        <f ca="1">ROUND(D14*10000/B14,0)</f>
        <v>40207</v>
      </c>
      <c r="F14" s="1833">
        <f ca="1">ROUND(D14*10000/C14,0)</f>
        <v>391538</v>
      </c>
      <c r="G14" s="1833">
        <f ca="1">IF('数据-取费表'!B3="万元",IF(A14="估价对象1（结果表）",结果表!D125,'结果表 (1修多)'!D128),IF(A14="估价对象1（结果表）",结果表!D125,'结果表 (1修多)'!D128)/10000)</f>
        <v>3424</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40" t="str">
        <f>项目基本情况!B1</f>
        <v>北京市北京市西城区宣武门外大街6、8、10、12、16、18号6号楼110102等20套房房地产抵押价值预评估</v>
      </c>
      <c r="B2" s="2940"/>
      <c r="C2" s="2940"/>
      <c r="D2" s="2940"/>
      <c r="E2" s="2940"/>
      <c r="F2" s="2940"/>
      <c r="G2" s="2940"/>
      <c r="H2" s="2940"/>
      <c r="I2" s="2940"/>
    </row>
    <row r="3" spans="1:12" ht="12.75">
      <c r="A3" s="2943" t="s">
        <v>1725</v>
      </c>
      <c r="B3" s="2944"/>
      <c r="C3" s="2944"/>
      <c r="D3" s="2944"/>
      <c r="E3" s="2944"/>
      <c r="F3" s="2944"/>
      <c r="G3" s="2944"/>
      <c r="H3" s="2944"/>
      <c r="I3" s="2944"/>
    </row>
    <row r="4" spans="1:12" ht="14.25">
      <c r="A4" s="2195" t="s">
        <v>1726</v>
      </c>
      <c r="B4" s="2196" t="s">
        <v>1727</v>
      </c>
      <c r="C4" s="2197"/>
      <c r="D4" s="2197"/>
      <c r="E4" s="2924" t="s">
        <v>1728</v>
      </c>
      <c r="F4" s="2925"/>
      <c r="G4" s="2925"/>
      <c r="H4" s="2925"/>
      <c r="I4" s="2935"/>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17" t="s">
        <v>1729</v>
      </c>
      <c r="B5" s="2879">
        <v>25</v>
      </c>
      <c r="C5" s="2928"/>
      <c r="D5" s="2942"/>
      <c r="E5" s="56" t="s">
        <v>1730</v>
      </c>
      <c r="F5" s="2198"/>
      <c r="G5" s="2198"/>
      <c r="H5" s="2198"/>
      <c r="I5" s="2199"/>
    </row>
    <row r="6" spans="1:12" ht="12.75">
      <c r="A6" s="2917"/>
      <c r="B6" s="2879"/>
      <c r="C6" s="2945"/>
      <c r="D6" s="2942"/>
      <c r="E6" s="56" t="s">
        <v>1731</v>
      </c>
      <c r="F6" s="2198"/>
      <c r="G6" s="2198"/>
      <c r="H6" s="2198"/>
      <c r="I6" s="2199"/>
    </row>
    <row r="7" spans="1:12" ht="12.75">
      <c r="A7" s="2917"/>
      <c r="B7" s="2879"/>
      <c r="C7" s="2929"/>
      <c r="D7" s="2942"/>
      <c r="E7" s="56" t="s">
        <v>1732</v>
      </c>
      <c r="F7" s="2198"/>
      <c r="G7" s="2198"/>
      <c r="H7" s="2198"/>
      <c r="I7" s="2199"/>
    </row>
    <row r="8" spans="1:12" ht="12.75">
      <c r="A8" s="2917" t="s">
        <v>1733</v>
      </c>
      <c r="B8" s="2879">
        <v>15</v>
      </c>
      <c r="C8" s="2928"/>
      <c r="D8" s="2942"/>
      <c r="E8" s="56" t="s">
        <v>1734</v>
      </c>
      <c r="F8" s="2198"/>
      <c r="G8" s="2198"/>
      <c r="H8" s="2198"/>
      <c r="I8" s="2199"/>
    </row>
    <row r="9" spans="1:12" ht="12.75">
      <c r="A9" s="2917"/>
      <c r="B9" s="2879"/>
      <c r="C9" s="2929"/>
      <c r="D9" s="2942"/>
      <c r="E9" s="56" t="s">
        <v>1735</v>
      </c>
      <c r="F9" s="2198"/>
      <c r="G9" s="2198"/>
      <c r="H9" s="2198"/>
      <c r="I9" s="2199"/>
    </row>
    <row r="10" spans="1:12" ht="12.75">
      <c r="A10" s="2917" t="s">
        <v>1736</v>
      </c>
      <c r="B10" s="2879">
        <v>15</v>
      </c>
      <c r="C10" s="2928"/>
      <c r="D10" s="2942"/>
      <c r="E10" s="56" t="s">
        <v>1737</v>
      </c>
      <c r="F10" s="2198"/>
      <c r="G10" s="2198"/>
      <c r="H10" s="2198"/>
      <c r="I10" s="2199"/>
    </row>
    <row r="11" spans="1:12" ht="12.75">
      <c r="A11" s="2917"/>
      <c r="B11" s="2879"/>
      <c r="C11" s="2929"/>
      <c r="D11" s="2942"/>
      <c r="E11" s="56" t="s">
        <v>1738</v>
      </c>
      <c r="F11" s="2198"/>
      <c r="G11" s="2198"/>
      <c r="H11" s="2198"/>
      <c r="I11" s="2199"/>
    </row>
    <row r="12" spans="1:12" ht="12.75">
      <c r="A12" s="2917" t="s">
        <v>1739</v>
      </c>
      <c r="B12" s="2879">
        <v>15</v>
      </c>
      <c r="C12" s="2928"/>
      <c r="D12" s="2942"/>
      <c r="E12" s="56" t="s">
        <v>1740</v>
      </c>
      <c r="F12" s="2198"/>
      <c r="G12" s="2198"/>
      <c r="H12" s="2198"/>
      <c r="I12" s="2199"/>
    </row>
    <row r="13" spans="1:12" ht="12.75">
      <c r="A13" s="2917"/>
      <c r="B13" s="2879"/>
      <c r="C13" s="2929"/>
      <c r="D13" s="2942"/>
      <c r="E13" s="56" t="s">
        <v>1741</v>
      </c>
      <c r="F13" s="2198"/>
      <c r="G13" s="2198"/>
      <c r="H13" s="2198"/>
      <c r="I13" s="2199"/>
    </row>
    <row r="14" spans="1:12" ht="12.75">
      <c r="A14" s="2917" t="s">
        <v>1742</v>
      </c>
      <c r="B14" s="2879">
        <v>30</v>
      </c>
      <c r="C14" s="2928"/>
      <c r="D14" s="2942"/>
      <c r="E14" s="56" t="s">
        <v>1743</v>
      </c>
      <c r="F14" s="2198"/>
      <c r="G14" s="2198"/>
      <c r="H14" s="2198"/>
      <c r="I14" s="2199"/>
    </row>
    <row r="15" spans="1:12" ht="12.75">
      <c r="A15" s="2917"/>
      <c r="B15" s="2879"/>
      <c r="C15" s="2945"/>
      <c r="D15" s="2942"/>
      <c r="E15" s="56" t="s">
        <v>1744</v>
      </c>
      <c r="F15" s="2198"/>
      <c r="G15" s="2198"/>
      <c r="H15" s="2198"/>
      <c r="I15" s="2199"/>
    </row>
    <row r="16" spans="1:12" ht="12.75">
      <c r="A16" s="2917"/>
      <c r="B16" s="2879"/>
      <c r="C16" s="2929"/>
      <c r="D16" s="2942"/>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万元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8" t="s">
        <v>1754</v>
      </c>
      <c r="B24" s="2205" t="s">
        <v>1749</v>
      </c>
      <c r="C24" s="61">
        <f>D30</f>
        <v>0</v>
      </c>
      <c r="D24" s="993"/>
      <c r="E24" s="2193"/>
      <c r="F24" s="2193"/>
      <c r="G24" s="2193"/>
      <c r="H24" s="2193"/>
      <c r="I24" s="2193"/>
    </row>
    <row r="25" spans="1:35" ht="21.75" customHeight="1">
      <c r="A25" s="2949"/>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0.89400000000000002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0.106</v>
      </c>
      <c r="E35" s="2234" t="s">
        <v>1766</v>
      </c>
      <c r="F35" s="79">
        <v>4460</v>
      </c>
      <c r="G35" s="2193"/>
      <c r="H35" s="2193"/>
      <c r="I35" s="2193"/>
    </row>
    <row r="36" spans="1:16" ht="15.75" thickBot="1">
      <c r="A36" s="2930" t="s">
        <v>1767</v>
      </c>
      <c r="B36" s="2235" t="s">
        <v>1768</v>
      </c>
      <c r="C36" s="69">
        <v>0</v>
      </c>
      <c r="D36" s="2236"/>
      <c r="E36" s="2237"/>
      <c r="F36" s="2237"/>
      <c r="G36" s="2193"/>
      <c r="H36" s="2193"/>
      <c r="I36" s="2193"/>
    </row>
    <row r="37" spans="1:16" ht="15.75" thickBot="1">
      <c r="A37" s="2931"/>
      <c r="B37" s="2238" t="s">
        <v>1769</v>
      </c>
      <c r="C37" s="71">
        <v>0</v>
      </c>
      <c r="D37" s="2203"/>
      <c r="E37" s="2203"/>
      <c r="F37" s="2237"/>
      <c r="G37" s="2203"/>
      <c r="H37" s="2203"/>
      <c r="I37" s="2203"/>
    </row>
    <row r="38" spans="1:16" ht="15.75" thickBot="1">
      <c r="A38" s="2932"/>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36" t="s">
        <v>1778</v>
      </c>
      <c r="B45" s="2937"/>
      <c r="C45" s="2938"/>
      <c r="D45" s="80" t="e">
        <f ca="1">ROUND(I102*F45,0)</f>
        <v>#REF!</v>
      </c>
      <c r="E45" s="81" t="s">
        <v>1779</v>
      </c>
      <c r="F45" s="82">
        <v>1</v>
      </c>
      <c r="G45" s="83" t="s">
        <v>1780</v>
      </c>
      <c r="H45" s="2193"/>
      <c r="I45" s="2193"/>
      <c r="J45" s="2998" t="s">
        <v>1781</v>
      </c>
      <c r="K45" s="2998"/>
      <c r="L45" s="2998"/>
      <c r="M45" s="2998"/>
      <c r="N45" s="2998"/>
      <c r="O45" s="2998"/>
      <c r="P45" s="1844"/>
    </row>
    <row r="46" spans="1:16" ht="14.25" customHeight="1">
      <c r="A46" s="2921" t="s">
        <v>1782</v>
      </c>
      <c r="B46" s="2922"/>
      <c r="C46" s="2922"/>
      <c r="D46" s="2922"/>
      <c r="E46" s="2922"/>
      <c r="F46" s="2922"/>
      <c r="G46" s="2923"/>
      <c r="H46" s="2255"/>
      <c r="I46" s="1143"/>
      <c r="J46" s="1882">
        <v>1</v>
      </c>
      <c r="K46" s="2998" t="s">
        <v>1783</v>
      </c>
      <c r="L46" s="2998"/>
      <c r="M46" s="2999" t="str">
        <f>项目基本情况!B1</f>
        <v>北京市北京市西城区宣武门外大街6、8、10、12、16、18号6号楼110102等20套房房地产抵押价值预评估</v>
      </c>
      <c r="N46" s="2999"/>
      <c r="O46" s="2999"/>
      <c r="P46" s="1844"/>
    </row>
    <row r="47" spans="1:16" ht="12" customHeight="1">
      <c r="A47" s="85" t="s">
        <v>1784</v>
      </c>
      <c r="B47" s="86"/>
      <c r="C47" s="87"/>
      <c r="D47" s="88" t="s">
        <v>1785</v>
      </c>
      <c r="E47" s="14" t="s">
        <v>1786</v>
      </c>
      <c r="F47" s="89" t="s">
        <v>1787</v>
      </c>
      <c r="G47" s="90" t="s">
        <v>1788</v>
      </c>
      <c r="H47" s="2255"/>
      <c r="I47" s="1143"/>
      <c r="J47" s="1882">
        <v>2</v>
      </c>
      <c r="K47" s="2998" t="s">
        <v>1789</v>
      </c>
      <c r="L47" s="2998"/>
      <c r="M47" s="3000">
        <f>'数据-取费表'!B2</f>
        <v>43098</v>
      </c>
      <c r="N47" s="3000"/>
      <c r="O47" s="3000"/>
      <c r="P47" s="1844"/>
    </row>
    <row r="48" spans="1:16" ht="25.5">
      <c r="A48" s="2933" t="s">
        <v>1790</v>
      </c>
      <c r="B48" s="2934"/>
      <c r="C48" s="2934"/>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2998" t="s">
        <v>1793</v>
      </c>
      <c r="L48" s="2998"/>
      <c r="M48" s="2999" t="e">
        <f ca="1">I102</f>
        <v>#REF!</v>
      </c>
      <c r="N48" s="2999"/>
      <c r="O48" s="2999"/>
      <c r="P48" s="1844"/>
    </row>
    <row r="49" spans="1:16" ht="25.5" customHeight="1">
      <c r="A49" s="92" t="s">
        <v>1794</v>
      </c>
      <c r="B49" s="2926" t="s">
        <v>1795</v>
      </c>
      <c r="C49" s="2926"/>
      <c r="D49" s="93">
        <v>0</v>
      </c>
      <c r="E49" s="13" t="s">
        <v>1796</v>
      </c>
      <c r="F49" s="18" t="s">
        <v>48</v>
      </c>
      <c r="G49" s="2991"/>
      <c r="H49" s="2193"/>
      <c r="I49" s="2258"/>
      <c r="J49" s="1882">
        <v>4</v>
      </c>
      <c r="K49" s="2998" t="str">
        <f>IF(项目基本情况!F5="房地产抵押价值","房地产抵押价值","抵押担保权已注销时的房地产抵押价值")</f>
        <v>房地产抵押价值</v>
      </c>
      <c r="L49" s="2998"/>
      <c r="M49" s="2999" t="str">
        <f>IF(项目基本情况!E8="房地产抵押价值",I110,I112)</f>
        <v>——</v>
      </c>
      <c r="N49" s="2999"/>
      <c r="O49" s="2999"/>
      <c r="P49" s="1844"/>
    </row>
    <row r="50" spans="1:16" ht="25.5" customHeight="1">
      <c r="A50" s="94"/>
      <c r="B50" s="2926" t="s">
        <v>1797</v>
      </c>
      <c r="C50" s="2926"/>
      <c r="D50" s="95"/>
      <c r="E50" s="21"/>
      <c r="F50" s="96"/>
      <c r="G50" s="2992"/>
      <c r="H50" s="2193"/>
      <c r="I50" s="2258"/>
      <c r="J50" s="2998" t="s">
        <v>1798</v>
      </c>
      <c r="K50" s="2998"/>
      <c r="L50" s="2998"/>
      <c r="M50" s="2998"/>
      <c r="N50" s="2998"/>
      <c r="O50" s="2998"/>
      <c r="P50" s="1844"/>
    </row>
    <row r="51" spans="1:16" ht="12" customHeight="1">
      <c r="A51" s="97"/>
      <c r="B51" s="2926" t="s">
        <v>1799</v>
      </c>
      <c r="C51" s="2926"/>
      <c r="D51" s="98"/>
      <c r="E51" s="20"/>
      <c r="F51" s="96"/>
      <c r="G51" s="2993"/>
      <c r="H51" s="2193"/>
      <c r="I51" s="2258"/>
      <c r="J51" s="2259" t="s">
        <v>1800</v>
      </c>
      <c r="K51" s="2998" t="s">
        <v>1801</v>
      </c>
      <c r="L51" s="2998"/>
      <c r="M51" s="2259" t="s">
        <v>1802</v>
      </c>
      <c r="N51" s="2259" t="s">
        <v>1803</v>
      </c>
      <c r="O51" s="2259" t="s">
        <v>1804</v>
      </c>
      <c r="P51" s="1844"/>
    </row>
    <row r="52" spans="1:16" ht="24" customHeight="1">
      <c r="A52" s="99" t="s">
        <v>1805</v>
      </c>
      <c r="B52" s="2926" t="s">
        <v>1806</v>
      </c>
      <c r="C52" s="2926"/>
      <c r="D52" s="98" t="e">
        <f ca="1">ROUND(D45*'数据-取费表'!E29/(1+'数据-取费表'!F30),0)</f>
        <v>#REF!</v>
      </c>
      <c r="E52" s="10" t="s">
        <v>1807</v>
      </c>
      <c r="F52" s="100">
        <f>'数据-取费表'!E29</f>
        <v>5.6000000000000001E-2</v>
      </c>
      <c r="G52" s="2260"/>
      <c r="H52" s="2193"/>
      <c r="I52" s="2258"/>
      <c r="J52" s="1882">
        <v>1</v>
      </c>
      <c r="K52" s="2958" t="s">
        <v>1808</v>
      </c>
      <c r="L52" s="2958"/>
      <c r="M52" s="777" t="e">
        <f ca="1">D48</f>
        <v>#REF!</v>
      </c>
      <c r="N52" s="1882" t="str">
        <f>E48</f>
        <v>销售额×税（费）率</v>
      </c>
      <c r="O52" s="778">
        <f>F48</f>
        <v>5.6000000000000001E-2</v>
      </c>
      <c r="P52" s="1844"/>
    </row>
    <row r="53" spans="1:16" ht="12" customHeight="1">
      <c r="A53" s="99" t="s">
        <v>1809</v>
      </c>
      <c r="B53" s="2927" t="s">
        <v>1810</v>
      </c>
      <c r="C53" s="2857"/>
      <c r="D53" s="98" t="e">
        <f ca="1">ROUND(D45*'数据-取费表'!E29/(1+'数据-取费表'!F30),0)</f>
        <v>#REF!</v>
      </c>
      <c r="E53" s="10" t="s">
        <v>1807</v>
      </c>
      <c r="F53" s="100">
        <f>'数据-取费表'!E29</f>
        <v>5.6000000000000001E-2</v>
      </c>
      <c r="G53" s="2260"/>
      <c r="H53" s="2193"/>
      <c r="I53" s="2258"/>
      <c r="J53" s="1882">
        <v>2</v>
      </c>
      <c r="K53" s="2958" t="s">
        <v>1811</v>
      </c>
      <c r="L53" s="2958"/>
      <c r="M53" s="777" t="e">
        <f t="shared" ref="M53:O54" ca="1" si="1">D55</f>
        <v>#REF!</v>
      </c>
      <c r="N53" s="1882" t="str">
        <f t="shared" si="1"/>
        <v>销售额×税（费）率</v>
      </c>
      <c r="O53" s="778">
        <f t="shared" si="1"/>
        <v>5.0000000000000001E-4</v>
      </c>
      <c r="P53" s="1844"/>
    </row>
    <row r="54" spans="1:16" ht="12" customHeight="1">
      <c r="A54" s="99" t="s">
        <v>1812</v>
      </c>
      <c r="B54" s="2927" t="s">
        <v>1813</v>
      </c>
      <c r="C54" s="2857"/>
      <c r="D54" s="98" t="e">
        <f ca="1">C68</f>
        <v>#REF!</v>
      </c>
      <c r="E54" s="20" t="s">
        <v>1814</v>
      </c>
      <c r="F54" s="100">
        <f>'数据-取费表'!E29</f>
        <v>5.6000000000000001E-2</v>
      </c>
      <c r="G54" s="2260"/>
      <c r="H54" s="2261"/>
      <c r="I54" s="2258"/>
      <c r="J54" s="1882">
        <v>3</v>
      </c>
      <c r="K54" s="2958" t="s">
        <v>1815</v>
      </c>
      <c r="L54" s="2958"/>
      <c r="M54" s="777" t="e">
        <f t="shared" ca="1" si="1"/>
        <v>#REF!</v>
      </c>
      <c r="N54" s="1882" t="str">
        <f t="shared" si="1"/>
        <v>增值额×税（费）率</v>
      </c>
      <c r="O54" s="779" t="str">
        <f t="shared" si="1"/>
        <v>——</v>
      </c>
      <c r="P54" s="1844"/>
    </row>
    <row r="55" spans="1:16" ht="24" customHeight="1">
      <c r="A55" s="2849" t="s">
        <v>1816</v>
      </c>
      <c r="B55" s="2934"/>
      <c r="C55" s="2934"/>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958" t="str">
        <f>IF(H59="非个人房产","——","个人所得税")</f>
        <v>个人所得税</v>
      </c>
      <c r="L55" s="2958"/>
      <c r="M55" s="780" t="e">
        <f ca="1">D59</f>
        <v>#REF!</v>
      </c>
      <c r="N55" s="1885" t="str">
        <f>E59</f>
        <v>销售额×税（费）率</v>
      </c>
      <c r="O55" s="781">
        <f>F59</f>
        <v>0.01</v>
      </c>
      <c r="P55" s="1844"/>
    </row>
    <row r="56" spans="1:16" ht="24.75">
      <c r="A56" s="2849" t="s">
        <v>1819</v>
      </c>
      <c r="B56" s="2934"/>
      <c r="C56" s="2934"/>
      <c r="D56" s="101" t="e">
        <f ca="1">IF(H56="个人住宅",D57,D58)</f>
        <v>#REF!</v>
      </c>
      <c r="E56" s="10" t="s">
        <v>1820</v>
      </c>
      <c r="F56" s="100" t="str">
        <f>IF(H56="正常",F58,"免征")</f>
        <v>——</v>
      </c>
      <c r="G56" s="2262" t="s">
        <v>1821</v>
      </c>
      <c r="H56" s="2263" t="s">
        <v>1818</v>
      </c>
      <c r="I56" s="1021"/>
      <c r="J56" s="1882" t="str">
        <f>IF(项目基本情况!I6="上海银行",IF(J55="",4,J55+1),"")</f>
        <v/>
      </c>
      <c r="K56" s="2976" t="str">
        <f>IF(项目基本情况!I6="上海银行","其他处置费用","")</f>
        <v/>
      </c>
      <c r="L56" s="2977"/>
      <c r="M56" s="777" t="str">
        <f>IF(项目基本情况!I6="上海银行",M69,"")</f>
        <v/>
      </c>
      <c r="N56" s="2989" t="str">
        <f>IF(项目基本情况!I6="上海银行","包含处置中涉及的律师、诉讼、拍卖、评估等费用","")</f>
        <v/>
      </c>
      <c r="O56" s="2990"/>
      <c r="P56" s="1844"/>
    </row>
    <row r="57" spans="1:16" ht="12.75">
      <c r="A57" s="99" t="s">
        <v>1794</v>
      </c>
      <c r="B57" s="2924" t="s">
        <v>1822</v>
      </c>
      <c r="C57" s="2935"/>
      <c r="D57" s="103">
        <v>0</v>
      </c>
      <c r="E57" s="13" t="s">
        <v>1796</v>
      </c>
      <c r="F57" s="70"/>
      <c r="G57" s="2260"/>
      <c r="H57" s="1021"/>
      <c r="I57" s="1021"/>
      <c r="J57" s="2958">
        <f>IF(AND(J55="",J56=""),4,IF(项目基本情况!I6="上海银行",J56+1,J55+1))</f>
        <v>5</v>
      </c>
      <c r="K57" s="2958" t="s">
        <v>1823</v>
      </c>
      <c r="L57" s="2264" t="s">
        <v>1824</v>
      </c>
      <c r="M57" s="782"/>
      <c r="N57" s="783">
        <f ca="1">SUMIF(M52:M56,"&lt;9e307")</f>
        <v>0</v>
      </c>
      <c r="O57" s="2265"/>
      <c r="P57" s="1840" t="e">
        <f ca="1">N57/M49</f>
        <v>#VALUE!</v>
      </c>
    </row>
    <row r="58" spans="1:16" ht="24.75">
      <c r="A58" s="99" t="s">
        <v>1805</v>
      </c>
      <c r="B58" s="2924" t="s">
        <v>1825</v>
      </c>
      <c r="C58" s="2925"/>
      <c r="D58" s="101" t="e">
        <f ca="1">IF(H58="转让取得",C81,C97)</f>
        <v>#REF!</v>
      </c>
      <c r="E58" s="10" t="s">
        <v>1820</v>
      </c>
      <c r="F58" s="14" t="s">
        <v>48</v>
      </c>
      <c r="G58" s="2260"/>
      <c r="H58" s="2263" t="s">
        <v>1826</v>
      </c>
      <c r="I58" s="1021"/>
      <c r="J58" s="2958"/>
      <c r="K58" s="2958"/>
      <c r="L58" s="2264" t="s">
        <v>1827</v>
      </c>
      <c r="M58" s="784"/>
      <c r="N58" s="2266" t="str">
        <f ca="1">IF(H19="元",NUMBERSTRING(INT(N57),2)&amp;"元整",NUMBERSTRING(INT(N57*10000),2)&amp;"元整")</f>
        <v>零元整</v>
      </c>
      <c r="O58" s="2267"/>
      <c r="P58" s="1844"/>
    </row>
    <row r="59" spans="1:16" ht="26.25" thickBot="1">
      <c r="A59" s="2850" t="s">
        <v>1828</v>
      </c>
      <c r="B59" s="2853"/>
      <c r="C59" s="2853"/>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56">
        <f>J57+1</f>
        <v>6</v>
      </c>
      <c r="K59" s="2958"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57"/>
      <c r="K60" s="2958"/>
      <c r="L60" s="2264" t="s">
        <v>1827</v>
      </c>
      <c r="M60" s="784"/>
      <c r="N60" s="2266" t="e">
        <f ca="1">IF(H19="元",NUMBERSTRING(INT(N59),2)&amp;"元整",NUMBERSTRING(INT(N59*10000),2)&amp;"元整")</f>
        <v>#VALUE!</v>
      </c>
      <c r="O60" s="2267"/>
      <c r="P60" s="1844"/>
    </row>
    <row r="61" spans="1:16" ht="13.5" thickBot="1">
      <c r="A61" s="2939" t="s">
        <v>1831</v>
      </c>
      <c r="B61" s="2939"/>
      <c r="C61" s="2939"/>
      <c r="D61" s="2939"/>
      <c r="E61" s="2939"/>
      <c r="F61" s="1021"/>
      <c r="G61" s="1021"/>
      <c r="H61" s="2246"/>
      <c r="I61" s="2193"/>
      <c r="J61" s="1882">
        <f>J59+1</f>
        <v>7</v>
      </c>
      <c r="K61" s="2958" t="s">
        <v>1832</v>
      </c>
      <c r="L61" s="2958"/>
      <c r="M61" s="787"/>
      <c r="N61" s="788" t="e">
        <f ca="1">IF(H19="元",ROUND(N59/项目基本情况!C12,0),ROUND(N59*10000/项目基本情况!C12,0))</f>
        <v>#VALUE!</v>
      </c>
      <c r="O61" s="2270"/>
      <c r="P61" s="1844"/>
    </row>
    <row r="62" spans="1:16" ht="12.75">
      <c r="A62" s="2946" t="s">
        <v>1833</v>
      </c>
      <c r="B62" s="2947"/>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978"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978"/>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978"/>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978"/>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978"/>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978"/>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78"/>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50" t="s">
        <v>1853</v>
      </c>
      <c r="B70" s="2951"/>
      <c r="C70" s="2951"/>
      <c r="D70" s="2951"/>
      <c r="E70" s="2951"/>
      <c r="F70" s="2951"/>
      <c r="G70" s="2951"/>
      <c r="H70" s="2951"/>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46" t="s">
        <v>1833</v>
      </c>
      <c r="B71" s="2947"/>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27" t="s">
        <v>1863</v>
      </c>
      <c r="F76" s="2926"/>
      <c r="G76" s="2926"/>
      <c r="H76" s="294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918" t="s">
        <v>1868</v>
      </c>
      <c r="F78" s="2919"/>
      <c r="G78" s="2919"/>
      <c r="H78" s="2920"/>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50" t="s">
        <v>1872</v>
      </c>
      <c r="B83" s="2951"/>
      <c r="C83" s="2951"/>
      <c r="D83" s="2951"/>
      <c r="E83" s="2951"/>
      <c r="F83" s="2951"/>
      <c r="G83" s="2951"/>
      <c r="H83" s="2951"/>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46" t="s">
        <v>1833</v>
      </c>
      <c r="B84" s="2947"/>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918" t="s">
        <v>1880</v>
      </c>
      <c r="F91" s="2919"/>
      <c r="G91" s="2919"/>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918" t="s">
        <v>1883</v>
      </c>
      <c r="F92" s="2919"/>
      <c r="G92" s="2919"/>
      <c r="H92" s="2920"/>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918" t="s">
        <v>1868</v>
      </c>
      <c r="F93" s="2919"/>
      <c r="G93" s="2919"/>
      <c r="H93" s="292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918" t="s">
        <v>1885</v>
      </c>
      <c r="F94" s="2919"/>
      <c r="G94" s="2919"/>
      <c r="H94" s="292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73" t="s">
        <v>1887</v>
      </c>
      <c r="B99" s="2974"/>
      <c r="C99" s="2974"/>
      <c r="D99" s="2975"/>
      <c r="E99" s="2193"/>
      <c r="F99" s="2984" t="s">
        <v>1888</v>
      </c>
      <c r="G99" s="2985"/>
      <c r="H99" s="2985"/>
      <c r="I99" s="2986"/>
    </row>
    <row r="100" spans="1:35" ht="15.75">
      <c r="A100" s="2987" t="s">
        <v>1889</v>
      </c>
      <c r="B100" s="2988"/>
      <c r="C100" s="719">
        <f>C4</f>
        <v>0</v>
      </c>
      <c r="D100" s="720">
        <f>D4</f>
        <v>0</v>
      </c>
      <c r="E100" s="2193"/>
      <c r="F100" s="2883" t="s">
        <v>1890</v>
      </c>
      <c r="G100" s="2884"/>
      <c r="H100" s="2883" t="s">
        <v>1891</v>
      </c>
      <c r="I100" s="2882"/>
    </row>
    <row r="101" spans="1:35" ht="15.75">
      <c r="A101" s="2965" t="s">
        <v>1892</v>
      </c>
      <c r="B101" s="2288" t="str">
        <f>IF(H19="元","总价（元）","总价（万元）")</f>
        <v>总价（万元）</v>
      </c>
      <c r="C101" s="719" t="e">
        <f ca="1">C19</f>
        <v>#REF!</v>
      </c>
      <c r="D101" s="720" t="e">
        <f ca="1">D19</f>
        <v>#REF!</v>
      </c>
      <c r="E101" s="2193"/>
      <c r="F101" s="2883" t="str">
        <f>项目基本情况!I1</f>
        <v>北京市北京市西城区宣武门外大街6、8、10、12、16、18号6号楼110102等20套房房地产</v>
      </c>
      <c r="G101" s="2884"/>
      <c r="H101" s="2881">
        <f>项目基本情况!C12</f>
        <v>851.59</v>
      </c>
      <c r="I101" s="2882"/>
    </row>
    <row r="102" spans="1:35" ht="15.75">
      <c r="A102" s="2965"/>
      <c r="B102" s="2288" t="s">
        <v>1893</v>
      </c>
      <c r="C102" s="721" t="e">
        <f ca="1">C20</f>
        <v>#REF!</v>
      </c>
      <c r="D102" s="722" t="e">
        <f ca="1">D20</f>
        <v>#REF!</v>
      </c>
      <c r="E102" s="2193"/>
      <c r="F102" s="2910" t="s">
        <v>1894</v>
      </c>
      <c r="G102" s="2911"/>
      <c r="H102" s="2289" t="str">
        <f>C106</f>
        <v>总价（万元）</v>
      </c>
      <c r="I102" s="1861" t="e">
        <f ca="1">H121</f>
        <v>#REF!</v>
      </c>
    </row>
    <row r="103" spans="1:35" ht="15">
      <c r="A103" s="2965" t="s">
        <v>1895</v>
      </c>
      <c r="B103" s="2290" t="str">
        <f>B101</f>
        <v>总价（万元）</v>
      </c>
      <c r="C103" s="723" t="e">
        <f ca="1">H121</f>
        <v>#REF!</v>
      </c>
      <c r="D103" s="724"/>
      <c r="E103" s="2193"/>
      <c r="F103" s="2910"/>
      <c r="G103" s="2911"/>
      <c r="H103" s="2289" t="s">
        <v>1893</v>
      </c>
      <c r="I103" s="1049" t="e">
        <f ca="1">I121</f>
        <v>#REF!</v>
      </c>
    </row>
    <row r="104" spans="1:35" ht="16.5" thickBot="1">
      <c r="A104" s="2966"/>
      <c r="B104" s="2291" t="s">
        <v>1893</v>
      </c>
      <c r="C104" s="725" t="e">
        <f ca="1">I121</f>
        <v>#REF!</v>
      </c>
      <c r="D104" s="726"/>
      <c r="E104" s="2193"/>
      <c r="F104" s="2982"/>
      <c r="G104" s="2983"/>
      <c r="H104" s="2967"/>
      <c r="I104" s="2968"/>
    </row>
    <row r="105" spans="1:35" ht="15.75">
      <c r="A105" s="2973" t="s">
        <v>1896</v>
      </c>
      <c r="B105" s="2974"/>
      <c r="C105" s="2974"/>
      <c r="D105" s="2975"/>
      <c r="E105" s="2193"/>
      <c r="F105" s="2971" t="s">
        <v>1897</v>
      </c>
      <c r="G105" s="2972"/>
      <c r="H105" s="2292" t="str">
        <f>C108</f>
        <v>总额（万元）</v>
      </c>
      <c r="I105" s="1861">
        <f>SUMIF(I106:I108,"&lt;9E307")</f>
        <v>0</v>
      </c>
    </row>
    <row r="106" spans="1:35" ht="15">
      <c r="A106" s="2897" t="s">
        <v>1898</v>
      </c>
      <c r="B106" s="2898"/>
      <c r="C106" s="2289" t="str">
        <f>B101</f>
        <v>总价（万元）</v>
      </c>
      <c r="D106" s="1050" t="e">
        <f ca="1">H121</f>
        <v>#REF!</v>
      </c>
      <c r="E106" s="2193"/>
      <c r="F106" s="2899" t="s">
        <v>1899</v>
      </c>
      <c r="G106" s="2900"/>
      <c r="H106" s="2292" t="str">
        <f>C109</f>
        <v>总额（万元）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97"/>
      <c r="B107" s="2898"/>
      <c r="C107" s="2289" t="s">
        <v>1893</v>
      </c>
      <c r="D107" s="1051" t="e">
        <f ca="1">I121</f>
        <v>#REF!</v>
      </c>
      <c r="E107" s="2193"/>
      <c r="F107" s="2899" t="s">
        <v>1900</v>
      </c>
      <c r="G107" s="2900"/>
      <c r="H107" s="2292" t="str">
        <f>C110</f>
        <v>总额（万元）</v>
      </c>
      <c r="I107" s="1049">
        <f>C37</f>
        <v>0</v>
      </c>
      <c r="K107" s="2293"/>
    </row>
    <row r="108" spans="1:35" ht="15">
      <c r="A108" s="2904" t="s">
        <v>1901</v>
      </c>
      <c r="B108" s="2905"/>
      <c r="C108" s="2292" t="str">
        <f>IF(H19="元","总额（元）","总额（万元）")</f>
        <v>总额（万元）</v>
      </c>
      <c r="D108" s="1050">
        <f>IF(D36="正常操作",I106+I107+I108,I107+I108)</f>
        <v>0</v>
      </c>
      <c r="E108" s="2193"/>
      <c r="F108" s="2899" t="s">
        <v>1902</v>
      </c>
      <c r="G108" s="2900"/>
      <c r="H108" s="2292" t="str">
        <f>C111</f>
        <v>总额（万元）</v>
      </c>
      <c r="I108" s="1049">
        <f>C38</f>
        <v>0</v>
      </c>
    </row>
    <row r="109" spans="1:35" ht="15.75">
      <c r="A109" s="2899" t="s">
        <v>1899</v>
      </c>
      <c r="B109" s="2900"/>
      <c r="C109" s="2292" t="str">
        <f>C108</f>
        <v>总额（万元）</v>
      </c>
      <c r="D109" s="637">
        <f>IF(D36="同一抵押权人同一抵押物续贷",C36&amp;"（未扣减，详见特别提示）",C36)</f>
        <v>0</v>
      </c>
      <c r="E109" s="2193"/>
      <c r="F109" s="2982"/>
      <c r="G109" s="2983"/>
      <c r="H109" s="2969"/>
      <c r="I109" s="2970"/>
    </row>
    <row r="110" spans="1:35" ht="28.5" customHeight="1">
      <c r="A110" s="2899" t="s">
        <v>1900</v>
      </c>
      <c r="B110" s="2900"/>
      <c r="C110" s="2292" t="str">
        <f>C108</f>
        <v>总额（万元）</v>
      </c>
      <c r="D110" s="637">
        <f>C37</f>
        <v>0</v>
      </c>
      <c r="E110" s="2193"/>
      <c r="F110" s="2885" t="str">
        <f>IF(项目基本情况!F5="已注销","——","3.房地产抵押价值")</f>
        <v>3.房地产抵押价值</v>
      </c>
      <c r="G110" s="2886"/>
      <c r="H110" s="2294" t="str">
        <f>C112</f>
        <v>总价（万元）</v>
      </c>
      <c r="I110" s="1862" t="e">
        <f ca="1">IF(F110="——","——",I102-I105)</f>
        <v>#REF!</v>
      </c>
    </row>
    <row r="111" spans="1:35" ht="15">
      <c r="A111" s="2899" t="s">
        <v>1902</v>
      </c>
      <c r="B111" s="2900"/>
      <c r="C111" s="2292" t="str">
        <f>C108</f>
        <v>总额（万元）</v>
      </c>
      <c r="D111" s="637">
        <f>C38</f>
        <v>0</v>
      </c>
      <c r="E111" s="2193"/>
      <c r="F111" s="3001"/>
      <c r="G111" s="3002"/>
      <c r="H111" s="2289" t="s">
        <v>1893</v>
      </c>
      <c r="I111" s="2295" t="e">
        <f ca="1">D113</f>
        <v>#REF!</v>
      </c>
    </row>
    <row r="112" spans="1:35" ht="26.25" customHeight="1">
      <c r="A112" s="2897" t="str">
        <f>IF(项目基本情况!F5="已注销","——","3.房地产抵押价值")</f>
        <v>3.房地产抵押价值</v>
      </c>
      <c r="B112" s="2898"/>
      <c r="C112" s="2289" t="str">
        <f>B101</f>
        <v>总价（万元）</v>
      </c>
      <c r="D112" s="1050" t="e">
        <f ca="1">IF(A112="——","——",D106-D108)</f>
        <v>#REF!</v>
      </c>
      <c r="E112" s="2193"/>
      <c r="F112" s="2885" t="str">
        <f>IF(项目基本情况!F5="已注销及未注销","4.抵押担保权已注销时的房地产抵押价值",IF(项目基本情况!F5="已注销","3.抵押担保权已注销时的房地产抵押价值","——"))</f>
        <v>——</v>
      </c>
      <c r="G112" s="2886"/>
      <c r="H112" s="2294" t="str">
        <f>C114</f>
        <v>总价（万元）</v>
      </c>
      <c r="I112" s="1862" t="str">
        <f>IF(F112="——","——",I102-I107-I108)</f>
        <v>——</v>
      </c>
    </row>
    <row r="113" spans="1:15" ht="15">
      <c r="A113" s="2897"/>
      <c r="B113" s="2898"/>
      <c r="C113" s="2289" t="s">
        <v>1893</v>
      </c>
      <c r="D113" s="1051" t="e">
        <f ca="1">ROUND(IF(D112=D106,D107,IF(H19="元",D112/项目基本情况!C12,D112*10000/项目基本情况!C12)),0)</f>
        <v>#REF!</v>
      </c>
      <c r="E113" s="2193"/>
      <c r="F113" s="3001"/>
      <c r="G113" s="3002"/>
      <c r="H113" s="2289" t="s">
        <v>1893</v>
      </c>
      <c r="I113" s="2296" t="str">
        <f>D115</f>
        <v>——</v>
      </c>
    </row>
    <row r="114" spans="1:15" ht="15.75">
      <c r="A114" s="2897" t="str">
        <f>IF(项目基本情况!F5="已注销及未注销","4.抵押担保权已注销时的房地产抵押价值",IF(项目基本情况!F5="已注销","3.抵押担保权已注销时的房地产抵押价值","——"))</f>
        <v>——</v>
      </c>
      <c r="B114" s="2898"/>
      <c r="C114" s="2289" t="str">
        <f>B101</f>
        <v>总价（万元）</v>
      </c>
      <c r="D114" s="1050" t="str">
        <f>IF(A114="——","——",D106-D110-D111)</f>
        <v>——</v>
      </c>
      <c r="E114" s="2193"/>
      <c r="F114" s="2885" t="str">
        <f>IF(项目基本情况!G5="抵押净值",IF(OR(项目基本情况!F5="已注销",项目基本情况!F5="房地产抵押价值"),"4.抵押净值","5.抵押净值"),"——")</f>
        <v>——</v>
      </c>
      <c r="G114" s="2886"/>
      <c r="H114" s="2289" t="str">
        <f>C116</f>
        <v>总价（万元）</v>
      </c>
      <c r="I114" s="1861" t="str">
        <f>IF(F114="——","——",N59)</f>
        <v>——</v>
      </c>
    </row>
    <row r="115" spans="1:15" ht="15.75" thickBot="1">
      <c r="A115" s="2897"/>
      <c r="B115" s="2898"/>
      <c r="C115" s="2289" t="s">
        <v>1893</v>
      </c>
      <c r="D115" s="1051" t="str">
        <f>IF(A114="——","——",ROUND(IF(D114=D106,D107,IF(H19="元",D114/项目基本情况!C12,D114*10000/项目基本情况!C12)),0))</f>
        <v>——</v>
      </c>
      <c r="E115" s="2193"/>
      <c r="F115" s="2887"/>
      <c r="G115" s="2888"/>
      <c r="H115" s="2297" t="s">
        <v>1893</v>
      </c>
      <c r="I115" s="1863" t="e">
        <f ca="1">D117</f>
        <v>#REF!</v>
      </c>
    </row>
    <row r="116" spans="1:15" ht="15.75">
      <c r="A116" s="2897" t="str">
        <f>IF(项目基本情况!G5="抵押净值",IF(OR(项目基本情况!F5="已注销",项目基本情况!F5="房地产抵押价值"),"4.抵押净值","5.抵押净值"),"——")</f>
        <v>——</v>
      </c>
      <c r="B116" s="2898"/>
      <c r="C116" s="2289" t="str">
        <f>B101</f>
        <v>总价（万元）</v>
      </c>
      <c r="D116" s="1050" t="str">
        <f>IF(A116="——","——",N59)</f>
        <v>——</v>
      </c>
      <c r="E116" s="2193"/>
      <c r="F116" s="2997"/>
      <c r="G116" s="2997"/>
      <c r="H116" s="2953"/>
      <c r="I116" s="2953"/>
      <c r="N116" s="55"/>
      <c r="O116" s="55"/>
    </row>
    <row r="117" spans="1:15" ht="15.75" thickBot="1">
      <c r="A117" s="2902"/>
      <c r="B117" s="2903"/>
      <c r="C117" s="2297" t="s">
        <v>1893</v>
      </c>
      <c r="D117" s="1052" t="e">
        <f ca="1">IF(D116=D112,D113,IF(A116="——","——",N61))</f>
        <v>#REF!</v>
      </c>
      <c r="E117" s="2193"/>
      <c r="F117" s="2877" t="str">
        <f>IF(B32="总价","（以上估价结果中单价为总价除以建筑面积得出）","（以上估价结果中总价为楼面单价乘以建筑面积得出）")</f>
        <v>（以上估价结果中总价为楼面单价乘以建筑面积得出）</v>
      </c>
      <c r="G117" s="2877"/>
      <c r="H117" s="2877"/>
      <c r="I117" s="2877"/>
      <c r="N117" s="55"/>
      <c r="O117" s="55"/>
    </row>
    <row r="118" spans="1:15" ht="15">
      <c r="A118" s="2954" t="s">
        <v>1903</v>
      </c>
      <c r="B118" s="2955"/>
      <c r="C118" s="2955"/>
      <c r="D118" s="2955"/>
      <c r="E118" s="2955"/>
      <c r="F118" s="2955"/>
      <c r="G118" s="2955"/>
      <c r="H118" s="2955"/>
      <c r="I118" s="2955"/>
    </row>
    <row r="119" spans="1:15" ht="14.25">
      <c r="A119" s="2878" t="s">
        <v>1904</v>
      </c>
      <c r="B119" s="2908" t="s">
        <v>1905</v>
      </c>
      <c r="C119" s="2908" t="s">
        <v>1906</v>
      </c>
      <c r="D119" s="2980" t="s">
        <v>1907</v>
      </c>
      <c r="E119" s="2981"/>
      <c r="F119" s="2879" t="s">
        <v>1765</v>
      </c>
      <c r="G119" s="2879"/>
      <c r="H119" s="2879" t="s">
        <v>1908</v>
      </c>
      <c r="I119" s="2979"/>
    </row>
    <row r="120" spans="1:15" ht="14.25">
      <c r="A120" s="2878"/>
      <c r="B120" s="2909"/>
      <c r="C120" s="2909"/>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851.59</v>
      </c>
      <c r="C121" s="1886">
        <f>项目基本情况!C13</f>
        <v>87.45</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78" t="s">
        <v>1912</v>
      </c>
      <c r="B122" s="2879"/>
      <c r="C122" s="2879"/>
      <c r="D122" s="2912" t="e">
        <f ca="1">IF(H19="元",NUMBERSTRING(INT(D121),2)&amp;"元整",NUMBERSTRING(INT(D121*10000),2)&amp;"元整")</f>
        <v>#REF!</v>
      </c>
      <c r="E122" s="2959"/>
      <c r="F122" s="2912" t="e">
        <f ca="1">IF(H19="元",NUMBERSTRING(INT(F121),2)&amp;"元整",NUMBERSTRING(INT(F121*10000),2)&amp;"元整")</f>
        <v>#REF!</v>
      </c>
      <c r="G122" s="2959"/>
      <c r="H122" s="2912" t="e">
        <f ca="1">IF(H19="元",NUMBERSTRING(INT(H121),2)&amp;"元整",NUMBERSTRING(INT(H121*10000),2)&amp;"元整")</f>
        <v>#REF!</v>
      </c>
      <c r="I122" s="2913"/>
    </row>
    <row r="123" spans="1:15" ht="15">
      <c r="A123" s="2960" t="str">
        <f>IF(项目基本情况!D5="房地产市场价值","——",MID(A108,3,LEN(A108)-2))</f>
        <v>估价师所知悉的法定优先受偿款</v>
      </c>
      <c r="B123" s="2890"/>
      <c r="C123" s="2961"/>
      <c r="D123" s="2889">
        <f>I105</f>
        <v>0</v>
      </c>
      <c r="E123" s="2890"/>
      <c r="F123" s="2890"/>
      <c r="G123" s="2890"/>
      <c r="H123" s="2890"/>
      <c r="I123" s="2891"/>
    </row>
    <row r="124" spans="1:15" ht="14.25">
      <c r="A124" s="2962" t="s">
        <v>1912</v>
      </c>
      <c r="B124" s="2963"/>
      <c r="C124" s="2964"/>
      <c r="D124" s="2892">
        <f>H109</f>
        <v>0</v>
      </c>
      <c r="E124" s="2893"/>
      <c r="F124" s="2893"/>
      <c r="G124" s="2893"/>
      <c r="H124" s="2893"/>
      <c r="I124" s="2894"/>
    </row>
    <row r="125" spans="1:15" ht="15">
      <c r="A125" s="2895" t="str">
        <f>IF(项目基本情况!D5="房地产市场价值","——",MID(A112,3,LEN(A112)-2))</f>
        <v>房地产抵押价值</v>
      </c>
      <c r="B125" s="2896"/>
      <c r="C125" s="2896"/>
      <c r="D125" s="2889" t="e">
        <f ca="1">I110</f>
        <v>#REF!</v>
      </c>
      <c r="E125" s="2890"/>
      <c r="F125" s="2890"/>
      <c r="G125" s="2890"/>
      <c r="H125" s="2890"/>
      <c r="I125" s="2891"/>
    </row>
    <row r="126" spans="1:15" ht="14.25">
      <c r="A126" s="2878" t="s">
        <v>1912</v>
      </c>
      <c r="B126" s="2879"/>
      <c r="C126" s="2879"/>
      <c r="D126" s="2892" t="e">
        <f ca="1">I111</f>
        <v>#REF!</v>
      </c>
      <c r="E126" s="2893"/>
      <c r="F126" s="2893"/>
      <c r="G126" s="2893"/>
      <c r="H126" s="2893"/>
      <c r="I126" s="2894"/>
    </row>
    <row r="127" spans="1:15" ht="15.75" thickBot="1">
      <c r="A127" s="2895" t="str">
        <f>IF(项目基本情况!D5="房地产市场价值","——",MID(A114,3,LEN(A114)-2))</f>
        <v/>
      </c>
      <c r="B127" s="2896"/>
      <c r="C127" s="2896"/>
      <c r="D127" s="2994" t="str">
        <f>I112</f>
        <v>——</v>
      </c>
      <c r="E127" s="2995"/>
      <c r="F127" s="2995"/>
      <c r="G127" s="2995"/>
      <c r="H127" s="2995"/>
      <c r="I127" s="2996"/>
    </row>
    <row r="128" spans="1:15" ht="15.75" thickTop="1" thickBot="1">
      <c r="A128" s="2878" t="s">
        <v>1912</v>
      </c>
      <c r="B128" s="2879"/>
      <c r="C128" s="2880"/>
      <c r="D128" s="2952" t="str">
        <f>I113</f>
        <v>——</v>
      </c>
      <c r="E128" s="2952"/>
      <c r="F128" s="2952"/>
      <c r="G128" s="2952"/>
      <c r="H128" s="2952"/>
      <c r="I128" s="2952"/>
    </row>
    <row r="129" spans="1:9" ht="16.5" thickTop="1" thickBot="1">
      <c r="A129" s="2895" t="str">
        <f>IF(项目基本情况!D5="房地产市场价值","——",MID(F114,3,LEN(F114)-2))</f>
        <v/>
      </c>
      <c r="B129" s="2896"/>
      <c r="C129" s="2889"/>
      <c r="D129" s="2901" t="str">
        <f>I114</f>
        <v>——</v>
      </c>
      <c r="E129" s="2901"/>
      <c r="F129" s="2901"/>
      <c r="G129" s="2901"/>
      <c r="H129" s="2901"/>
      <c r="I129" s="2901"/>
    </row>
    <row r="130" spans="1:9" ht="15.75" thickTop="1" thickBot="1">
      <c r="A130" s="2906" t="s">
        <v>1912</v>
      </c>
      <c r="B130" s="2907"/>
      <c r="C130" s="2907"/>
      <c r="D130" s="2914">
        <f>H116</f>
        <v>0</v>
      </c>
      <c r="E130" s="2915"/>
      <c r="F130" s="2915"/>
      <c r="G130" s="2915"/>
      <c r="H130" s="2915"/>
      <c r="I130" s="2916"/>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76" t="str">
        <f>IF(B32="总价","（以上估价结果中楼面单价为总价除以建筑面积得出）","（以上估价结果中总价为楼面单价乘以建筑面积得出）")</f>
        <v>（以上估价结果中总价为楼面单价乘以建筑面积得出）</v>
      </c>
      <c r="B132" s="2876"/>
      <c r="C132" s="2876"/>
      <c r="D132" s="2876"/>
      <c r="E132" s="2876"/>
      <c r="F132" s="2876"/>
      <c r="G132" s="2876"/>
      <c r="H132" s="2876"/>
      <c r="I132" s="2876"/>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2" zoomScaleNormal="100" zoomScaleSheetLayoutView="100" zoomScalePageLayoutView="80" workbookViewId="0">
      <selection activeCell="F25" sqref="F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13" t="s">
        <v>1921</v>
      </c>
      <c r="B2" s="3013"/>
      <c r="C2" s="3013"/>
      <c r="D2" s="3013"/>
      <c r="E2" s="3013"/>
      <c r="F2" s="3013"/>
      <c r="G2" s="3013"/>
      <c r="H2" s="3013"/>
      <c r="I2" s="3013"/>
    </row>
    <row r="3" spans="1:12" ht="12.75">
      <c r="A3" s="2943" t="s">
        <v>1725</v>
      </c>
      <c r="B3" s="2944"/>
      <c r="C3" s="2944"/>
      <c r="D3" s="2944"/>
      <c r="E3" s="2944"/>
      <c r="F3" s="2944"/>
      <c r="G3" s="2944"/>
      <c r="H3" s="2944"/>
      <c r="I3" s="2944"/>
    </row>
    <row r="4" spans="1:12" ht="14.25">
      <c r="A4" s="2195" t="s">
        <v>1726</v>
      </c>
      <c r="B4" s="2196" t="s">
        <v>1727</v>
      </c>
      <c r="C4" s="2197" t="s">
        <v>2876</v>
      </c>
      <c r="D4" s="2197" t="s">
        <v>2924</v>
      </c>
      <c r="E4" s="2924" t="s">
        <v>1922</v>
      </c>
      <c r="F4" s="2925"/>
      <c r="G4" s="2925"/>
      <c r="H4" s="2925"/>
      <c r="I4" s="2935"/>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17" t="s">
        <v>1729</v>
      </c>
      <c r="B5" s="2879">
        <v>25</v>
      </c>
      <c r="C5" s="2928"/>
      <c r="D5" s="2942"/>
      <c r="E5" s="56" t="s">
        <v>1730</v>
      </c>
      <c r="F5" s="2198"/>
      <c r="G5" s="2198"/>
      <c r="H5" s="2198"/>
      <c r="I5" s="2199"/>
    </row>
    <row r="6" spans="1:12" ht="12.75">
      <c r="A6" s="2917"/>
      <c r="B6" s="2879"/>
      <c r="C6" s="2945"/>
      <c r="D6" s="2942"/>
      <c r="E6" s="56" t="s">
        <v>1731</v>
      </c>
      <c r="F6" s="2198"/>
      <c r="G6" s="2198"/>
      <c r="H6" s="2198"/>
      <c r="I6" s="2199"/>
    </row>
    <row r="7" spans="1:12" ht="12.75">
      <c r="A7" s="2917"/>
      <c r="B7" s="2879"/>
      <c r="C7" s="2929"/>
      <c r="D7" s="2942"/>
      <c r="E7" s="56" t="s">
        <v>1732</v>
      </c>
      <c r="F7" s="2198"/>
      <c r="G7" s="2198"/>
      <c r="H7" s="2198"/>
      <c r="I7" s="2199"/>
    </row>
    <row r="8" spans="1:12" ht="12.75">
      <c r="A8" s="2917" t="s">
        <v>1733</v>
      </c>
      <c r="B8" s="2879">
        <v>15</v>
      </c>
      <c r="C8" s="2928"/>
      <c r="D8" s="2942"/>
      <c r="E8" s="56" t="s">
        <v>1734</v>
      </c>
      <c r="F8" s="2198"/>
      <c r="G8" s="2198"/>
      <c r="H8" s="2198"/>
      <c r="I8" s="2199"/>
    </row>
    <row r="9" spans="1:12" ht="12.75">
      <c r="A9" s="2917"/>
      <c r="B9" s="2879"/>
      <c r="C9" s="2929"/>
      <c r="D9" s="2942"/>
      <c r="E9" s="56" t="s">
        <v>1735</v>
      </c>
      <c r="F9" s="2198"/>
      <c r="G9" s="2198"/>
      <c r="H9" s="2198"/>
      <c r="I9" s="2199"/>
    </row>
    <row r="10" spans="1:12" ht="12.75">
      <c r="A10" s="2917" t="s">
        <v>1736</v>
      </c>
      <c r="B10" s="2879">
        <v>15</v>
      </c>
      <c r="C10" s="2928"/>
      <c r="D10" s="2942"/>
      <c r="E10" s="56" t="s">
        <v>1737</v>
      </c>
      <c r="F10" s="2198"/>
      <c r="G10" s="2198"/>
      <c r="H10" s="2198"/>
      <c r="I10" s="2199"/>
    </row>
    <row r="11" spans="1:12" ht="12.75">
      <c r="A11" s="2917"/>
      <c r="B11" s="2879"/>
      <c r="C11" s="2929"/>
      <c r="D11" s="2942"/>
      <c r="E11" s="56" t="s">
        <v>1738</v>
      </c>
      <c r="F11" s="2198"/>
      <c r="G11" s="2198"/>
      <c r="H11" s="2198"/>
      <c r="I11" s="2199"/>
    </row>
    <row r="12" spans="1:12" ht="12.75">
      <c r="A12" s="2917" t="s">
        <v>1739</v>
      </c>
      <c r="B12" s="2879">
        <v>15</v>
      </c>
      <c r="C12" s="2928"/>
      <c r="D12" s="2942"/>
      <c r="E12" s="56" t="s">
        <v>1740</v>
      </c>
      <c r="F12" s="2198"/>
      <c r="G12" s="2198"/>
      <c r="H12" s="2198"/>
      <c r="I12" s="2199"/>
    </row>
    <row r="13" spans="1:12" ht="12.75">
      <c r="A13" s="2917"/>
      <c r="B13" s="2879"/>
      <c r="C13" s="2929"/>
      <c r="D13" s="2942"/>
      <c r="E13" s="56" t="s">
        <v>1741</v>
      </c>
      <c r="F13" s="2198"/>
      <c r="G13" s="2198"/>
      <c r="H13" s="2198"/>
      <c r="I13" s="2199"/>
    </row>
    <row r="14" spans="1:12" ht="12.75">
      <c r="A14" s="2917" t="s">
        <v>1742</v>
      </c>
      <c r="B14" s="2879">
        <v>30</v>
      </c>
      <c r="C14" s="2928">
        <v>5</v>
      </c>
      <c r="D14" s="2942">
        <v>5</v>
      </c>
      <c r="E14" s="56" t="s">
        <v>1743</v>
      </c>
      <c r="F14" s="2198"/>
      <c r="G14" s="2198"/>
      <c r="H14" s="2198"/>
      <c r="I14" s="2199"/>
    </row>
    <row r="15" spans="1:12" ht="12.75">
      <c r="A15" s="2917"/>
      <c r="B15" s="2879"/>
      <c r="C15" s="2945"/>
      <c r="D15" s="2942"/>
      <c r="E15" s="56" t="s">
        <v>1744</v>
      </c>
      <c r="F15" s="2198"/>
      <c r="G15" s="2198"/>
      <c r="H15" s="2198"/>
      <c r="I15" s="2199"/>
    </row>
    <row r="16" spans="1:12" ht="12.75">
      <c r="A16" s="2917"/>
      <c r="B16" s="2879"/>
      <c r="C16" s="2929"/>
      <c r="D16" s="2942"/>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425</v>
      </c>
      <c r="D19" s="60">
        <f ca="1">SUMIF(INDIRECT("'"&amp;D4&amp;"'"&amp;"!A:A"),'结果表 (1修多)'!B19,INDIRECT("'"&amp;D4&amp;"'"&amp;"!B:B"))</f>
        <v>429</v>
      </c>
      <c r="E19" s="2204" t="s">
        <v>1750</v>
      </c>
      <c r="F19" s="2205" t="s">
        <v>1749</v>
      </c>
      <c r="G19" s="61">
        <f ca="1">ROUND(C19*$C$18+D19*$D$18,0)</f>
        <v>427</v>
      </c>
      <c r="H19" s="2206" t="str">
        <f>'数据-取费表'!B3</f>
        <v>万元</v>
      </c>
      <c r="I19" s="2193"/>
    </row>
    <row r="20" spans="1:35" ht="15">
      <c r="A20" s="2207"/>
      <c r="B20" s="2208" t="s">
        <v>1751</v>
      </c>
      <c r="C20" s="62">
        <f ca="1">SUMIF(INDIRECT("'"&amp;C4&amp;"'"&amp;"!A:A"),'结果表 (1修多)'!B20,INDIRECT("'"&amp;C4&amp;"'"&amp;"!B:B"))</f>
        <v>39652</v>
      </c>
      <c r="D20" s="63">
        <f ca="1">SUMIF(INDIRECT("'"&amp;D4&amp;"'"&amp;"!A:A"),'结果表 (1修多)'!B20,INDIRECT("'"&amp;D4&amp;"'"&amp;"!B:B"))</f>
        <v>39966</v>
      </c>
      <c r="E20" s="2207"/>
      <c r="F20" s="2208" t="s">
        <v>1751</v>
      </c>
      <c r="G20" s="64">
        <f ca="1">ROUND(C20*$C$18+D20*$D$18,0)</f>
        <v>39809</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9.4117647058824527E-3</v>
      </c>
      <c r="E22" s="2193"/>
      <c r="F22" s="2193"/>
      <c r="G22" s="2193"/>
      <c r="H22" s="2193"/>
      <c r="I22" s="2193"/>
    </row>
    <row r="23" spans="1:35" ht="13.5" thickBot="1">
      <c r="A23" s="2193"/>
      <c r="B23" s="2193"/>
      <c r="C23" s="2193"/>
      <c r="D23" s="2193"/>
      <c r="E23" s="2193"/>
      <c r="F23" s="2193"/>
      <c r="G23" s="2193"/>
      <c r="H23" s="2193"/>
      <c r="I23" s="2193"/>
    </row>
    <row r="24" spans="1:35" ht="21.75" customHeight="1">
      <c r="A24" s="2948" t="s">
        <v>1754</v>
      </c>
      <c r="B24" s="2205" t="s">
        <v>1749</v>
      </c>
      <c r="C24" s="61">
        <f>D30</f>
        <v>0</v>
      </c>
      <c r="D24" s="993"/>
      <c r="E24" s="2193"/>
      <c r="F24" s="2193"/>
      <c r="G24" s="2193"/>
      <c r="H24" s="2193"/>
      <c r="I24" s="2193"/>
    </row>
    <row r="25" spans="1:35" ht="21.75" customHeight="1">
      <c r="A25" s="2949"/>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04" t="s">
        <v>1925</v>
      </c>
      <c r="B31" s="3004"/>
      <c r="C31" s="3004"/>
      <c r="D31" s="3004"/>
      <c r="E31" s="3004"/>
      <c r="F31" s="3004"/>
      <c r="G31" s="3004"/>
      <c r="H31" s="3004"/>
      <c r="I31" s="3004"/>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39809</v>
      </c>
      <c r="D32" s="2193" t="s">
        <v>1927</v>
      </c>
      <c r="E32" s="2193"/>
      <c r="F32" s="2193"/>
      <c r="G32" s="2193"/>
      <c r="H32" s="2193"/>
      <c r="I32" s="2193"/>
    </row>
    <row r="33" spans="1:16" ht="15">
      <c r="A33" s="2320" t="s">
        <v>1928</v>
      </c>
      <c r="B33" s="2321" t="s">
        <v>1929</v>
      </c>
      <c r="C33" s="1308">
        <f ca="1">典型户型修正!B2</f>
        <v>3424</v>
      </c>
      <c r="D33" s="2322" t="str">
        <f>IF('数据-取费表'!B3="万元","万元","元")</f>
        <v>万元</v>
      </c>
      <c r="E33" s="2193"/>
      <c r="F33" s="2193"/>
      <c r="G33" s="2193"/>
      <c r="H33" s="2193"/>
      <c r="I33" s="2193"/>
    </row>
    <row r="34" spans="1:16" ht="15.75" thickBot="1">
      <c r="A34" s="2323"/>
      <c r="B34" s="2324" t="s">
        <v>1930</v>
      </c>
      <c r="C34" s="770">
        <f ca="1">典型户型修正!B3</f>
        <v>40207</v>
      </c>
      <c r="D34" s="2193" t="s">
        <v>1931</v>
      </c>
      <c r="E34" s="2193"/>
      <c r="F34" s="2193"/>
      <c r="G34" s="2193"/>
      <c r="H34" s="2193"/>
      <c r="I34" s="2193"/>
    </row>
    <row r="35" spans="1:16" ht="15">
      <c r="A35" s="2325"/>
      <c r="B35" s="2326" t="s">
        <v>1932</v>
      </c>
      <c r="C35" s="1315">
        <f ca="1">IF('数据-取费表'!B3="万元",典型户型修正!V25,典型户型修正!U25)</f>
        <v>2877</v>
      </c>
      <c r="D35" s="2193" t="str">
        <f>D33</f>
        <v>万元</v>
      </c>
      <c r="E35" s="2193"/>
      <c r="F35" s="2193"/>
      <c r="G35" s="2193"/>
      <c r="H35" s="2193"/>
      <c r="I35" s="2193"/>
    </row>
    <row r="36" spans="1:16" ht="15.75" thickBot="1">
      <c r="A36" s="2232"/>
      <c r="B36" s="2327" t="s">
        <v>1933</v>
      </c>
      <c r="C36" s="1316">
        <f ca="1">IF('数据-取费表'!B3="万元",典型户型修正!Y25,典型户型修正!X25)</f>
        <v>548</v>
      </c>
      <c r="D36" s="2193" t="str">
        <f>D33</f>
        <v>万元</v>
      </c>
      <c r="E36" s="2193"/>
      <c r="F36" s="2193"/>
      <c r="G36" s="2193"/>
      <c r="H36" s="2193"/>
      <c r="I36" s="2193"/>
    </row>
    <row r="37" spans="1:16" ht="15.75" thickBot="1">
      <c r="A37" s="2930" t="s">
        <v>1934</v>
      </c>
      <c r="B37" s="2235" t="s">
        <v>1935</v>
      </c>
      <c r="C37" s="69"/>
      <c r="D37" s="2236"/>
      <c r="E37" s="2237"/>
      <c r="F37" s="2237"/>
      <c r="G37" s="2193"/>
      <c r="H37" s="2193"/>
      <c r="I37" s="2193"/>
    </row>
    <row r="38" spans="1:16" ht="15.75" thickBot="1">
      <c r="A38" s="2931"/>
      <c r="B38" s="2238" t="s">
        <v>1936</v>
      </c>
      <c r="C38" s="71"/>
      <c r="D38" s="2203"/>
      <c r="E38" s="2203"/>
      <c r="F38" s="2237"/>
      <c r="G38" s="2203"/>
      <c r="H38" s="2203"/>
      <c r="I38" s="2203"/>
    </row>
    <row r="39" spans="1:16" ht="15.75" thickBot="1">
      <c r="A39" s="2932"/>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36" t="s">
        <v>1947</v>
      </c>
      <c r="B46" s="2937"/>
      <c r="C46" s="2938"/>
      <c r="D46" s="80">
        <f ca="1">ROUND(I103*F46,0)</f>
        <v>3424</v>
      </c>
      <c r="E46" s="81" t="s">
        <v>1948</v>
      </c>
      <c r="F46" s="82">
        <v>1</v>
      </c>
      <c r="G46" s="83" t="s">
        <v>1949</v>
      </c>
      <c r="H46" s="2193"/>
      <c r="I46" s="2193"/>
      <c r="J46" s="2998" t="s">
        <v>1781</v>
      </c>
      <c r="K46" s="2998"/>
      <c r="L46" s="2998"/>
      <c r="M46" s="2998"/>
      <c r="N46" s="2998"/>
      <c r="O46" s="2998"/>
      <c r="P46" s="1844"/>
    </row>
    <row r="47" spans="1:16" ht="14.25" customHeight="1">
      <c r="A47" s="2921" t="s">
        <v>1782</v>
      </c>
      <c r="B47" s="2922"/>
      <c r="C47" s="2922"/>
      <c r="D47" s="2922"/>
      <c r="E47" s="2922"/>
      <c r="F47" s="2922"/>
      <c r="G47" s="2923"/>
      <c r="H47" s="2255"/>
      <c r="I47" s="1143"/>
      <c r="J47" s="1882">
        <v>1</v>
      </c>
      <c r="K47" s="2998" t="s">
        <v>1783</v>
      </c>
      <c r="L47" s="2998"/>
      <c r="M47" s="3014"/>
      <c r="N47" s="3014"/>
      <c r="O47" s="3014"/>
      <c r="P47" s="1844"/>
    </row>
    <row r="48" spans="1:16" ht="12" customHeight="1">
      <c r="A48" s="85" t="s">
        <v>1784</v>
      </c>
      <c r="B48" s="86"/>
      <c r="C48" s="87"/>
      <c r="D48" s="88" t="s">
        <v>1785</v>
      </c>
      <c r="E48" s="14" t="s">
        <v>1786</v>
      </c>
      <c r="F48" s="89" t="s">
        <v>1787</v>
      </c>
      <c r="G48" s="90" t="s">
        <v>1788</v>
      </c>
      <c r="H48" s="2255"/>
      <c r="I48" s="1143"/>
      <c r="J48" s="1882">
        <v>2</v>
      </c>
      <c r="K48" s="2998" t="s">
        <v>1789</v>
      </c>
      <c r="L48" s="2998"/>
      <c r="M48" s="3000">
        <f>'数据-取费表'!B2</f>
        <v>43098</v>
      </c>
      <c r="N48" s="3000"/>
      <c r="O48" s="3000"/>
      <c r="P48" s="1844"/>
    </row>
    <row r="49" spans="1:16" ht="25.5">
      <c r="A49" s="2933" t="s">
        <v>1790</v>
      </c>
      <c r="B49" s="2934"/>
      <c r="C49" s="2934"/>
      <c r="D49" s="56">
        <f ca="1">IF(H49="情况1",0,IF(H49="情况2",D53,IF(H49="情况3",D54,IF(H49="情况4",D55))))</f>
        <v>183</v>
      </c>
      <c r="E49" s="1892" t="str">
        <f>IF(H49="情况4","(销售额-原购置价)×税（费）率","销售额×税（费）率")</f>
        <v>销售额×税（费）率</v>
      </c>
      <c r="F49" s="91">
        <f>IF(H49="情况1","免征",'数据-取费表'!E29)</f>
        <v>5.6000000000000001E-2</v>
      </c>
      <c r="G49" s="2256" t="s">
        <v>1791</v>
      </c>
      <c r="H49" s="2257" t="s">
        <v>1792</v>
      </c>
      <c r="I49" s="2255"/>
      <c r="J49" s="1882">
        <v>3</v>
      </c>
      <c r="K49" s="2998" t="s">
        <v>1793</v>
      </c>
      <c r="L49" s="2998"/>
      <c r="M49" s="2999">
        <f ca="1">I103</f>
        <v>3424</v>
      </c>
      <c r="N49" s="2999"/>
      <c r="O49" s="2999"/>
      <c r="P49" s="1844"/>
    </row>
    <row r="50" spans="1:16" ht="25.5" customHeight="1">
      <c r="A50" s="92" t="s">
        <v>1794</v>
      </c>
      <c r="B50" s="2926" t="s">
        <v>1795</v>
      </c>
      <c r="C50" s="2926"/>
      <c r="D50" s="93">
        <v>0</v>
      </c>
      <c r="E50" s="13" t="s">
        <v>1796</v>
      </c>
      <c r="F50" s="18" t="s">
        <v>48</v>
      </c>
      <c r="G50" s="2991"/>
      <c r="H50" s="2193"/>
      <c r="I50" s="2258"/>
      <c r="J50" s="1882">
        <v>4</v>
      </c>
      <c r="K50" s="2998" t="str">
        <f>IF(项目基本情况!F5="房地产抵押价值","房地产抵押价值","抵押担保权已注销时的房地产抵押价值")</f>
        <v>房地产抵押价值</v>
      </c>
      <c r="L50" s="2998"/>
      <c r="M50" s="2999" t="str">
        <f>IF(项目基本情况!E8="房地产抵押价值",I111,I113)</f>
        <v>——</v>
      </c>
      <c r="N50" s="2999"/>
      <c r="O50" s="2999"/>
      <c r="P50" s="1844"/>
    </row>
    <row r="51" spans="1:16" ht="25.5" customHeight="1">
      <c r="A51" s="94"/>
      <c r="B51" s="2926" t="s">
        <v>1797</v>
      </c>
      <c r="C51" s="2926"/>
      <c r="D51" s="95"/>
      <c r="E51" s="21"/>
      <c r="F51" s="96"/>
      <c r="G51" s="2992"/>
      <c r="H51" s="2193"/>
      <c r="I51" s="2258"/>
      <c r="J51" s="2998" t="s">
        <v>1798</v>
      </c>
      <c r="K51" s="2998"/>
      <c r="L51" s="2998"/>
      <c r="M51" s="2998"/>
      <c r="N51" s="2998"/>
      <c r="O51" s="2998"/>
      <c r="P51" s="1844"/>
    </row>
    <row r="52" spans="1:16" ht="12" customHeight="1">
      <c r="A52" s="97"/>
      <c r="B52" s="2926" t="s">
        <v>1799</v>
      </c>
      <c r="C52" s="2926"/>
      <c r="D52" s="98"/>
      <c r="E52" s="20"/>
      <c r="F52" s="96"/>
      <c r="G52" s="2993"/>
      <c r="H52" s="2193"/>
      <c r="I52" s="2258"/>
      <c r="J52" s="2259" t="s">
        <v>1800</v>
      </c>
      <c r="K52" s="2998" t="s">
        <v>1801</v>
      </c>
      <c r="L52" s="2998"/>
      <c r="M52" s="2259" t="s">
        <v>1802</v>
      </c>
      <c r="N52" s="2259" t="s">
        <v>1803</v>
      </c>
      <c r="O52" s="2259" t="s">
        <v>1804</v>
      </c>
      <c r="P52" s="1844"/>
    </row>
    <row r="53" spans="1:16" ht="24" customHeight="1">
      <c r="A53" s="99" t="s">
        <v>1805</v>
      </c>
      <c r="B53" s="2926" t="s">
        <v>1806</v>
      </c>
      <c r="C53" s="2926"/>
      <c r="D53" s="98">
        <f ca="1">ROUND(D46*'数据-取费表'!E29/(1+'数据-取费表'!F30),0)</f>
        <v>183</v>
      </c>
      <c r="E53" s="10" t="s">
        <v>1807</v>
      </c>
      <c r="F53" s="100">
        <f>'数据-取费表'!E29</f>
        <v>5.6000000000000001E-2</v>
      </c>
      <c r="G53" s="2260"/>
      <c r="H53" s="2193"/>
      <c r="I53" s="2258"/>
      <c r="J53" s="1882">
        <v>1</v>
      </c>
      <c r="K53" s="2958" t="s">
        <v>1808</v>
      </c>
      <c r="L53" s="2958"/>
      <c r="M53" s="777">
        <f ca="1">D49</f>
        <v>183</v>
      </c>
      <c r="N53" s="1882" t="str">
        <f>E49</f>
        <v>销售额×税（费）率</v>
      </c>
      <c r="O53" s="778">
        <f>F49</f>
        <v>5.6000000000000001E-2</v>
      </c>
      <c r="P53" s="1844"/>
    </row>
    <row r="54" spans="1:16" ht="12" customHeight="1">
      <c r="A54" s="99" t="s">
        <v>1809</v>
      </c>
      <c r="B54" s="2927" t="s">
        <v>1810</v>
      </c>
      <c r="C54" s="2857"/>
      <c r="D54" s="98">
        <f ca="1">ROUND(D46*'数据-取费表'!E29/(1+'数据-取费表'!F30),0)</f>
        <v>183</v>
      </c>
      <c r="E54" s="10" t="s">
        <v>1807</v>
      </c>
      <c r="F54" s="100">
        <f>'数据-取费表'!E29</f>
        <v>5.6000000000000001E-2</v>
      </c>
      <c r="G54" s="2260"/>
      <c r="H54" s="2193"/>
      <c r="I54" s="2258"/>
      <c r="J54" s="1882">
        <v>2</v>
      </c>
      <c r="K54" s="2958" t="s">
        <v>1811</v>
      </c>
      <c r="L54" s="2958"/>
      <c r="M54" s="777">
        <f t="shared" ref="M54:O55" ca="1" si="1">D56</f>
        <v>2</v>
      </c>
      <c r="N54" s="1882" t="str">
        <f t="shared" si="1"/>
        <v>销售额×税（费）率</v>
      </c>
      <c r="O54" s="778">
        <f t="shared" si="1"/>
        <v>5.0000000000000001E-4</v>
      </c>
      <c r="P54" s="1844"/>
    </row>
    <row r="55" spans="1:16" ht="12" customHeight="1">
      <c r="A55" s="99" t="s">
        <v>1812</v>
      </c>
      <c r="B55" s="2927" t="s">
        <v>1813</v>
      </c>
      <c r="C55" s="2857"/>
      <c r="D55" s="98">
        <f ca="1">C69</f>
        <v>183</v>
      </c>
      <c r="E55" s="20" t="s">
        <v>1814</v>
      </c>
      <c r="F55" s="100">
        <f>'数据-取费表'!E29</f>
        <v>5.6000000000000001E-2</v>
      </c>
      <c r="G55" s="2260"/>
      <c r="H55" s="2261"/>
      <c r="I55" s="2258"/>
      <c r="J55" s="1882">
        <v>3</v>
      </c>
      <c r="K55" s="2958" t="s">
        <v>1815</v>
      </c>
      <c r="L55" s="2958"/>
      <c r="M55" s="777">
        <f t="shared" ca="1" si="1"/>
        <v>1938</v>
      </c>
      <c r="N55" s="1882" t="str">
        <f t="shared" si="1"/>
        <v>增值额×税（费）率</v>
      </c>
      <c r="O55" s="779" t="str">
        <f t="shared" si="1"/>
        <v>——</v>
      </c>
      <c r="P55" s="1844"/>
    </row>
    <row r="56" spans="1:16" ht="24" customHeight="1">
      <c r="A56" s="2849" t="s">
        <v>1816</v>
      </c>
      <c r="B56" s="2934"/>
      <c r="C56" s="2934"/>
      <c r="D56" s="101">
        <f ca="1">IF(H56="个人住宅",0,ROUND(D46*I56,0))</f>
        <v>2</v>
      </c>
      <c r="E56" s="10" t="s">
        <v>1817</v>
      </c>
      <c r="F56" s="100">
        <f>IF(H56="正常",I56,"免征")</f>
        <v>5.0000000000000001E-4</v>
      </c>
      <c r="G56" s="2260"/>
      <c r="H56" s="2257" t="s">
        <v>1818</v>
      </c>
      <c r="I56" s="102">
        <f>'数据-取费表'!E37</f>
        <v>5.0000000000000001E-4</v>
      </c>
      <c r="J56" s="1882" t="str">
        <f>IF(H60="非个人房产","",4)</f>
        <v/>
      </c>
      <c r="K56" s="2958" t="str">
        <f>IF(H60="非个人房产","——","个人所得税")</f>
        <v>——</v>
      </c>
      <c r="L56" s="2958"/>
      <c r="M56" s="780" t="str">
        <f>D60</f>
        <v>——</v>
      </c>
      <c r="N56" s="1885" t="str">
        <f>E60</f>
        <v>——</v>
      </c>
      <c r="O56" s="781" t="str">
        <f>F60</f>
        <v>——</v>
      </c>
      <c r="P56" s="1844"/>
    </row>
    <row r="57" spans="1:16" ht="24.75">
      <c r="A57" s="2849" t="s">
        <v>1819</v>
      </c>
      <c r="B57" s="2934"/>
      <c r="C57" s="2934"/>
      <c r="D57" s="101">
        <f ca="1">IF(H57="个人住宅",D58,D59)</f>
        <v>1938</v>
      </c>
      <c r="E57" s="10" t="s">
        <v>1820</v>
      </c>
      <c r="F57" s="100" t="str">
        <f>IF(H57="正常",F59,"免征")</f>
        <v>——</v>
      </c>
      <c r="G57" s="2262" t="s">
        <v>1821</v>
      </c>
      <c r="H57" s="2263" t="s">
        <v>1818</v>
      </c>
      <c r="I57" s="1021"/>
      <c r="J57" s="1882" t="str">
        <f>IF(项目基本情况!I6="上海银行",IF(J56="",4,J56+1),"")</f>
        <v/>
      </c>
      <c r="K57" s="2976" t="str">
        <f>IF(项目基本情况!I6="上海银行","其他处置费用","")</f>
        <v/>
      </c>
      <c r="L57" s="2977"/>
      <c r="M57" s="777" t="str">
        <f>IF(项目基本情况!I6="上海银行",M70,"")</f>
        <v/>
      </c>
      <c r="N57" s="2989" t="str">
        <f>IF(项目基本情况!I6="上海银行","包含处置中涉及的律师、诉讼、拍卖、评估等费用","")</f>
        <v/>
      </c>
      <c r="O57" s="2990"/>
      <c r="P57" s="1844"/>
    </row>
    <row r="58" spans="1:16" ht="12.75">
      <c r="A58" s="99" t="s">
        <v>1794</v>
      </c>
      <c r="B58" s="2924" t="s">
        <v>1822</v>
      </c>
      <c r="C58" s="2935"/>
      <c r="D58" s="103">
        <v>0</v>
      </c>
      <c r="E58" s="13" t="s">
        <v>1796</v>
      </c>
      <c r="F58" s="70"/>
      <c r="G58" s="2260"/>
      <c r="H58" s="1021"/>
      <c r="I58" s="1021"/>
      <c r="J58" s="2958">
        <f>IF(AND(J56="",J57=""),4,IF(项目基本情况!I6="上海银行",J57+1,J56+1))</f>
        <v>4</v>
      </c>
      <c r="K58" s="2958" t="s">
        <v>1823</v>
      </c>
      <c r="L58" s="2264" t="s">
        <v>1824</v>
      </c>
      <c r="M58" s="782"/>
      <c r="N58" s="783">
        <f ca="1">SUMIF(M53:M57,"&lt;9e307")</f>
        <v>2123</v>
      </c>
      <c r="O58" s="2265"/>
      <c r="P58" s="1840" t="e">
        <f ca="1">N58/M50</f>
        <v>#VALUE!</v>
      </c>
    </row>
    <row r="59" spans="1:16" ht="24.75">
      <c r="A59" s="99" t="s">
        <v>1805</v>
      </c>
      <c r="B59" s="2924" t="s">
        <v>1825</v>
      </c>
      <c r="C59" s="2925"/>
      <c r="D59" s="101">
        <f ca="1">IF(H59="转让取得",C82,C98)</f>
        <v>1938</v>
      </c>
      <c r="E59" s="10" t="s">
        <v>1820</v>
      </c>
      <c r="F59" s="14" t="s">
        <v>48</v>
      </c>
      <c r="G59" s="2260"/>
      <c r="H59" s="2263" t="s">
        <v>1826</v>
      </c>
      <c r="I59" s="1021"/>
      <c r="J59" s="2958"/>
      <c r="K59" s="2958"/>
      <c r="L59" s="2264" t="s">
        <v>1827</v>
      </c>
      <c r="M59" s="784"/>
      <c r="N59" s="2266" t="str">
        <f ca="1">IF(H19="元",NUMBERSTRING(INT(N58),2)&amp;"元整",NUMBERSTRING(INT(N58*10000),2)&amp;"元整")</f>
        <v>贰仟壹佰贰拾叁万元整</v>
      </c>
      <c r="O59" s="2267"/>
      <c r="P59" s="1844"/>
    </row>
    <row r="60" spans="1:16" ht="24.75" thickBot="1">
      <c r="A60" s="2850" t="s">
        <v>1828</v>
      </c>
      <c r="B60" s="2853"/>
      <c r="C60" s="2853"/>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56">
        <f>J58+1</f>
        <v>5</v>
      </c>
      <c r="K60" s="2958"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57"/>
      <c r="K61" s="2958"/>
      <c r="L61" s="2264" t="s">
        <v>1827</v>
      </c>
      <c r="M61" s="784"/>
      <c r="N61" s="2266" t="e">
        <f ca="1">IF(H19="元",NUMBERSTRING(INT(N60),2)&amp;"元整",NUMBERSTRING(INT(N60*10000),2)&amp;"元整")</f>
        <v>#VALUE!</v>
      </c>
      <c r="O61" s="2267"/>
      <c r="P61" s="1844"/>
    </row>
    <row r="62" spans="1:16" ht="13.5" thickBot="1">
      <c r="A62" s="2939" t="s">
        <v>1831</v>
      </c>
      <c r="B62" s="2939"/>
      <c r="C62" s="2939"/>
      <c r="D62" s="2939"/>
      <c r="E62" s="2939"/>
      <c r="F62" s="1021"/>
      <c r="G62" s="1021"/>
      <c r="H62" s="2246"/>
      <c r="I62" s="2193"/>
      <c r="J62" s="1882">
        <f>J60+1</f>
        <v>6</v>
      </c>
      <c r="K62" s="2958" t="s">
        <v>1832</v>
      </c>
      <c r="L62" s="2958"/>
      <c r="M62" s="787"/>
      <c r="N62" s="788" t="e">
        <f ca="1">IF(H19="元",ROUND(N60/项目基本情况!C12,0),ROUND(N60*10000/项目基本情况!C12,0))</f>
        <v>#VALUE!</v>
      </c>
      <c r="O62" s="2270"/>
      <c r="P62" s="1844"/>
    </row>
    <row r="63" spans="1:16" ht="12.75">
      <c r="A63" s="2946" t="s">
        <v>1833</v>
      </c>
      <c r="B63" s="2947"/>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3261</v>
      </c>
      <c r="D64" s="112"/>
      <c r="E64" s="113"/>
      <c r="F64" s="1021"/>
      <c r="G64" s="1021"/>
      <c r="H64" s="2246"/>
      <c r="I64" s="2193"/>
      <c r="J64" s="2978"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3424</v>
      </c>
      <c r="D65" s="117" t="s">
        <v>41</v>
      </c>
      <c r="E65" s="118"/>
      <c r="F65" s="1021"/>
      <c r="G65" s="1021"/>
      <c r="H65" s="2246"/>
      <c r="I65" s="2193"/>
      <c r="J65" s="2978"/>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978"/>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978"/>
      <c r="K67" s="2271" t="s">
        <v>1846</v>
      </c>
      <c r="L67" s="1843" t="e">
        <f>M50*0.5%</f>
        <v>#VALUE!</v>
      </c>
      <c r="M67" s="14" t="e">
        <f>IF(L67&gt;0.5,0.5,ROUND(L67,0))</f>
        <v>#VALUE!</v>
      </c>
      <c r="N67" s="1844" t="s">
        <v>1847</v>
      </c>
      <c r="O67" s="1844"/>
      <c r="P67" s="1844"/>
    </row>
    <row r="68" spans="1:35" ht="12.75">
      <c r="A68" s="120" t="s">
        <v>42</v>
      </c>
      <c r="B68" s="121" t="s">
        <v>1848</v>
      </c>
      <c r="C68" s="124">
        <f ca="1">C64-C67</f>
        <v>3261</v>
      </c>
      <c r="D68" s="117" t="s">
        <v>41</v>
      </c>
      <c r="E68" s="118"/>
      <c r="F68" s="1021"/>
      <c r="G68" s="1021"/>
      <c r="H68" s="2246"/>
      <c r="I68" s="2193"/>
      <c r="J68" s="2978"/>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183</v>
      </c>
      <c r="D69" s="128">
        <f>'数据-取费表'!E29</f>
        <v>5.6000000000000001E-2</v>
      </c>
      <c r="E69" s="129"/>
      <c r="F69" s="1021"/>
      <c r="G69" s="1021"/>
      <c r="H69" s="2246"/>
      <c r="I69" s="2193"/>
      <c r="J69" s="2978"/>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78"/>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50" t="s">
        <v>1853</v>
      </c>
      <c r="B71" s="2951"/>
      <c r="C71" s="2951"/>
      <c r="D71" s="2951"/>
      <c r="E71" s="2951"/>
      <c r="F71" s="2951"/>
      <c r="G71" s="2951"/>
      <c r="H71" s="2951"/>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46" t="s">
        <v>1833</v>
      </c>
      <c r="B72" s="2947"/>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3261</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20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27" t="s">
        <v>1863</v>
      </c>
      <c r="F77" s="2926"/>
      <c r="G77" s="2926"/>
      <c r="H77" s="294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20</v>
      </c>
      <c r="D79" s="145">
        <f>'数据-取费表'!E31</f>
        <v>6.000000000000001E-3</v>
      </c>
      <c r="E79" s="2918" t="s">
        <v>1868</v>
      </c>
      <c r="F79" s="2919"/>
      <c r="G79" s="2919"/>
      <c r="H79" s="2920"/>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3241</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162.05000000000001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1938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50" t="s">
        <v>1872</v>
      </c>
      <c r="B84" s="2951"/>
      <c r="C84" s="2951"/>
      <c r="D84" s="2951"/>
      <c r="E84" s="2951"/>
      <c r="F84" s="2951"/>
      <c r="G84" s="2951"/>
      <c r="H84" s="2951"/>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46" t="s">
        <v>1833</v>
      </c>
      <c r="B85" s="2947"/>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3261</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20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918" t="s">
        <v>1880</v>
      </c>
      <c r="F92" s="2919"/>
      <c r="G92" s="2919"/>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918" t="s">
        <v>1883</v>
      </c>
      <c r="F93" s="2919"/>
      <c r="G93" s="2919"/>
      <c r="H93" s="292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20</v>
      </c>
      <c r="D94" s="145">
        <f>'数据-取费表'!E31</f>
        <v>6.000000000000001E-3</v>
      </c>
      <c r="E94" s="2918" t="s">
        <v>1868</v>
      </c>
      <c r="F94" s="2919"/>
      <c r="G94" s="2919"/>
      <c r="H94" s="292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918" t="s">
        <v>1885</v>
      </c>
      <c r="F95" s="2919"/>
      <c r="G95" s="2919"/>
      <c r="H95" s="2920"/>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3241</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162.05000000000001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1938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73" t="s">
        <v>1887</v>
      </c>
      <c r="B100" s="2974"/>
      <c r="C100" s="2974"/>
      <c r="D100" s="2975"/>
      <c r="E100" s="2193"/>
      <c r="F100" s="2984" t="s">
        <v>1888</v>
      </c>
      <c r="G100" s="2985"/>
      <c r="H100" s="2985"/>
      <c r="I100" s="2986"/>
    </row>
    <row r="101" spans="1:35" ht="15.75">
      <c r="A101" s="2987" t="s">
        <v>1889</v>
      </c>
      <c r="B101" s="2988"/>
      <c r="C101" s="719" t="str">
        <f>C4</f>
        <v>比较法-办公</v>
      </c>
      <c r="D101" s="720" t="str">
        <f>D4</f>
        <v>收益法</v>
      </c>
      <c r="E101" s="2193"/>
      <c r="F101" s="2883" t="s">
        <v>1890</v>
      </c>
      <c r="G101" s="2884"/>
      <c r="H101" s="3009" t="s">
        <v>1891</v>
      </c>
      <c r="I101" s="2882"/>
    </row>
    <row r="102" spans="1:35" ht="15.75">
      <c r="A102" s="3010" t="s">
        <v>1951</v>
      </c>
      <c r="B102" s="2288" t="str">
        <f>IF(H19="元","总价（元）","总价（万元）")</f>
        <v>总价（万元）</v>
      </c>
      <c r="C102" s="719">
        <f ca="1">C19</f>
        <v>425</v>
      </c>
      <c r="D102" s="720">
        <f ca="1">D19</f>
        <v>429</v>
      </c>
      <c r="E102" s="2193"/>
      <c r="F102" s="3011"/>
      <c r="G102" s="3012"/>
      <c r="H102" s="2881">
        <f>典型户型修正!B25</f>
        <v>851.59</v>
      </c>
      <c r="I102" s="2882"/>
    </row>
    <row r="103" spans="1:35" ht="15.75">
      <c r="A103" s="3010"/>
      <c r="B103" s="2288" t="s">
        <v>1893</v>
      </c>
      <c r="C103" s="721">
        <f ca="1">C20</f>
        <v>39652</v>
      </c>
      <c r="D103" s="722">
        <f ca="1">D20</f>
        <v>39966</v>
      </c>
      <c r="E103" s="2193"/>
      <c r="F103" s="2910" t="s">
        <v>1894</v>
      </c>
      <c r="G103" s="2911"/>
      <c r="H103" s="2289" t="str">
        <f>C109</f>
        <v>总价（万元）</v>
      </c>
      <c r="I103" s="1861">
        <f ca="1">H124</f>
        <v>3424</v>
      </c>
    </row>
    <row r="104" spans="1:35" ht="15">
      <c r="A104" s="3010" t="s">
        <v>1952</v>
      </c>
      <c r="B104" s="2290" t="str">
        <f>B102</f>
        <v>总价（万元）</v>
      </c>
      <c r="C104" s="1189">
        <f ca="1">ROUND(IF('数据-取费表'!B4="总价",G19,IF(H19="元",G20*'数据-取费表'!E5,G20*'数据-取费表'!E5/10000)),0)</f>
        <v>427</v>
      </c>
      <c r="D104" s="724"/>
      <c r="E104" s="2193"/>
      <c r="F104" s="2910"/>
      <c r="G104" s="2911"/>
      <c r="H104" s="2289" t="s">
        <v>1893</v>
      </c>
      <c r="I104" s="1049">
        <f ca="1">I124</f>
        <v>40207</v>
      </c>
    </row>
    <row r="105" spans="1:35" ht="15.75">
      <c r="A105" s="3010"/>
      <c r="B105" s="2288" t="s">
        <v>1893</v>
      </c>
      <c r="C105" s="1190">
        <f ca="1">ROUND(IF('数据-取费表'!B4="楼面单价",G20,IF(H19="元",G19/'数据-取费表'!E5,G19*10000/'数据-取费表'!E5)),0)</f>
        <v>39809</v>
      </c>
      <c r="D105" s="724"/>
      <c r="E105" s="2193"/>
      <c r="F105" s="2982"/>
      <c r="G105" s="2983"/>
      <c r="H105" s="2967"/>
      <c r="I105" s="2968"/>
    </row>
    <row r="106" spans="1:35" ht="15.75">
      <c r="A106" s="3003" t="s">
        <v>1953</v>
      </c>
      <c r="B106" s="2328" t="str">
        <f>B102</f>
        <v>总价（万元）</v>
      </c>
      <c r="C106" s="723">
        <f ca="1">H124</f>
        <v>3424</v>
      </c>
      <c r="D106" s="1188"/>
      <c r="E106" s="2193"/>
      <c r="F106" s="2971" t="s">
        <v>1897</v>
      </c>
      <c r="G106" s="2972"/>
      <c r="H106" s="2292" t="str">
        <f>C111</f>
        <v>总额（万元）</v>
      </c>
      <c r="I106" s="1861">
        <f>SUMIF(I107:I109,"&lt;9E307")</f>
        <v>0</v>
      </c>
    </row>
    <row r="107" spans="1:35" ht="15.75" thickBot="1">
      <c r="A107" s="2966"/>
      <c r="B107" s="2291" t="s">
        <v>1893</v>
      </c>
      <c r="C107" s="725">
        <f ca="1">I124</f>
        <v>40207</v>
      </c>
      <c r="D107" s="726"/>
      <c r="E107" s="2193"/>
      <c r="F107" s="2899" t="s">
        <v>1899</v>
      </c>
      <c r="G107" s="2900"/>
      <c r="H107" s="2292" t="str">
        <f>C112</f>
        <v>总额（万元）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06" t="s">
        <v>1896</v>
      </c>
      <c r="B108" s="3007"/>
      <c r="C108" s="3007"/>
      <c r="D108" s="3008"/>
      <c r="E108" s="2193"/>
      <c r="F108" s="2899" t="s">
        <v>1900</v>
      </c>
      <c r="G108" s="2900"/>
      <c r="H108" s="2292" t="str">
        <f>C113</f>
        <v>总额（万元）</v>
      </c>
      <c r="I108" s="1049">
        <f>C38</f>
        <v>0</v>
      </c>
      <c r="K108" s="2293"/>
    </row>
    <row r="109" spans="1:35" ht="15">
      <c r="A109" s="2897" t="s">
        <v>1954</v>
      </c>
      <c r="B109" s="2898"/>
      <c r="C109" s="2289" t="str">
        <f>B102</f>
        <v>总价（万元）</v>
      </c>
      <c r="D109" s="1050">
        <f ca="1">H124</f>
        <v>3424</v>
      </c>
      <c r="E109" s="2193"/>
      <c r="F109" s="2899" t="s">
        <v>1902</v>
      </c>
      <c r="G109" s="2900"/>
      <c r="H109" s="2292" t="str">
        <f>C114</f>
        <v>总额（万元）</v>
      </c>
      <c r="I109" s="1049">
        <f>C39</f>
        <v>0</v>
      </c>
    </row>
    <row r="110" spans="1:35" ht="15.75">
      <c r="A110" s="2897"/>
      <c r="B110" s="2898"/>
      <c r="C110" s="2289" t="s">
        <v>1893</v>
      </c>
      <c r="D110" s="1051">
        <f ca="1">I124</f>
        <v>40207</v>
      </c>
      <c r="E110" s="2193"/>
      <c r="F110" s="2982"/>
      <c r="G110" s="2983"/>
      <c r="H110" s="2969"/>
      <c r="I110" s="2970"/>
    </row>
    <row r="111" spans="1:35" ht="28.5" customHeight="1">
      <c r="A111" s="2904" t="s">
        <v>1901</v>
      </c>
      <c r="B111" s="2905"/>
      <c r="C111" s="2292" t="str">
        <f>IF(H19="元","总额（元）","总额（万元）")</f>
        <v>总额（万元）</v>
      </c>
      <c r="D111" s="1050">
        <f>IF(D37="正常操作",I107+I108+I109,I108+I109)</f>
        <v>0</v>
      </c>
      <c r="E111" s="2193"/>
      <c r="F111" s="2885" t="str">
        <f>IF(项目基本情况!F5="已注销","——","3.房地产抵押价值")</f>
        <v>3.房地产抵押价值</v>
      </c>
      <c r="G111" s="2886"/>
      <c r="H111" s="2329" t="str">
        <f>C115</f>
        <v>总价（万元）</v>
      </c>
      <c r="I111" s="1861">
        <f ca="1">IF(F111="——","——",I103-I106)</f>
        <v>3424</v>
      </c>
    </row>
    <row r="112" spans="1:35" ht="15">
      <c r="A112" s="2899" t="s">
        <v>1899</v>
      </c>
      <c r="B112" s="2900"/>
      <c r="C112" s="2292" t="str">
        <f>C111</f>
        <v>总额（万元）</v>
      </c>
      <c r="D112" s="637">
        <f>IF(D37="同一抵押权人同一抵押物续贷",C37&amp;"（未扣减，详见特别提示）",C37)</f>
        <v>0</v>
      </c>
      <c r="E112" s="2193"/>
      <c r="F112" s="3001"/>
      <c r="G112" s="3002"/>
      <c r="H112" s="2289" t="s">
        <v>1893</v>
      </c>
      <c r="I112" s="2295">
        <f ca="1">D116</f>
        <v>40207</v>
      </c>
    </row>
    <row r="113" spans="1:26" ht="15.75">
      <c r="A113" s="2899" t="s">
        <v>1900</v>
      </c>
      <c r="B113" s="2900"/>
      <c r="C113" s="2292" t="str">
        <f>C111</f>
        <v>总额（万元）</v>
      </c>
      <c r="D113" s="637">
        <f>C38</f>
        <v>0</v>
      </c>
      <c r="E113" s="2193"/>
      <c r="F113" s="2885" t="str">
        <f>IF(项目基本情况!F5="已注销及未注销","4.抵押担保权已注销时的房地产抵押价值",IF(项目基本情况!F5="已注销","3.抵押担保权已注销时的房地产抵押价值","——"))</f>
        <v>——</v>
      </c>
      <c r="G113" s="2886"/>
      <c r="H113" s="2329" t="str">
        <f>C117</f>
        <v>总价（万元）</v>
      </c>
      <c r="I113" s="1861" t="str">
        <f>IF(F113="——","——",I103-I108-I109)</f>
        <v>——</v>
      </c>
    </row>
    <row r="114" spans="1:26" ht="15">
      <c r="A114" s="2899" t="s">
        <v>1902</v>
      </c>
      <c r="B114" s="2900"/>
      <c r="C114" s="2292" t="str">
        <f>C111</f>
        <v>总额（万元）</v>
      </c>
      <c r="D114" s="637">
        <f>C39</f>
        <v>0</v>
      </c>
      <c r="E114" s="2193"/>
      <c r="F114" s="3001"/>
      <c r="G114" s="3002"/>
      <c r="H114" s="2289" t="s">
        <v>1893</v>
      </c>
      <c r="I114" s="1049" t="str">
        <f>D118</f>
        <v>——</v>
      </c>
    </row>
    <row r="115" spans="1:26" ht="15.75">
      <c r="A115" s="2897" t="str">
        <f>IF(项目基本情况!F5="已注销","——","3.房地产抵押价值")</f>
        <v>3.房地产抵押价值</v>
      </c>
      <c r="B115" s="2898"/>
      <c r="C115" s="2289" t="str">
        <f>B102</f>
        <v>总价（万元）</v>
      </c>
      <c r="D115" s="1050">
        <f ca="1">IF(A115="——","——",D109-D111)</f>
        <v>3424</v>
      </c>
      <c r="E115" s="2193"/>
      <c r="F115" s="2885" t="str">
        <f>IF(项目基本情况!G5="抵押净值",IF(OR(项目基本情况!F5="已注销",项目基本情况!F5="房地产抵押价值"),"4.抵押净值","5.抵押净值"),"——")</f>
        <v>——</v>
      </c>
      <c r="G115" s="2886"/>
      <c r="H115" s="2289" t="str">
        <f>C119</f>
        <v>总价（万元）</v>
      </c>
      <c r="I115" s="1861" t="str">
        <f>IF(F115="——","——",N60)</f>
        <v>——</v>
      </c>
    </row>
    <row r="116" spans="1:26" ht="15.75" thickBot="1">
      <c r="A116" s="2897"/>
      <c r="B116" s="2898"/>
      <c r="C116" s="2289" t="s">
        <v>1955</v>
      </c>
      <c r="D116" s="1051">
        <f ca="1">ROUND(IF(D115=D109,D110,IF(H19="元",D115/B124,D115*10000/B124)),0)</f>
        <v>40207</v>
      </c>
      <c r="E116" s="2193"/>
      <c r="F116" s="2887"/>
      <c r="G116" s="2888"/>
      <c r="H116" s="2297" t="s">
        <v>1955</v>
      </c>
      <c r="I116" s="1863" t="str">
        <f ca="1">D120</f>
        <v>——</v>
      </c>
    </row>
    <row r="117" spans="1:26" ht="15.75">
      <c r="A117" s="2897" t="str">
        <f>IF(项目基本情况!F5="已注销及未注销","4.抵押担保权已注销时的房地产抵押价值",IF(项目基本情况!F5="已注销","3.抵押担保权已注销时的房地产抵押价值","——"))</f>
        <v>——</v>
      </c>
      <c r="B117" s="2898"/>
      <c r="C117" s="2289" t="str">
        <f>B102</f>
        <v>总价（万元）</v>
      </c>
      <c r="D117" s="1050" t="str">
        <f>IF(A117="——","——",D109-D113-D114)</f>
        <v>——</v>
      </c>
      <c r="E117" s="2193"/>
      <c r="F117" s="2997"/>
      <c r="G117" s="2997"/>
      <c r="H117" s="2953"/>
      <c r="I117" s="2953"/>
      <c r="N117" s="55"/>
      <c r="O117" s="55"/>
    </row>
    <row r="118" spans="1:26" s="1844" customFormat="1" ht="15">
      <c r="A118" s="2897"/>
      <c r="B118" s="2898"/>
      <c r="C118" s="2289" t="s">
        <v>1955</v>
      </c>
      <c r="D118" s="1051" t="str">
        <f>IF(A117="——","——",IF(H19="元",ROUND(D117/B124,0),ROUND(D117*10000/B124,0)))</f>
        <v>——</v>
      </c>
      <c r="E118" s="2193"/>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7"/>
      <c r="K118" s="797"/>
      <c r="L118" s="797"/>
      <c r="M118" s="797"/>
      <c r="N118" s="55"/>
      <c r="O118" s="55"/>
      <c r="P118" s="797"/>
      <c r="Q118" s="797"/>
      <c r="R118" s="797"/>
      <c r="S118" s="797"/>
      <c r="T118" s="797"/>
      <c r="U118" s="797"/>
      <c r="V118" s="797"/>
      <c r="W118" s="797"/>
      <c r="X118" s="797"/>
      <c r="Y118" s="797"/>
      <c r="Z118" s="797"/>
    </row>
    <row r="119" spans="1:26" s="1844" customFormat="1" ht="15">
      <c r="A119" s="2897" t="str">
        <f>IF(项目基本情况!G5="抵押净值",IF(OR(项目基本情况!F5="已注销",项目基本情况!F5="房地产抵押价值"),"4.抵押净值","5.抵押净值"),"——")</f>
        <v>——</v>
      </c>
      <c r="B119" s="2898"/>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02"/>
      <c r="B120" s="2903"/>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54" t="s">
        <v>1956</v>
      </c>
      <c r="B121" s="2955"/>
      <c r="C121" s="2955"/>
      <c r="D121" s="2955"/>
      <c r="E121" s="2955"/>
      <c r="F121" s="2955"/>
      <c r="G121" s="2955"/>
      <c r="H121" s="2955"/>
      <c r="I121" s="2955"/>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78" t="s">
        <v>1904</v>
      </c>
      <c r="B122" s="2908" t="s">
        <v>1957</v>
      </c>
      <c r="C122" s="2908" t="s">
        <v>1958</v>
      </c>
      <c r="D122" s="2980" t="s">
        <v>1907</v>
      </c>
      <c r="E122" s="2981"/>
      <c r="F122" s="2879" t="s">
        <v>1959</v>
      </c>
      <c r="G122" s="2879"/>
      <c r="H122" s="2879" t="s">
        <v>1908</v>
      </c>
      <c r="I122" s="2979"/>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78"/>
      <c r="B123" s="2909"/>
      <c r="C123" s="2909"/>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851.59</v>
      </c>
      <c r="C124" s="400"/>
      <c r="D124" s="1886">
        <f ca="1">C35</f>
        <v>2877</v>
      </c>
      <c r="E124" s="1886">
        <f ca="1">ROUND(IF(H19="元",D124/B124,D124*10000/B124),0)</f>
        <v>33784</v>
      </c>
      <c r="F124" s="1886">
        <f ca="1">C36</f>
        <v>548</v>
      </c>
      <c r="G124" s="1886">
        <f ca="1">ROUND(IF(H19="元",F124/B124,F124*10000/B124),0)</f>
        <v>6435</v>
      </c>
      <c r="H124" s="1886">
        <f ca="1">C33</f>
        <v>3424</v>
      </c>
      <c r="I124" s="637">
        <f ca="1">C34</f>
        <v>40207</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78" t="s">
        <v>1912</v>
      </c>
      <c r="B125" s="2879"/>
      <c r="C125" s="2879"/>
      <c r="D125" s="2912" t="str">
        <f ca="1">IF(H19="元",NUMBERSTRING(INT(D124),2)&amp;"元整",NUMBERSTRING(INT(D124*10000),2)&amp;"元整")</f>
        <v>贰仟捌佰柒拾柒万元整</v>
      </c>
      <c r="E125" s="2959"/>
      <c r="F125" s="2912" t="str">
        <f ca="1">IF(H19="元",NUMBERSTRING(INT(F124),2)&amp;"元整",NUMBERSTRING(INT(F124*10000),2)&amp;"元整")</f>
        <v>伍佰肆拾捌万元整</v>
      </c>
      <c r="G125" s="2959"/>
      <c r="H125" s="2912" t="str">
        <f ca="1">IF(H19="元",NUMBERSTRING(INT(H124),2)&amp;"元整",NUMBERSTRING(INT(H124*10000),2)&amp;"元整")</f>
        <v>叁仟肆佰贰拾肆万元整</v>
      </c>
      <c r="I125" s="2913"/>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60" t="str">
        <f>IF(项目基本情况!D5="房地产市场价值","——",MID(A111,3,LEN(A111)-2))</f>
        <v>估价师所知悉的法定优先受偿款</v>
      </c>
      <c r="B126" s="2890"/>
      <c r="C126" s="2961"/>
      <c r="D126" s="2889">
        <f>I106</f>
        <v>0</v>
      </c>
      <c r="E126" s="2890"/>
      <c r="F126" s="2890"/>
      <c r="G126" s="2890"/>
      <c r="H126" s="2890"/>
      <c r="I126" s="2891"/>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62" t="s">
        <v>1912</v>
      </c>
      <c r="B127" s="2963"/>
      <c r="C127" s="2964"/>
      <c r="D127" s="2892">
        <f>H110</f>
        <v>0</v>
      </c>
      <c r="E127" s="2893"/>
      <c r="F127" s="2893"/>
      <c r="G127" s="2893"/>
      <c r="H127" s="2893"/>
      <c r="I127" s="2894"/>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95" t="str">
        <f>IF(项目基本情况!D5="房地产市场价值","——",MID(A115,3,LEN(A115)-2))</f>
        <v>房地产抵押价值</v>
      </c>
      <c r="B128" s="2896"/>
      <c r="C128" s="2896"/>
      <c r="D128" s="2889">
        <f ca="1">I111</f>
        <v>3424</v>
      </c>
      <c r="E128" s="2890"/>
      <c r="F128" s="2890"/>
      <c r="G128" s="2890"/>
      <c r="H128" s="2890"/>
      <c r="I128" s="2891"/>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78" t="s">
        <v>1912</v>
      </c>
      <c r="B129" s="2879"/>
      <c r="C129" s="2879"/>
      <c r="D129" s="2892">
        <f ca="1">I112</f>
        <v>40207</v>
      </c>
      <c r="E129" s="2893"/>
      <c r="F129" s="2893"/>
      <c r="G129" s="2893"/>
      <c r="H129" s="2893"/>
      <c r="I129" s="2894"/>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95" t="str">
        <f>IF(项目基本情况!D5="房地产市场价值","——",MID(A117,3,LEN(A117)-2))</f>
        <v/>
      </c>
      <c r="B130" s="2896"/>
      <c r="C130" s="2896"/>
      <c r="D130" s="2994" t="str">
        <f>I113</f>
        <v>——</v>
      </c>
      <c r="E130" s="2995"/>
      <c r="F130" s="2995"/>
      <c r="G130" s="2995"/>
      <c r="H130" s="2995"/>
      <c r="I130" s="2996"/>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78" t="s">
        <v>1912</v>
      </c>
      <c r="B131" s="2879"/>
      <c r="C131" s="2880"/>
      <c r="D131" s="2952" t="str">
        <f>I114</f>
        <v>——</v>
      </c>
      <c r="E131" s="2952"/>
      <c r="F131" s="2952"/>
      <c r="G131" s="2952"/>
      <c r="H131" s="2952"/>
      <c r="I131" s="2952"/>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95" t="str">
        <f>IF(项目基本情况!D5="房地产市场价值","——",MID(F115,3,LEN(F115)-2))</f>
        <v/>
      </c>
      <c r="B132" s="2896"/>
      <c r="C132" s="2889"/>
      <c r="D132" s="2901" t="str">
        <f>I115</f>
        <v>——</v>
      </c>
      <c r="E132" s="2901"/>
      <c r="F132" s="2901"/>
      <c r="G132" s="2901"/>
      <c r="H132" s="2901"/>
      <c r="I132" s="2901"/>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06" t="s">
        <v>1912</v>
      </c>
      <c r="B133" s="2907"/>
      <c r="C133" s="2907"/>
      <c r="D133" s="2914">
        <f>H117</f>
        <v>0</v>
      </c>
      <c r="E133" s="2915"/>
      <c r="F133" s="2915"/>
      <c r="G133" s="2915"/>
      <c r="H133" s="2915"/>
      <c r="I133" s="2916"/>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532</v>
      </c>
      <c r="C2" s="163" t="str">
        <f>'数据-取费表'!B3</f>
        <v>万元</v>
      </c>
      <c r="D2" s="2331" t="s">
        <v>1255</v>
      </c>
      <c r="E2" s="1545" t="e">
        <f ca="1">SUMIF(INDIRECT("'"&amp;G2&amp;"'"&amp;"!A:A"),"承租人权益价值",INDIRECT("'"&amp;G2&amp;"'"&amp;"!c:c"))</f>
        <v>#REF!</v>
      </c>
      <c r="F2" s="2332" t="str">
        <f>C2</f>
        <v>万元</v>
      </c>
      <c r="G2" s="1905"/>
    </row>
    <row r="3" spans="1:7" s="164" customFormat="1" ht="18" customHeight="1" thickBot="1">
      <c r="A3" s="167" t="s">
        <v>1962</v>
      </c>
      <c r="B3" s="168">
        <f ca="1">ROUND(C52/IF(B1="仅计算典型户型",'数据-取费表'!E5,'数据-取费表'!B5),0)</f>
        <v>6242</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170318</v>
      </c>
      <c r="D10" s="1537">
        <f>IF('数据-取费表'!B10&lt;&gt;"住宅",IF(B1="仅计算典型户型",'数据-取费表'!E5,'数据-取费表'!B5),0)</f>
        <v>851.59</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170318</v>
      </c>
      <c r="D19" s="1540">
        <f>IF(B1="仅计算典型户型",'数据-取费表'!E5,'数据-取费表'!B5)</f>
        <v>851.59</v>
      </c>
      <c r="E19" s="195">
        <f>'数据-取费表'!E15</f>
        <v>200</v>
      </c>
      <c r="F19" s="196"/>
      <c r="G19" s="2333"/>
    </row>
    <row r="20" spans="1:7" s="175" customFormat="1" ht="13.5" customHeight="1">
      <c r="A20" s="204" t="s">
        <v>1989</v>
      </c>
      <c r="B20" s="173" t="s">
        <v>1990</v>
      </c>
      <c r="C20" s="183">
        <f>ROUND((C5+C19)*F20,0)</f>
        <v>36025</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118498</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16564</v>
      </c>
      <c r="D24" s="188"/>
      <c r="E24" s="188"/>
      <c r="F24" s="189"/>
      <c r="G24" s="190" t="s">
        <v>2002</v>
      </c>
    </row>
    <row r="25" spans="1:7" s="175" customFormat="1" ht="24">
      <c r="A25" s="176" t="s">
        <v>1974</v>
      </c>
      <c r="B25" s="177" t="s">
        <v>2003</v>
      </c>
      <c r="C25" s="1454">
        <f ca="1">ROUND(IF('数据-取费表'!B23&lt;=1,C20*F22*'数据-取费表'!B24/2,C20*(POWER((1+F22),'数据-取费表'!B24/2)-1)),0)</f>
        <v>1711</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185526</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185526</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1691773</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3344619</v>
      </c>
      <c r="D33" s="183"/>
      <c r="E33" s="1531"/>
      <c r="F33" s="191"/>
      <c r="G33" s="184"/>
    </row>
    <row r="34" spans="1:7" s="206" customFormat="1" ht="13.5" customHeight="1">
      <c r="A34" s="176" t="s">
        <v>1998</v>
      </c>
      <c r="B34" s="177" t="s">
        <v>2020</v>
      </c>
      <c r="C34" s="199">
        <f>IF(B1="仅计算典型户型",'数据-取费表'!F18,'数据-取费表'!E18)</f>
        <v>2980565</v>
      </c>
      <c r="D34" s="1532"/>
      <c r="E34" s="199"/>
      <c r="F34" s="1543" t="str">
        <f>IF('数据-取费表'!B25=0,"",'数据-取费表'!E20)</f>
        <v/>
      </c>
      <c r="G34" s="179"/>
    </row>
    <row r="35" spans="1:7" ht="13.5" customHeight="1">
      <c r="A35" s="176" t="s">
        <v>1972</v>
      </c>
      <c r="B35" s="177" t="s">
        <v>2021</v>
      </c>
      <c r="C35" s="199">
        <f>ROUND(C34*F35,0)</f>
        <v>149028</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170318</v>
      </c>
      <c r="D37" s="1532">
        <f>IF(B1="仅计算典型户型",'数据-取费表'!E5,'数据-取费表'!B5)</f>
        <v>851.59</v>
      </c>
      <c r="E37" s="199">
        <f>'数据-取费表'!E23</f>
        <v>200</v>
      </c>
      <c r="F37" s="1544"/>
      <c r="G37" s="208" t="s">
        <v>2026</v>
      </c>
    </row>
    <row r="38" spans="1:7" ht="13.5" customHeight="1">
      <c r="A38" s="176" t="s">
        <v>2027</v>
      </c>
      <c r="B38" s="177" t="s">
        <v>2028</v>
      </c>
      <c r="C38" s="199">
        <f>ROUND(C34*F38,0)</f>
        <v>44708</v>
      </c>
      <c r="D38" s="199"/>
      <c r="E38" s="199"/>
      <c r="F38" s="1544">
        <f>'数据-取费表'!E24</f>
        <v>1.4999999999999999E-2</v>
      </c>
      <c r="G38" s="179" t="s">
        <v>2022</v>
      </c>
    </row>
    <row r="39" spans="1:7" s="175" customFormat="1" ht="13.5" customHeight="1">
      <c r="A39" s="204" t="s">
        <v>1987</v>
      </c>
      <c r="B39" s="173" t="s">
        <v>1990</v>
      </c>
      <c r="C39" s="183">
        <f>ROUND(C33*F20,0)</f>
        <v>100339</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163635</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158869</v>
      </c>
      <c r="D42" s="188"/>
      <c r="E42" s="188"/>
      <c r="F42" s="189"/>
      <c r="G42" s="3015" t="s">
        <v>2032</v>
      </c>
    </row>
    <row r="43" spans="1:7" ht="13.5" customHeight="1">
      <c r="A43" s="176" t="s">
        <v>1972</v>
      </c>
      <c r="B43" s="177" t="s">
        <v>2001</v>
      </c>
      <c r="C43" s="188">
        <f ca="1">ROUND(IF('数据-取费表'!B23&lt;=1,C39*F22*'数据-取费表'!B22/2,C39*(POWER((1+F22),'数据-取费表'!B22/2)-1)),0)</f>
        <v>4766</v>
      </c>
      <c r="D43" s="188"/>
      <c r="E43" s="188"/>
      <c r="F43" s="189"/>
      <c r="G43" s="3016"/>
    </row>
    <row r="44" spans="1:7" ht="13.5" customHeight="1">
      <c r="A44" s="176" t="s">
        <v>1974</v>
      </c>
      <c r="B44" s="177" t="s">
        <v>2003</v>
      </c>
      <c r="C44" s="188">
        <f ca="1">ROUND(IF('数据-取费表'!B23&lt;=1,C40*F22*'数据-取费表'!B22/2,C40*(POWER((1+F22),'数据-取费表'!B22/2)-1)),4)</f>
        <v>1.4E-3</v>
      </c>
      <c r="D44" s="188"/>
      <c r="E44" s="188"/>
      <c r="F44" s="189"/>
      <c r="G44" s="3017"/>
    </row>
    <row r="45" spans="1:7" s="175" customFormat="1" ht="13.5" customHeight="1">
      <c r="A45" s="204" t="s">
        <v>1996</v>
      </c>
      <c r="B45" s="194" t="s">
        <v>2008</v>
      </c>
      <c r="C45" s="195">
        <f>C46</f>
        <v>516744</v>
      </c>
      <c r="D45" s="185">
        <f>C47</f>
        <v>4.4999999999999997E-3</v>
      </c>
      <c r="E45" s="186" t="s">
        <v>2030</v>
      </c>
      <c r="F45" s="196"/>
      <c r="G45" s="197" t="s">
        <v>2033</v>
      </c>
    </row>
    <row r="46" spans="1:7" s="175" customFormat="1" ht="13.5" customHeight="1">
      <c r="A46" s="176" t="s">
        <v>1998</v>
      </c>
      <c r="B46" s="198" t="s">
        <v>2034</v>
      </c>
      <c r="C46" s="199">
        <f>ROUND((C33+C39)*F27,0)</f>
        <v>516744</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4529356</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3623485</v>
      </c>
      <c r="D51" s="183"/>
      <c r="E51" s="183"/>
      <c r="F51" s="210"/>
      <c r="G51" s="184" t="s">
        <v>2046</v>
      </c>
    </row>
    <row r="52" spans="1:7" s="172" customFormat="1" ht="16.5" thickBot="1">
      <c r="A52" s="211" t="s">
        <v>2047</v>
      </c>
      <c r="B52" s="212"/>
      <c r="C52" s="213">
        <f ca="1">C31+C51</f>
        <v>5315258</v>
      </c>
      <c r="D52" s="212"/>
      <c r="E52" s="212"/>
      <c r="F52" s="212"/>
      <c r="G52" s="214"/>
    </row>
    <row r="55" spans="1:7" ht="15">
      <c r="B55" s="216" t="s">
        <v>2048</v>
      </c>
      <c r="C55" s="217"/>
    </row>
    <row r="56" spans="1:7">
      <c r="B56" s="219" t="s">
        <v>2049</v>
      </c>
      <c r="C56" s="220">
        <f ca="1">ROUND(C51/C52,3)</f>
        <v>0.68200000000000005</v>
      </c>
    </row>
    <row r="57" spans="1:7">
      <c r="B57" s="219" t="s">
        <v>2050</v>
      </c>
      <c r="C57" s="221">
        <f ca="1">1-C56</f>
        <v>0.31799999999999995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255</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3752700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375270</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18764</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4289</v>
      </c>
      <c r="D14" s="248">
        <f>IF(C1="仅计算典型户型",'数据-取费表'!E5,'数据-取费表'!B5)</f>
        <v>107.22</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5629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403952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21444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425396</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12762</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22516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69101</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69101</v>
      </c>
      <c r="D30" s="277"/>
      <c r="E30" s="290"/>
      <c r="F30" s="287"/>
      <c r="G30" s="231"/>
      <c r="H30" s="254"/>
      <c r="I30" s="254"/>
      <c r="J30" s="254"/>
      <c r="K30" s="255"/>
    </row>
    <row r="31" spans="1:33" s="266" customFormat="1" ht="13.5" customHeight="1" thickBot="1">
      <c r="A31" s="1970"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2554319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6" sqref="M6"/>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2875</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425</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39652</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048" t="s">
        <v>2300</v>
      </c>
      <c r="Q4" s="3037"/>
      <c r="R4" s="3030" t="s">
        <v>2296</v>
      </c>
      <c r="S4" s="3031"/>
      <c r="T4" s="3030" t="s">
        <v>2297</v>
      </c>
      <c r="U4" s="3031"/>
      <c r="V4" s="3052" t="s">
        <v>2298</v>
      </c>
      <c r="W4" s="3052"/>
      <c r="X4" s="1899"/>
      <c r="Y4" s="3030" t="s">
        <v>2300</v>
      </c>
      <c r="Z4" s="3031"/>
      <c r="AA4" s="3041" t="s">
        <v>2296</v>
      </c>
      <c r="AB4" s="3041" t="s">
        <v>2297</v>
      </c>
      <c r="AC4" s="3041" t="s">
        <v>2298</v>
      </c>
    </row>
    <row r="5" spans="1:29" ht="15">
      <c r="A5" s="383"/>
      <c r="B5" s="384"/>
      <c r="C5" s="3055" t="s">
        <v>2877</v>
      </c>
      <c r="D5" s="3056"/>
      <c r="E5" s="3053" t="s">
        <v>2922</v>
      </c>
      <c r="F5" s="3054"/>
      <c r="G5" s="3053" t="s">
        <v>2922</v>
      </c>
      <c r="H5" s="3054"/>
      <c r="I5" s="3053" t="s">
        <v>2922</v>
      </c>
      <c r="J5" s="3054"/>
      <c r="K5" s="594"/>
      <c r="L5" s="1242"/>
      <c r="M5" s="1243"/>
      <c r="N5" s="1243"/>
      <c r="O5" s="1243"/>
      <c r="P5" s="3049"/>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050"/>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36" t="s">
        <v>2308</v>
      </c>
      <c r="Q7" s="3036"/>
      <c r="R7" s="748" t="s">
        <v>25</v>
      </c>
      <c r="S7" s="749">
        <f t="shared" ref="S7:S15" si="0">F7</f>
        <v>100</v>
      </c>
      <c r="T7" s="748" t="s">
        <v>25</v>
      </c>
      <c r="U7" s="749">
        <f t="shared" ref="U7:U15" si="1">H7</f>
        <v>100</v>
      </c>
      <c r="V7" s="748" t="s">
        <v>25</v>
      </c>
      <c r="W7" s="749">
        <f t="shared" ref="W7:W15" si="2">J7</f>
        <v>100</v>
      </c>
      <c r="X7" s="750"/>
      <c r="Y7" s="3028" t="s">
        <v>2308</v>
      </c>
      <c r="Z7" s="3029"/>
      <c r="AA7" s="751">
        <f>D7/F7</f>
        <v>1</v>
      </c>
      <c r="AB7" s="751">
        <f>D7/H7</f>
        <v>1</v>
      </c>
      <c r="AC7" s="751">
        <f>D7/J7</f>
        <v>1</v>
      </c>
    </row>
    <row r="8" spans="1:29" s="35" customFormat="1" ht="15.75" thickBot="1">
      <c r="A8" s="387" t="s">
        <v>2309</v>
      </c>
      <c r="B8" s="388"/>
      <c r="C8" s="394" t="s">
        <v>2310</v>
      </c>
      <c r="D8" s="390">
        <v>100</v>
      </c>
      <c r="E8" s="394" t="s">
        <v>2881</v>
      </c>
      <c r="F8" s="392">
        <f>SUMIF(62:62,E8,63:63)-SUMIF(62:62,C8,63:63)+100</f>
        <v>100</v>
      </c>
      <c r="G8" s="394" t="s">
        <v>2881</v>
      </c>
      <c r="H8" s="390">
        <f>SUMIF(62:62,G8,63:63)-SUMIF(62:62,C8,63:63)+100</f>
        <v>100</v>
      </c>
      <c r="I8" s="394" t="s">
        <v>2881</v>
      </c>
      <c r="J8" s="390">
        <f>SUMIF(62:62,I8,63:63)-SUMIF(62:62,C8,63:63)+100</f>
        <v>100</v>
      </c>
      <c r="K8" s="595"/>
      <c r="L8" s="1244"/>
      <c r="M8" s="1245"/>
      <c r="N8" s="1245"/>
      <c r="O8" s="1245"/>
      <c r="P8" s="3036" t="s">
        <v>2311</v>
      </c>
      <c r="Q8" s="3029"/>
      <c r="R8" s="748" t="s">
        <v>25</v>
      </c>
      <c r="S8" s="749">
        <f t="shared" si="0"/>
        <v>100</v>
      </c>
      <c r="T8" s="748" t="s">
        <v>25</v>
      </c>
      <c r="U8" s="749">
        <f t="shared" si="1"/>
        <v>100</v>
      </c>
      <c r="V8" s="748" t="s">
        <v>25</v>
      </c>
      <c r="W8" s="749">
        <f t="shared" si="2"/>
        <v>100</v>
      </c>
      <c r="X8" s="750"/>
      <c r="Y8" s="3028" t="s">
        <v>2311</v>
      </c>
      <c r="Z8" s="3029"/>
      <c r="AA8" s="751">
        <f t="shared" ref="AA8:AA47" si="3">D8/F8</f>
        <v>1</v>
      </c>
      <c r="AB8" s="751">
        <f t="shared" ref="AB8:AB47" si="4">D8/H8</f>
        <v>1</v>
      </c>
      <c r="AC8" s="751">
        <f t="shared" ref="AC8:AC47" si="5">D8/J8</f>
        <v>1</v>
      </c>
    </row>
    <row r="9" spans="1:29" s="35" customFormat="1">
      <c r="A9" s="395" t="s">
        <v>2312</v>
      </c>
      <c r="B9" s="28" t="s">
        <v>2313</v>
      </c>
      <c r="C9" s="2769" t="s">
        <v>2878</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8"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t="s">
        <v>2880</v>
      </c>
      <c r="D10" s="52">
        <v>100</v>
      </c>
      <c r="E10" s="403" t="s">
        <v>2880</v>
      </c>
      <c r="F10" s="52">
        <f>SUMIF(66:66,E10,67:67)-SUMIF(66:66,C10,67:67)+100</f>
        <v>100</v>
      </c>
      <c r="G10" s="404" t="s">
        <v>2880</v>
      </c>
      <c r="H10" s="52">
        <f>SUMIF(66:66,G10,67:67)-SUMIF(66:66,C10,67:67)+100</f>
        <v>100</v>
      </c>
      <c r="I10" s="403" t="s">
        <v>2880</v>
      </c>
      <c r="J10" s="52">
        <f>SUMIF(66:66,I10,67:67)-SUMIF(66:66,C10,67:67)+100</f>
        <v>100</v>
      </c>
      <c r="K10" s="596">
        <v>1</v>
      </c>
      <c r="L10" s="1247"/>
      <c r="M10" s="1248"/>
      <c r="N10" s="1248"/>
      <c r="O10" s="1248"/>
      <c r="P10" s="3018"/>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8"/>
      <c r="Q11" s="1886" t="str">
        <f t="shared" si="6"/>
        <v>容积率</v>
      </c>
      <c r="R11" s="748" t="s">
        <v>25</v>
      </c>
      <c r="S11" s="749">
        <f t="shared" si="0"/>
        <v>100</v>
      </c>
      <c r="T11" s="748" t="s">
        <v>25</v>
      </c>
      <c r="U11" s="749">
        <f t="shared" si="1"/>
        <v>100</v>
      </c>
      <c r="V11" s="748" t="s">
        <v>25</v>
      </c>
      <c r="W11" s="749">
        <f t="shared" si="2"/>
        <v>100</v>
      </c>
      <c r="X11" s="750"/>
      <c r="Y11" s="2879"/>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1886">
        <f t="shared" si="6"/>
        <v>0</v>
      </c>
      <c r="R12" s="748" t="s">
        <v>25</v>
      </c>
      <c r="S12" s="749">
        <f t="shared" si="0"/>
        <v>100</v>
      </c>
      <c r="T12" s="748" t="s">
        <v>25</v>
      </c>
      <c r="U12" s="749">
        <f t="shared" si="1"/>
        <v>100</v>
      </c>
      <c r="V12" s="748" t="s">
        <v>25</v>
      </c>
      <c r="W12" s="749">
        <f t="shared" si="2"/>
        <v>100</v>
      </c>
      <c r="X12" s="750"/>
      <c r="Y12" s="2879"/>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1886">
        <f t="shared" si="6"/>
        <v>0</v>
      </c>
      <c r="R13" s="748" t="s">
        <v>25</v>
      </c>
      <c r="S13" s="749">
        <f t="shared" si="0"/>
        <v>100</v>
      </c>
      <c r="T13" s="748" t="s">
        <v>25</v>
      </c>
      <c r="U13" s="749">
        <f t="shared" si="1"/>
        <v>100</v>
      </c>
      <c r="V13" s="748" t="s">
        <v>25</v>
      </c>
      <c r="W13" s="749">
        <f t="shared" si="2"/>
        <v>100</v>
      </c>
      <c r="X13" s="750"/>
      <c r="Y13" s="2879"/>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1886">
        <f t="shared" si="6"/>
        <v>0</v>
      </c>
      <c r="R14" s="748" t="s">
        <v>25</v>
      </c>
      <c r="S14" s="749">
        <f t="shared" si="0"/>
        <v>100</v>
      </c>
      <c r="T14" s="748" t="s">
        <v>25</v>
      </c>
      <c r="U14" s="749">
        <f t="shared" si="1"/>
        <v>100</v>
      </c>
      <c r="V14" s="748" t="s">
        <v>25</v>
      </c>
      <c r="W14" s="749">
        <f t="shared" si="2"/>
        <v>100</v>
      </c>
      <c r="X14" s="750"/>
      <c r="Y14" s="2879"/>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7" t="s">
        <v>2319</v>
      </c>
      <c r="Q15" s="1898" t="str">
        <f t="shared" si="6"/>
        <v>办公集聚程度</v>
      </c>
      <c r="R15" s="752" t="s">
        <v>25</v>
      </c>
      <c r="S15" s="753">
        <f t="shared" si="0"/>
        <v>100</v>
      </c>
      <c r="T15" s="752" t="s">
        <v>25</v>
      </c>
      <c r="U15" s="753">
        <f t="shared" si="1"/>
        <v>100</v>
      </c>
      <c r="V15" s="752" t="s">
        <v>25</v>
      </c>
      <c r="W15" s="753">
        <f t="shared" si="2"/>
        <v>100</v>
      </c>
      <c r="X15" s="1899"/>
      <c r="Y15" s="3039"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8"/>
      <c r="Q16" s="1898"/>
      <c r="R16" s="752"/>
      <c r="S16" s="753"/>
      <c r="T16" s="752"/>
      <c r="U16" s="753"/>
      <c r="V16" s="752"/>
      <c r="W16" s="753"/>
      <c r="X16" s="1899"/>
      <c r="Y16" s="3040"/>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8"/>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8"/>
      <c r="Q18" s="1898"/>
      <c r="R18" s="752"/>
      <c r="S18" s="753"/>
      <c r="T18" s="752"/>
      <c r="U18" s="753"/>
      <c r="V18" s="752"/>
      <c r="W18" s="753"/>
      <c r="X18" s="1899"/>
      <c r="Y18" s="3040"/>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8"/>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8"/>
      <c r="Q20" s="1898"/>
      <c r="R20" s="752"/>
      <c r="S20" s="753"/>
      <c r="T20" s="752"/>
      <c r="U20" s="753"/>
      <c r="V20" s="752"/>
      <c r="W20" s="753"/>
      <c r="X20" s="1899"/>
      <c r="Y20" s="3040"/>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8"/>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2882</v>
      </c>
      <c r="D22" s="427"/>
      <c r="E22" s="426" t="s">
        <v>2882</v>
      </c>
      <c r="F22" s="427"/>
      <c r="G22" s="1471" t="s">
        <v>2882</v>
      </c>
      <c r="H22" s="427"/>
      <c r="I22" s="1471" t="s">
        <v>2882</v>
      </c>
      <c r="J22" s="427"/>
      <c r="K22" s="1468"/>
      <c r="L22" s="1252"/>
      <c r="M22" s="1243"/>
      <c r="N22" s="1243"/>
      <c r="O22" s="1243"/>
      <c r="P22" s="3038"/>
      <c r="Q22" s="1898"/>
      <c r="R22" s="752"/>
      <c r="S22" s="753"/>
      <c r="T22" s="752"/>
      <c r="U22" s="753"/>
      <c r="V22" s="752"/>
      <c r="W22" s="753"/>
      <c r="X22" s="1899"/>
      <c r="Y22" s="3040"/>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8"/>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8"/>
      <c r="Q24" s="1898"/>
      <c r="R24" s="752"/>
      <c r="S24" s="753"/>
      <c r="T24" s="752"/>
      <c r="U24" s="753"/>
      <c r="V24" s="752"/>
      <c r="W24" s="753"/>
      <c r="X24" s="1899"/>
      <c r="Y24" s="3040"/>
      <c r="Z24" s="1901"/>
      <c r="AA24" s="1902">
        <v>1</v>
      </c>
      <c r="AB24" s="1902">
        <v>1</v>
      </c>
      <c r="AC24" s="1902">
        <v>1</v>
      </c>
    </row>
    <row r="25" spans="1:29" ht="28.5">
      <c r="A25" s="383"/>
      <c r="B25" s="615" t="s">
        <v>2437</v>
      </c>
      <c r="C25" s="2469" t="s">
        <v>2883</v>
      </c>
      <c r="D25" s="415">
        <v>100</v>
      </c>
      <c r="E25" s="414" t="s">
        <v>2920</v>
      </c>
      <c r="F25" s="415">
        <f>SUMIF(87:87,E26,88:88)-SUMIF(87:87,C26,88:88)+100</f>
        <v>100</v>
      </c>
      <c r="G25" s="2469" t="s">
        <v>2920</v>
      </c>
      <c r="H25" s="415">
        <f>SUMIF(87:87,G26,88:88)-SUMIF(87:87,C26,88:88)+100</f>
        <v>100</v>
      </c>
      <c r="I25" s="414" t="s">
        <v>2920</v>
      </c>
      <c r="J25" s="415">
        <f>SUMIF(87:87,I26,88:88)-SUMIF(87:87,C26,88:88)+100</f>
        <v>100</v>
      </c>
      <c r="K25" s="598">
        <v>1</v>
      </c>
      <c r="L25" s="1252"/>
      <c r="M25" s="1243"/>
      <c r="N25" s="1243"/>
      <c r="O25" s="1243"/>
      <c r="P25" s="3038"/>
      <c r="Q25" s="1898" t="str">
        <f>B25</f>
        <v>毗邻道路的类型与等级</v>
      </c>
      <c r="R25" s="752" t="s">
        <v>25</v>
      </c>
      <c r="S25" s="753">
        <f>F25</f>
        <v>100</v>
      </c>
      <c r="T25" s="752" t="s">
        <v>25</v>
      </c>
      <c r="U25" s="753">
        <f>H25</f>
        <v>100</v>
      </c>
      <c r="V25" s="752" t="s">
        <v>25</v>
      </c>
      <c r="W25" s="753">
        <f>J25</f>
        <v>100</v>
      </c>
      <c r="X25" s="1899"/>
      <c r="Y25" s="3040"/>
      <c r="Z25" s="1901" t="str">
        <f>Q25</f>
        <v>毗邻道路的类型与等级</v>
      </c>
      <c r="AA25" s="1902">
        <f t="shared" si="3"/>
        <v>1</v>
      </c>
      <c r="AB25" s="1902">
        <f t="shared" si="4"/>
        <v>1</v>
      </c>
      <c r="AC25" s="1902">
        <f t="shared" si="5"/>
        <v>1</v>
      </c>
    </row>
    <row r="26" spans="1:29" ht="15">
      <c r="A26" s="383"/>
      <c r="B26" s="616"/>
      <c r="C26" s="618" t="s">
        <v>2886</v>
      </c>
      <c r="D26" s="415"/>
      <c r="E26" s="600" t="s">
        <v>2886</v>
      </c>
      <c r="F26" s="415"/>
      <c r="G26" s="618" t="s">
        <v>2886</v>
      </c>
      <c r="H26" s="415"/>
      <c r="I26" s="600" t="s">
        <v>2886</v>
      </c>
      <c r="J26" s="415"/>
      <c r="K26" s="599"/>
      <c r="L26" s="1252"/>
      <c r="M26" s="1243"/>
      <c r="N26" s="1243"/>
      <c r="O26" s="1243"/>
      <c r="P26" s="3038"/>
      <c r="Q26" s="1898"/>
      <c r="R26" s="752"/>
      <c r="S26" s="753"/>
      <c r="T26" s="752"/>
      <c r="U26" s="753"/>
      <c r="V26" s="752"/>
      <c r="W26" s="753"/>
      <c r="X26" s="1899"/>
      <c r="Y26" s="3040"/>
      <c r="Z26" s="1901"/>
      <c r="AA26" s="1902">
        <v>1</v>
      </c>
      <c r="AB26" s="1902">
        <v>1</v>
      </c>
      <c r="AC26" s="1902">
        <v>1</v>
      </c>
    </row>
    <row r="27" spans="1:29" ht="15">
      <c r="A27" s="408"/>
      <c r="B27" s="616" t="s">
        <v>2410</v>
      </c>
      <c r="C27" s="618" t="s">
        <v>2892</v>
      </c>
      <c r="D27" s="415">
        <v>100</v>
      </c>
      <c r="E27" s="600" t="s">
        <v>2892</v>
      </c>
      <c r="F27" s="415">
        <f>SUMIF(89:89,E27,90:90)-SUMIF(89:89,C27,90:90)+100</f>
        <v>100</v>
      </c>
      <c r="G27" s="618" t="s">
        <v>2890</v>
      </c>
      <c r="H27" s="415">
        <f>SUMIF(89:89,G27,90:90)-SUMIF(89:89,C27,90:90)+100</f>
        <v>102</v>
      </c>
      <c r="I27" s="600" t="s">
        <v>2890</v>
      </c>
      <c r="J27" s="415">
        <f>SUMIF(89:89,I27,90:90)-SUMIF(89:89,C27,90:90)+100</f>
        <v>102</v>
      </c>
      <c r="K27" s="596">
        <v>2</v>
      </c>
      <c r="L27" s="1252"/>
      <c r="M27" s="1243"/>
      <c r="N27" s="1243"/>
      <c r="O27" s="1243"/>
      <c r="P27" s="3038"/>
      <c r="Q27" s="1898" t="str">
        <f t="shared" ref="Q27:Q47" si="11">B27</f>
        <v>楼层</v>
      </c>
      <c r="R27" s="752" t="s">
        <v>25</v>
      </c>
      <c r="S27" s="753">
        <f>F27</f>
        <v>100</v>
      </c>
      <c r="T27" s="752" t="s">
        <v>25</v>
      </c>
      <c r="U27" s="753">
        <f>H27</f>
        <v>102</v>
      </c>
      <c r="V27" s="752" t="s">
        <v>25</v>
      </c>
      <c r="W27" s="753">
        <f>J27</f>
        <v>102</v>
      </c>
      <c r="X27" s="1899"/>
      <c r="Y27" s="3040"/>
      <c r="Z27" s="1901" t="str">
        <f>Q27</f>
        <v>楼层</v>
      </c>
      <c r="AA27" s="1902">
        <f t="shared" si="3"/>
        <v>1</v>
      </c>
      <c r="AB27" s="1902">
        <f t="shared" si="4"/>
        <v>0.98039215686274506</v>
      </c>
      <c r="AC27" s="1902">
        <f t="shared" si="5"/>
        <v>0.98039215686274506</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8"/>
      <c r="Q28" s="1886" t="str">
        <f t="shared" si="11"/>
        <v>朝向</v>
      </c>
      <c r="R28" s="748" t="s">
        <v>25</v>
      </c>
      <c r="S28" s="749">
        <f>F28</f>
        <v>100</v>
      </c>
      <c r="T28" s="748" t="s">
        <v>25</v>
      </c>
      <c r="U28" s="749">
        <f>H28</f>
        <v>100</v>
      </c>
      <c r="V28" s="748" t="s">
        <v>25</v>
      </c>
      <c r="W28" s="749">
        <f>J28</f>
        <v>100</v>
      </c>
      <c r="X28" s="750"/>
      <c r="Y28" s="3040"/>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8"/>
      <c r="Q29" s="1898">
        <f t="shared" si="11"/>
        <v>0</v>
      </c>
      <c r="R29" s="752" t="s">
        <v>25</v>
      </c>
      <c r="S29" s="753">
        <f t="shared" ref="S29:S47" si="12">F29</f>
        <v>100</v>
      </c>
      <c r="T29" s="752" t="s">
        <v>25</v>
      </c>
      <c r="U29" s="753">
        <f t="shared" ref="U29:U47" si="13">H29</f>
        <v>100</v>
      </c>
      <c r="V29" s="752" t="s">
        <v>25</v>
      </c>
      <c r="W29" s="753">
        <f t="shared" ref="W29:W47" si="14">J29</f>
        <v>100</v>
      </c>
      <c r="X29" s="1899"/>
      <c r="Y29" s="3040"/>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8"/>
      <c r="Q30" s="1898">
        <f t="shared" si="11"/>
        <v>0</v>
      </c>
      <c r="R30" s="752" t="s">
        <v>25</v>
      </c>
      <c r="S30" s="753">
        <f t="shared" si="12"/>
        <v>100</v>
      </c>
      <c r="T30" s="752" t="s">
        <v>25</v>
      </c>
      <c r="U30" s="753">
        <f t="shared" si="13"/>
        <v>100</v>
      </c>
      <c r="V30" s="752" t="s">
        <v>25</v>
      </c>
      <c r="W30" s="753">
        <f t="shared" si="14"/>
        <v>100</v>
      </c>
      <c r="X30" s="1899"/>
      <c r="Y30" s="3040"/>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8"/>
      <c r="Q31" s="1898">
        <f t="shared" si="11"/>
        <v>0</v>
      </c>
      <c r="R31" s="752" t="s">
        <v>25</v>
      </c>
      <c r="S31" s="753">
        <f t="shared" si="12"/>
        <v>100</v>
      </c>
      <c r="T31" s="752" t="s">
        <v>25</v>
      </c>
      <c r="U31" s="753">
        <f t="shared" si="13"/>
        <v>100</v>
      </c>
      <c r="V31" s="752" t="s">
        <v>25</v>
      </c>
      <c r="W31" s="753">
        <f t="shared" si="14"/>
        <v>100</v>
      </c>
      <c r="X31" s="1899"/>
      <c r="Y31" s="3040"/>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8"/>
      <c r="Q32" s="1898">
        <f t="shared" si="11"/>
        <v>0</v>
      </c>
      <c r="R32" s="752" t="s">
        <v>25</v>
      </c>
      <c r="S32" s="753">
        <f t="shared" si="12"/>
        <v>100</v>
      </c>
      <c r="T32" s="752" t="s">
        <v>25</v>
      </c>
      <c r="U32" s="753">
        <f t="shared" si="13"/>
        <v>100</v>
      </c>
      <c r="V32" s="752" t="s">
        <v>25</v>
      </c>
      <c r="W32" s="753">
        <f t="shared" si="14"/>
        <v>100</v>
      </c>
      <c r="X32" s="1899"/>
      <c r="Y32" s="3040"/>
      <c r="Z32" s="1901">
        <f t="shared" si="15"/>
        <v>0</v>
      </c>
      <c r="AA32" s="1902">
        <f t="shared" si="3"/>
        <v>1</v>
      </c>
      <c r="AB32" s="1902">
        <f t="shared" si="4"/>
        <v>1</v>
      </c>
      <c r="AC32" s="1902">
        <f t="shared" si="5"/>
        <v>1</v>
      </c>
    </row>
    <row r="33" spans="1:29" ht="15">
      <c r="A33" s="419" t="s">
        <v>2323</v>
      </c>
      <c r="B33" s="28" t="s">
        <v>2439</v>
      </c>
      <c r="C33" s="2472" t="s">
        <v>2908</v>
      </c>
      <c r="D33" s="448">
        <v>100</v>
      </c>
      <c r="E33" s="2472" t="s">
        <v>2908</v>
      </c>
      <c r="F33" s="442">
        <f>SUMIF(101:101,E33,102:102)-SUMIF(101:101,C33,102:102)+100</f>
        <v>100</v>
      </c>
      <c r="G33" s="2472" t="s">
        <v>2908</v>
      </c>
      <c r="H33" s="415">
        <f>SUMIF(101:101,G33,102:102)-SUMIF(101:101,C33,102:102)+100</f>
        <v>100</v>
      </c>
      <c r="I33" s="2472" t="s">
        <v>2908</v>
      </c>
      <c r="J33" s="448">
        <f>SUMIF(101:101,I33,102:102)-SUMIF(101:101,C33,102:102)+100</f>
        <v>100</v>
      </c>
      <c r="K33" s="596">
        <v>1</v>
      </c>
      <c r="L33" s="1252"/>
      <c r="M33" s="1243"/>
      <c r="N33" s="1243"/>
      <c r="O33" s="1243"/>
      <c r="P33" s="3023" t="s">
        <v>2325</v>
      </c>
      <c r="Q33" s="1898" t="str">
        <f t="shared" si="11"/>
        <v>建筑类型</v>
      </c>
      <c r="R33" s="752" t="s">
        <v>25</v>
      </c>
      <c r="S33" s="753">
        <f t="shared" si="12"/>
        <v>100</v>
      </c>
      <c r="T33" s="752" t="s">
        <v>25</v>
      </c>
      <c r="U33" s="753">
        <f t="shared" si="13"/>
        <v>100</v>
      </c>
      <c r="V33" s="752" t="s">
        <v>25</v>
      </c>
      <c r="W33" s="753">
        <f t="shared" si="14"/>
        <v>100</v>
      </c>
      <c r="X33" s="1899"/>
      <c r="Y33" s="3026" t="s">
        <v>2325</v>
      </c>
      <c r="Z33" s="1901" t="str">
        <f t="shared" si="15"/>
        <v>建筑类型</v>
      </c>
      <c r="AA33" s="1902">
        <f t="shared" si="3"/>
        <v>1</v>
      </c>
      <c r="AB33" s="1902">
        <f t="shared" si="4"/>
        <v>1</v>
      </c>
      <c r="AC33" s="1902">
        <f t="shared" si="5"/>
        <v>1</v>
      </c>
    </row>
    <row r="34" spans="1:29" s="452" customFormat="1" ht="15">
      <c r="A34" s="449"/>
      <c r="B34" s="402" t="s">
        <v>2326</v>
      </c>
      <c r="C34" s="450">
        <f>'数据-取费表'!E5</f>
        <v>107.22</v>
      </c>
      <c r="D34" s="52">
        <v>100</v>
      </c>
      <c r="E34" s="410">
        <v>100</v>
      </c>
      <c r="F34" s="405">
        <f>LOOKUP(E34,104:104,105:105)-LOOKUP(C34,104:104,105:105)+100</f>
        <v>100</v>
      </c>
      <c r="G34" s="409">
        <v>89.85</v>
      </c>
      <c r="H34" s="52">
        <f>LOOKUP(G34,104:104,105:105)-LOOKUP(C34,104:104,105:105)+100</f>
        <v>101</v>
      </c>
      <c r="I34" s="409">
        <v>90</v>
      </c>
      <c r="J34" s="52">
        <f>LOOKUP(I34,104:104,105:105)-LOOKUP(C34,104:104,105:105)+100</f>
        <v>101</v>
      </c>
      <c r="K34" s="597"/>
      <c r="L34" s="1250"/>
      <c r="M34" s="1253"/>
      <c r="N34" s="1253"/>
      <c r="O34" s="1253"/>
      <c r="P34" s="3024"/>
      <c r="Q34" s="754" t="str">
        <f t="shared" si="11"/>
        <v>项目建筑规模</v>
      </c>
      <c r="R34" s="755" t="s">
        <v>25</v>
      </c>
      <c r="S34" s="756">
        <f t="shared" si="12"/>
        <v>100</v>
      </c>
      <c r="T34" s="755" t="s">
        <v>25</v>
      </c>
      <c r="U34" s="756">
        <f t="shared" si="13"/>
        <v>101</v>
      </c>
      <c r="V34" s="755" t="s">
        <v>25</v>
      </c>
      <c r="W34" s="756">
        <f t="shared" si="14"/>
        <v>101</v>
      </c>
      <c r="X34" s="757"/>
      <c r="Y34" s="3026"/>
      <c r="Z34" s="758" t="str">
        <f t="shared" si="15"/>
        <v>项目建筑规模</v>
      </c>
      <c r="AA34" s="1902">
        <f t="shared" si="3"/>
        <v>1</v>
      </c>
      <c r="AB34" s="1902">
        <f t="shared" si="4"/>
        <v>0.99009900990099009</v>
      </c>
      <c r="AC34" s="1902">
        <f t="shared" si="5"/>
        <v>0.99009900990099009</v>
      </c>
    </row>
    <row r="35" spans="1:29" ht="15">
      <c r="A35" s="453"/>
      <c r="B35" s="402" t="s">
        <v>2327</v>
      </c>
      <c r="C35" s="441" t="s">
        <v>2897</v>
      </c>
      <c r="D35" s="415">
        <v>100</v>
      </c>
      <c r="E35" s="441" t="s">
        <v>2897</v>
      </c>
      <c r="F35" s="442">
        <f>SUMIF(106:106,E35,107:107)-SUMIF(106:106,C35,107:107)+100</f>
        <v>100</v>
      </c>
      <c r="G35" s="441" t="s">
        <v>2897</v>
      </c>
      <c r="H35" s="415">
        <f>SUMIF(106:106,G35,107:107)-SUMIF(106:106,C35,107:107)+100</f>
        <v>100</v>
      </c>
      <c r="I35" s="441" t="s">
        <v>2897</v>
      </c>
      <c r="J35" s="415">
        <f>SUMIF(106:106,I35,107:107)-SUMIF(106:106,C35,107:107)+100</f>
        <v>100</v>
      </c>
      <c r="K35" s="596">
        <v>1</v>
      </c>
      <c r="L35" s="1252"/>
      <c r="M35" s="1243"/>
      <c r="N35" s="1243"/>
      <c r="O35" s="1243"/>
      <c r="P35" s="3024"/>
      <c r="Q35" s="1898" t="str">
        <f t="shared" si="11"/>
        <v>建筑结构</v>
      </c>
      <c r="R35" s="752" t="s">
        <v>25</v>
      </c>
      <c r="S35" s="753">
        <f t="shared" si="12"/>
        <v>100</v>
      </c>
      <c r="T35" s="752" t="s">
        <v>25</v>
      </c>
      <c r="U35" s="753">
        <f t="shared" si="13"/>
        <v>100</v>
      </c>
      <c r="V35" s="752" t="s">
        <v>25</v>
      </c>
      <c r="W35" s="753">
        <f t="shared" si="14"/>
        <v>100</v>
      </c>
      <c r="X35" s="1899"/>
      <c r="Y35" s="3026"/>
      <c r="Z35" s="1901" t="str">
        <f t="shared" si="15"/>
        <v>建筑结构</v>
      </c>
      <c r="AA35" s="1902">
        <f t="shared" si="3"/>
        <v>1</v>
      </c>
      <c r="AB35" s="1902">
        <f t="shared" si="4"/>
        <v>1</v>
      </c>
      <c r="AC35" s="1902">
        <f t="shared" si="5"/>
        <v>1</v>
      </c>
    </row>
    <row r="36" spans="1:29" ht="15">
      <c r="A36" s="453"/>
      <c r="B36" s="402" t="s">
        <v>2412</v>
      </c>
      <c r="C36" s="441" t="s">
        <v>2899</v>
      </c>
      <c r="D36" s="415">
        <v>100</v>
      </c>
      <c r="E36" s="441" t="s">
        <v>2899</v>
      </c>
      <c r="F36" s="442">
        <f>SUMIF(108:108,E36,109:109)-SUMIF(108:108,C36,109:109)+100</f>
        <v>100</v>
      </c>
      <c r="G36" s="441" t="s">
        <v>2899</v>
      </c>
      <c r="H36" s="415">
        <f>SUMIF(108:108,G36,109:109)-SUMIF(108:108,C36,109:109)+100</f>
        <v>100</v>
      </c>
      <c r="I36" s="441" t="s">
        <v>2899</v>
      </c>
      <c r="J36" s="415">
        <f>SUMIF(108:108,I36,109:109)-SUMIF(108:108,C36,109:109)+100</f>
        <v>100</v>
      </c>
      <c r="K36" s="596">
        <v>1</v>
      </c>
      <c r="L36" s="1252"/>
      <c r="M36" s="1243"/>
      <c r="N36" s="1243"/>
      <c r="O36" s="1243"/>
      <c r="P36" s="3024"/>
      <c r="Q36" s="1898" t="str">
        <f t="shared" si="11"/>
        <v>公共部分装修</v>
      </c>
      <c r="R36" s="752" t="s">
        <v>25</v>
      </c>
      <c r="S36" s="753">
        <f t="shared" si="12"/>
        <v>100</v>
      </c>
      <c r="T36" s="752" t="s">
        <v>25</v>
      </c>
      <c r="U36" s="753">
        <f t="shared" si="13"/>
        <v>100</v>
      </c>
      <c r="V36" s="752" t="s">
        <v>25</v>
      </c>
      <c r="W36" s="753">
        <f t="shared" si="14"/>
        <v>100</v>
      </c>
      <c r="X36" s="1899"/>
      <c r="Y36" s="3026"/>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4"/>
      <c r="Q37" s="1898" t="str">
        <f t="shared" si="11"/>
        <v>成新度</v>
      </c>
      <c r="R37" s="752" t="s">
        <v>25</v>
      </c>
      <c r="S37" s="753">
        <f t="shared" si="12"/>
        <v>100</v>
      </c>
      <c r="T37" s="752" t="s">
        <v>25</v>
      </c>
      <c r="U37" s="753">
        <f t="shared" si="13"/>
        <v>100</v>
      </c>
      <c r="V37" s="752" t="s">
        <v>25</v>
      </c>
      <c r="W37" s="753">
        <f t="shared" si="14"/>
        <v>100</v>
      </c>
      <c r="X37" s="1899"/>
      <c r="Y37" s="3026"/>
      <c r="Z37" s="1901" t="str">
        <f t="shared" si="15"/>
        <v>成新度</v>
      </c>
      <c r="AA37" s="1902">
        <f t="shared" si="3"/>
        <v>1</v>
      </c>
      <c r="AB37" s="1902">
        <f t="shared" si="4"/>
        <v>1</v>
      </c>
      <c r="AC37" s="1902">
        <f t="shared" si="5"/>
        <v>1</v>
      </c>
    </row>
    <row r="38" spans="1:29" s="35" customFormat="1" ht="15">
      <c r="A38" s="454"/>
      <c r="B38" s="402" t="s">
        <v>2440</v>
      </c>
      <c r="C38" s="441" t="s">
        <v>2904</v>
      </c>
      <c r="D38" s="52">
        <v>100</v>
      </c>
      <c r="E38" s="441" t="s">
        <v>2904</v>
      </c>
      <c r="F38" s="442">
        <f>SUMIF(113:113,E38,114:114)-SUMIF(113:113,C38,114:114)+100</f>
        <v>100</v>
      </c>
      <c r="G38" s="441" t="s">
        <v>2904</v>
      </c>
      <c r="H38" s="415">
        <f>SUMIF(113:113,G38,114:114)-SUMIF(113:113,C38,114:114)+100</f>
        <v>100</v>
      </c>
      <c r="I38" s="441" t="s">
        <v>2904</v>
      </c>
      <c r="J38" s="415">
        <f>SUMIF(113:113,I38,114:114)-SUMIF(113:113,C38,114:114)+100</f>
        <v>100</v>
      </c>
      <c r="K38" s="596">
        <v>1</v>
      </c>
      <c r="L38" s="1244"/>
      <c r="M38" s="1245"/>
      <c r="N38" s="1245"/>
      <c r="O38" s="1245"/>
      <c r="P38" s="3024"/>
      <c r="Q38" s="1886" t="str">
        <f t="shared" si="11"/>
        <v>写字楼等级</v>
      </c>
      <c r="R38" s="748" t="s">
        <v>25</v>
      </c>
      <c r="S38" s="749">
        <f t="shared" si="12"/>
        <v>100</v>
      </c>
      <c r="T38" s="748" t="s">
        <v>25</v>
      </c>
      <c r="U38" s="749">
        <f t="shared" si="13"/>
        <v>100</v>
      </c>
      <c r="V38" s="748" t="s">
        <v>25</v>
      </c>
      <c r="W38" s="749">
        <f t="shared" si="14"/>
        <v>100</v>
      </c>
      <c r="X38" s="750"/>
      <c r="Y38" s="3026"/>
      <c r="Z38" s="23" t="str">
        <f t="shared" si="15"/>
        <v>写字楼等级</v>
      </c>
      <c r="AA38" s="751">
        <f t="shared" si="3"/>
        <v>1</v>
      </c>
      <c r="AB38" s="751">
        <f t="shared" si="4"/>
        <v>1</v>
      </c>
      <c r="AC38" s="751">
        <f t="shared" si="5"/>
        <v>1</v>
      </c>
    </row>
    <row r="39" spans="1:29" ht="15">
      <c r="A39" s="453"/>
      <c r="B39" s="402" t="s">
        <v>2441</v>
      </c>
      <c r="C39" s="441" t="s">
        <v>2910</v>
      </c>
      <c r="D39" s="415">
        <v>100</v>
      </c>
      <c r="E39" s="441" t="s">
        <v>2910</v>
      </c>
      <c r="F39" s="442">
        <f>SUMIF(115:115,E39,116:116)-SUMIF(115:115,C39,116:116)+100</f>
        <v>100</v>
      </c>
      <c r="G39" s="441" t="s">
        <v>2910</v>
      </c>
      <c r="H39" s="415">
        <f>SUMIF(115:115,G39,116:116)-SUMIF(115:115,C39,116:116)+100</f>
        <v>100</v>
      </c>
      <c r="I39" s="441" t="s">
        <v>2910</v>
      </c>
      <c r="J39" s="415">
        <f>SUMIF(115:115,I39,116:116)-SUMIF(115:115,C39,116:116)+100</f>
        <v>100</v>
      </c>
      <c r="K39" s="596">
        <v>1</v>
      </c>
      <c r="L39" s="1252"/>
      <c r="M39" s="1243"/>
      <c r="N39" s="1243"/>
      <c r="O39" s="1243"/>
      <c r="P39" s="3024" t="s">
        <v>2325</v>
      </c>
      <c r="Q39" s="1898" t="str">
        <f t="shared" si="11"/>
        <v>物业管理</v>
      </c>
      <c r="R39" s="752" t="s">
        <v>25</v>
      </c>
      <c r="S39" s="753">
        <f t="shared" si="12"/>
        <v>100</v>
      </c>
      <c r="T39" s="752" t="s">
        <v>25</v>
      </c>
      <c r="U39" s="753">
        <f t="shared" si="13"/>
        <v>100</v>
      </c>
      <c r="V39" s="752" t="s">
        <v>25</v>
      </c>
      <c r="W39" s="753">
        <f t="shared" si="14"/>
        <v>100</v>
      </c>
      <c r="X39" s="1899"/>
      <c r="Y39" s="3026" t="s">
        <v>2325</v>
      </c>
      <c r="Z39" s="1901" t="str">
        <f t="shared" si="15"/>
        <v>物业管理</v>
      </c>
      <c r="AA39" s="1902">
        <f t="shared" si="3"/>
        <v>1</v>
      </c>
      <c r="AB39" s="1902">
        <f t="shared" si="4"/>
        <v>1</v>
      </c>
      <c r="AC39" s="1902">
        <f t="shared" si="5"/>
        <v>1</v>
      </c>
    </row>
    <row r="40" spans="1:29" ht="15">
      <c r="A40" s="453"/>
      <c r="B40" s="402" t="s">
        <v>2414</v>
      </c>
      <c r="C40" s="441" t="s">
        <v>2882</v>
      </c>
      <c r="D40" s="415">
        <v>100</v>
      </c>
      <c r="E40" s="441" t="s">
        <v>2882</v>
      </c>
      <c r="F40" s="442">
        <f>SUMIF(117:117,E40,118:118)-SUMIF(117:117,C40,118:118)+100</f>
        <v>100</v>
      </c>
      <c r="G40" s="441" t="s">
        <v>2882</v>
      </c>
      <c r="H40" s="415">
        <f>SUMIF(117:117,G40,118:118)-SUMIF(117:117,C40,118:118)+100</f>
        <v>100</v>
      </c>
      <c r="I40" s="441" t="s">
        <v>2882</v>
      </c>
      <c r="J40" s="415">
        <f>SUMIF(117:117,I40,118:118)-SUMIF(117:117,C40,118:118)+100</f>
        <v>100</v>
      </c>
      <c r="K40" s="596">
        <v>1</v>
      </c>
      <c r="L40" s="1252"/>
      <c r="M40" s="1243"/>
      <c r="N40" s="1243"/>
      <c r="O40" s="1243"/>
      <c r="P40" s="3024"/>
      <c r="Q40" s="1898" t="str">
        <f t="shared" si="11"/>
        <v>市政基础设施</v>
      </c>
      <c r="R40" s="752" t="s">
        <v>25</v>
      </c>
      <c r="S40" s="753">
        <f t="shared" si="12"/>
        <v>100</v>
      </c>
      <c r="T40" s="752" t="s">
        <v>25</v>
      </c>
      <c r="U40" s="753">
        <f t="shared" si="13"/>
        <v>100</v>
      </c>
      <c r="V40" s="752" t="s">
        <v>25</v>
      </c>
      <c r="W40" s="753">
        <f t="shared" si="14"/>
        <v>100</v>
      </c>
      <c r="X40" s="1899"/>
      <c r="Y40" s="3026"/>
      <c r="Z40" s="1901" t="str">
        <f t="shared" si="15"/>
        <v>市政基础设施</v>
      </c>
      <c r="AA40" s="1902">
        <f t="shared" si="3"/>
        <v>1</v>
      </c>
      <c r="AB40" s="1902">
        <f t="shared" si="4"/>
        <v>1</v>
      </c>
      <c r="AC40" s="1902">
        <f t="shared" si="5"/>
        <v>1</v>
      </c>
    </row>
    <row r="41" spans="1:29" ht="15">
      <c r="A41" s="453"/>
      <c r="B41" s="402" t="s">
        <v>2416</v>
      </c>
      <c r="C41" s="600" t="s">
        <v>2906</v>
      </c>
      <c r="D41" s="415">
        <v>100</v>
      </c>
      <c r="E41" s="600" t="s">
        <v>2906</v>
      </c>
      <c r="F41" s="442">
        <f>SUMIF(119:119,E41,120:120)-SUMIF(119:119,C41,120:120)+100</f>
        <v>100</v>
      </c>
      <c r="G41" s="600" t="s">
        <v>2906</v>
      </c>
      <c r="H41" s="415">
        <f>SUMIF(119:119,G41,120:120)-SUMIF(119:119,C41,120:120)+100</f>
        <v>100</v>
      </c>
      <c r="I41" s="600" t="s">
        <v>2906</v>
      </c>
      <c r="J41" s="415">
        <f>SUMIF(119:119,I41,120:120)-SUMIF(119:119,C41,120:120)+100</f>
        <v>100</v>
      </c>
      <c r="K41" s="596">
        <v>1</v>
      </c>
      <c r="L41" s="1252"/>
      <c r="M41" s="1243"/>
      <c r="N41" s="1243"/>
      <c r="O41" s="1243"/>
      <c r="P41" s="3024"/>
      <c r="Q41" s="1898" t="str">
        <f t="shared" si="11"/>
        <v>层高</v>
      </c>
      <c r="R41" s="752" t="s">
        <v>25</v>
      </c>
      <c r="S41" s="753">
        <f t="shared" si="12"/>
        <v>100</v>
      </c>
      <c r="T41" s="752" t="s">
        <v>25</v>
      </c>
      <c r="U41" s="753">
        <f t="shared" si="13"/>
        <v>100</v>
      </c>
      <c r="V41" s="752" t="s">
        <v>25</v>
      </c>
      <c r="W41" s="753">
        <f t="shared" si="14"/>
        <v>100</v>
      </c>
      <c r="X41" s="1899"/>
      <c r="Y41" s="3026"/>
      <c r="Z41" s="1901" t="str">
        <f t="shared" si="15"/>
        <v>层高</v>
      </c>
      <c r="AA41" s="1902">
        <f t="shared" si="3"/>
        <v>1</v>
      </c>
      <c r="AB41" s="1902">
        <f t="shared" si="4"/>
        <v>1</v>
      </c>
      <c r="AC41" s="1902">
        <f t="shared" si="5"/>
        <v>1</v>
      </c>
    </row>
    <row r="42" spans="1:29" s="452" customFormat="1" ht="15">
      <c r="A42" s="449"/>
      <c r="B42" s="1903" t="s">
        <v>2442</v>
      </c>
      <c r="C42" s="414" t="s">
        <v>2896</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4"/>
      <c r="Q42" s="754" t="str">
        <f t="shared" si="11"/>
        <v>单套建筑面积</v>
      </c>
      <c r="R42" s="755" t="s">
        <v>25</v>
      </c>
      <c r="S42" s="756">
        <f t="shared" si="12"/>
        <v>100</v>
      </c>
      <c r="T42" s="755" t="s">
        <v>25</v>
      </c>
      <c r="U42" s="756">
        <f t="shared" si="13"/>
        <v>100</v>
      </c>
      <c r="V42" s="755" t="s">
        <v>25</v>
      </c>
      <c r="W42" s="756">
        <f t="shared" si="14"/>
        <v>100</v>
      </c>
      <c r="X42" s="757"/>
      <c r="Y42" s="3026"/>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4"/>
      <c r="Q43" s="1898" t="str">
        <f t="shared" si="11"/>
        <v>内部装修</v>
      </c>
      <c r="R43" s="752" t="s">
        <v>25</v>
      </c>
      <c r="S43" s="753">
        <f t="shared" si="12"/>
        <v>100</v>
      </c>
      <c r="T43" s="752" t="s">
        <v>25</v>
      </c>
      <c r="U43" s="753">
        <f t="shared" si="13"/>
        <v>100</v>
      </c>
      <c r="V43" s="752" t="s">
        <v>25</v>
      </c>
      <c r="W43" s="753">
        <f t="shared" si="14"/>
        <v>100</v>
      </c>
      <c r="X43" s="1899"/>
      <c r="Y43" s="3026"/>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4"/>
      <c r="Q44" s="1898" t="str">
        <f t="shared" si="11"/>
        <v>内部装修维护情况</v>
      </c>
      <c r="R44" s="752" t="s">
        <v>25</v>
      </c>
      <c r="S44" s="753">
        <f t="shared" si="12"/>
        <v>100</v>
      </c>
      <c r="T44" s="752" t="s">
        <v>25</v>
      </c>
      <c r="U44" s="753">
        <f t="shared" si="13"/>
        <v>100</v>
      </c>
      <c r="V44" s="752" t="s">
        <v>25</v>
      </c>
      <c r="W44" s="753">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4"/>
      <c r="Q45" s="1886">
        <f t="shared" si="11"/>
        <v>0</v>
      </c>
      <c r="R45" s="748" t="s">
        <v>25</v>
      </c>
      <c r="S45" s="749">
        <f t="shared" si="12"/>
        <v>100</v>
      </c>
      <c r="T45" s="748" t="s">
        <v>25</v>
      </c>
      <c r="U45" s="749">
        <f t="shared" si="13"/>
        <v>100</v>
      </c>
      <c r="V45" s="748" t="s">
        <v>25</v>
      </c>
      <c r="W45" s="749">
        <f t="shared" si="14"/>
        <v>100</v>
      </c>
      <c r="X45" s="750"/>
      <c r="Y45" s="3026"/>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4"/>
      <c r="Q46" s="1898">
        <f t="shared" si="11"/>
        <v>0</v>
      </c>
      <c r="R46" s="752" t="s">
        <v>25</v>
      </c>
      <c r="S46" s="753">
        <f t="shared" si="12"/>
        <v>100</v>
      </c>
      <c r="T46" s="752" t="s">
        <v>25</v>
      </c>
      <c r="U46" s="753">
        <f t="shared" si="13"/>
        <v>100</v>
      </c>
      <c r="V46" s="752" t="s">
        <v>25</v>
      </c>
      <c r="W46" s="753">
        <f t="shared" si="14"/>
        <v>100</v>
      </c>
      <c r="X46" s="1899"/>
      <c r="Y46" s="3026"/>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5"/>
      <c r="Q47" s="1898">
        <f t="shared" si="11"/>
        <v>0</v>
      </c>
      <c r="R47" s="752" t="s">
        <v>25</v>
      </c>
      <c r="S47" s="753">
        <f t="shared" si="12"/>
        <v>100</v>
      </c>
      <c r="T47" s="752" t="s">
        <v>25</v>
      </c>
      <c r="U47" s="753">
        <f t="shared" si="13"/>
        <v>100</v>
      </c>
      <c r="V47" s="752" t="s">
        <v>25</v>
      </c>
      <c r="W47" s="753">
        <f t="shared" si="14"/>
        <v>100</v>
      </c>
      <c r="X47" s="1899"/>
      <c r="Y47" s="3027"/>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ROUND(41970*0.97,0)</f>
        <v>40711</v>
      </c>
      <c r="H48" s="1506"/>
      <c r="I48" s="1503">
        <f>ROUND(42120*0.96,0)</f>
        <v>40435</v>
      </c>
      <c r="J48" s="1506"/>
      <c r="K48" s="761"/>
      <c r="L48" s="1255"/>
      <c r="M48" s="1243"/>
      <c r="N48" s="1243"/>
      <c r="O48" s="1243"/>
      <c r="P48" s="3018" t="str">
        <f>A48</f>
        <v>成交单价（元/平方米）</v>
      </c>
      <c r="Q48" s="3019"/>
      <c r="R48" s="3020">
        <f>E48</f>
        <v>40189</v>
      </c>
      <c r="S48" s="3020"/>
      <c r="T48" s="3020">
        <f>G48</f>
        <v>40711</v>
      </c>
      <c r="U48" s="3020"/>
      <c r="V48" s="3020">
        <f>I48</f>
        <v>40435</v>
      </c>
      <c r="W48" s="3020"/>
      <c r="X48" s="737"/>
      <c r="Y48" s="759"/>
      <c r="Z48" s="737"/>
      <c r="AA48" s="737"/>
      <c r="AB48" s="737"/>
      <c r="AC48" s="737"/>
    </row>
    <row r="49" spans="1:29" ht="15.75" thickBot="1">
      <c r="A49" s="467" t="s">
        <v>2420</v>
      </c>
      <c r="B49" s="468"/>
      <c r="C49" s="1507">
        <f>R50</f>
        <v>39652</v>
      </c>
      <c r="D49" s="1508"/>
      <c r="E49" s="1509">
        <f>R49</f>
        <v>40189</v>
      </c>
      <c r="F49" s="1509"/>
      <c r="G49" s="1507">
        <f>T49</f>
        <v>39518</v>
      </c>
      <c r="H49" s="1508"/>
      <c r="I49" s="1509">
        <f>V49</f>
        <v>39250</v>
      </c>
      <c r="J49" s="1508"/>
      <c r="K49" s="762"/>
      <c r="L49" s="1255"/>
      <c r="M49" s="1243"/>
      <c r="N49" s="1243"/>
      <c r="O49" s="1243"/>
      <c r="P49" s="3018" t="str">
        <f>A49</f>
        <v>比较价值（元/平方米）</v>
      </c>
      <c r="Q49" s="3019"/>
      <c r="R49" s="3020">
        <f>IF(E1="售价",ROUND(PRODUCT(R48,AA7:AA47),0),ROUND(PRODUCT(R48,AA7:AA47),1))</f>
        <v>40189</v>
      </c>
      <c r="S49" s="3020"/>
      <c r="T49" s="3020">
        <f>IF(E1="售价",ROUND(PRODUCT(T48,AB7:AB47),0),ROUND(PRODUCT(T48,AB7:AB47),1))</f>
        <v>39518</v>
      </c>
      <c r="U49" s="3020"/>
      <c r="V49" s="3020">
        <f>IF(E1="售价",ROUND(PRODUCT(V48,AC7:AC47),0),ROUND(PRODUCT(V48,AC7:AC47),1))</f>
        <v>39250</v>
      </c>
      <c r="W49" s="3020"/>
      <c r="X49" s="737"/>
      <c r="Y49" s="737"/>
      <c r="Z49" s="737"/>
      <c r="AA49" s="737"/>
      <c r="AB49" s="737"/>
      <c r="AC49" s="737"/>
    </row>
    <row r="50" spans="1:29" ht="15.75" thickBot="1">
      <c r="A50" s="473" t="s">
        <v>2923</v>
      </c>
      <c r="B50" s="474"/>
      <c r="C50" s="1511">
        <f>R50</f>
        <v>39652</v>
      </c>
      <c r="D50" s="1511"/>
      <c r="E50" s="1511"/>
      <c r="F50" s="1511"/>
      <c r="G50" s="1511"/>
      <c r="H50" s="1511"/>
      <c r="I50" s="1511"/>
      <c r="J50" s="1511"/>
      <c r="K50" s="763"/>
      <c r="L50" s="1255"/>
      <c r="M50" s="1243"/>
      <c r="N50" s="1243"/>
      <c r="O50" s="1243"/>
      <c r="P50" s="3021" t="str">
        <f>A50</f>
        <v>估价对象办公用房的比较价值（楼面单价，元/平方米）</v>
      </c>
      <c r="Q50" s="3018"/>
      <c r="R50" s="3022">
        <f>IF(E1="售价",ROUND(AVERAGE(R49:V49),0),ROUND(AVERAGE(R49:V49),1))</f>
        <v>39652</v>
      </c>
      <c r="S50" s="3022"/>
      <c r="T50" s="3022"/>
      <c r="U50" s="3022"/>
      <c r="V50" s="3022"/>
      <c r="W50" s="3022"/>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0</v>
      </c>
      <c r="F53" s="481" t="str">
        <f>IF(OR(E53&gt;=0.3,E53&lt;=-0.3),"超过30%","")</f>
        <v/>
      </c>
      <c r="G53" s="480">
        <f>IF(G48&lt;G49,G49/G48-1,G48/G49-1)</f>
        <v>3.0188774735563584E-2</v>
      </c>
      <c r="H53" s="481" t="str">
        <f>IF(OR(G53&gt;=0.3,G53&lt;=-0.3),"超过30%","")</f>
        <v/>
      </c>
      <c r="I53" s="480">
        <f>IF(I48&lt;I49,I49/I48-1,I48/I49-1)</f>
        <v>3.0191082802547786E-2</v>
      </c>
      <c r="J53" s="481" t="str">
        <f>IF(OR(I53&gt;=0.3,I53&lt;=-0.3),"超过30%","")</f>
        <v/>
      </c>
      <c r="K53" s="1261"/>
      <c r="L53" s="1257"/>
      <c r="M53" s="1256"/>
      <c r="N53" s="1256"/>
      <c r="O53" s="1256"/>
    </row>
    <row r="54" spans="1:29" ht="13.5" customHeight="1">
      <c r="A54" s="1256"/>
      <c r="B54" s="1256"/>
      <c r="C54" s="478" t="s">
        <v>2423</v>
      </c>
      <c r="D54" s="482"/>
      <c r="E54" s="480">
        <f>IF(E49&lt;G49,G49/E49-1,E49/G49-1)</f>
        <v>1.6979604230983325E-2</v>
      </c>
      <c r="F54" s="481" t="str">
        <f>IF(OR(E54&gt;=0.2,E54&lt;=-0.2),"超过20%","")</f>
        <v/>
      </c>
      <c r="G54" s="480">
        <f>IF(G49&lt;I49,I49/G49-1,G49/I49-1)</f>
        <v>6.8280254777071114E-3</v>
      </c>
      <c r="H54" s="481" t="str">
        <f>IF(OR(G54&gt;=0.2,G54&lt;=-0.2),"超过20%","")</f>
        <v/>
      </c>
      <c r="I54" s="480">
        <f>IF(I49&lt;E49,E49/I49-1,I49/E49-1)</f>
        <v>2.3923566878980784E-2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1.2988628729254215E-2</v>
      </c>
      <c r="F55" s="481" t="str">
        <f>IF(OR(E55&gt;=0.3,E55&lt;=-0.3),"超过30%","")</f>
        <v/>
      </c>
      <c r="G55" s="480">
        <f>IF(G48&lt;I48,I48/G48-1,G48/I48-1)</f>
        <v>6.8257697539260143E-3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2884</v>
      </c>
      <c r="D87" s="2770" t="s">
        <v>2885</v>
      </c>
      <c r="E87" s="2770" t="s">
        <v>2887</v>
      </c>
      <c r="F87" s="2770" t="s">
        <v>2888</v>
      </c>
      <c r="G87" s="2770" t="s">
        <v>2889</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2891</v>
      </c>
      <c r="D89" s="2770" t="s">
        <v>2893</v>
      </c>
      <c r="E89" s="2770" t="s">
        <v>2895</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2896</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2909</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2900</v>
      </c>
      <c r="D108" s="2770" t="s">
        <v>2901</v>
      </c>
      <c r="E108" s="2770" t="s">
        <v>2902</v>
      </c>
      <c r="F108" s="2771" t="s">
        <v>2903</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2905</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2911</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2912</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2907</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2896</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2896</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E31" zoomScale="90" zoomScaleNormal="90" workbookViewId="0">
      <selection activeCell="G49" sqref="G49"/>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0</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048" t="s">
        <v>2300</v>
      </c>
      <c r="Q4" s="3037"/>
      <c r="R4" s="3030" t="s">
        <v>2296</v>
      </c>
      <c r="S4" s="3031"/>
      <c r="T4" s="3030" t="s">
        <v>2297</v>
      </c>
      <c r="U4" s="3031"/>
      <c r="V4" s="3052" t="s">
        <v>2298</v>
      </c>
      <c r="W4" s="3052"/>
      <c r="X4" s="2736"/>
      <c r="Y4" s="3030" t="s">
        <v>2300</v>
      </c>
      <c r="Z4" s="3031"/>
      <c r="AA4" s="3041" t="s">
        <v>2296</v>
      </c>
      <c r="AB4" s="3041" t="s">
        <v>2297</v>
      </c>
      <c r="AC4" s="3041" t="s">
        <v>2298</v>
      </c>
    </row>
    <row r="5" spans="1:29" ht="15">
      <c r="A5" s="383"/>
      <c r="B5" s="384"/>
      <c r="C5" s="3055" t="s">
        <v>2877</v>
      </c>
      <c r="D5" s="3056"/>
      <c r="E5" s="3053" t="s">
        <v>2922</v>
      </c>
      <c r="F5" s="3054"/>
      <c r="G5" s="3053" t="s">
        <v>2922</v>
      </c>
      <c r="H5" s="3054"/>
      <c r="I5" s="3053" t="s">
        <v>2922</v>
      </c>
      <c r="J5" s="3054"/>
      <c r="K5" s="594"/>
      <c r="L5" s="1242"/>
      <c r="M5" s="1243"/>
      <c r="N5" s="1243"/>
      <c r="O5" s="1243"/>
      <c r="P5" s="3049"/>
      <c r="Q5" s="3038"/>
      <c r="R5" s="3032"/>
      <c r="S5" s="3033"/>
      <c r="T5" s="3032"/>
      <c r="U5" s="3033"/>
      <c r="V5" s="3052"/>
      <c r="W5" s="3052"/>
      <c r="X5" s="2736"/>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050"/>
      <c r="Q6" s="3051"/>
      <c r="R6" s="3032"/>
      <c r="S6" s="3033"/>
      <c r="T6" s="3034"/>
      <c r="U6" s="3035"/>
      <c r="V6" s="3052"/>
      <c r="W6" s="3052"/>
      <c r="X6" s="2736"/>
      <c r="Y6" s="3034"/>
      <c r="Z6" s="3035"/>
      <c r="AA6" s="3043"/>
      <c r="AB6" s="3043"/>
      <c r="AC6" s="3043"/>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36" t="s">
        <v>2308</v>
      </c>
      <c r="Q7" s="3036"/>
      <c r="R7" s="748" t="s">
        <v>25</v>
      </c>
      <c r="S7" s="749">
        <f t="shared" ref="S7:S15" si="0">F7</f>
        <v>100</v>
      </c>
      <c r="T7" s="748" t="s">
        <v>25</v>
      </c>
      <c r="U7" s="749">
        <f t="shared" ref="U7:U15" si="1">H7</f>
        <v>100</v>
      </c>
      <c r="V7" s="748" t="s">
        <v>25</v>
      </c>
      <c r="W7" s="749">
        <f t="shared" ref="W7:W15" si="2">J7</f>
        <v>100</v>
      </c>
      <c r="X7" s="750"/>
      <c r="Y7" s="3028" t="s">
        <v>2308</v>
      </c>
      <c r="Z7" s="3029"/>
      <c r="AA7" s="751">
        <f>D7/F7</f>
        <v>1</v>
      </c>
      <c r="AB7" s="751">
        <f>D7/H7</f>
        <v>1</v>
      </c>
      <c r="AC7" s="751">
        <f>D7/J7</f>
        <v>1</v>
      </c>
    </row>
    <row r="8" spans="1:29" s="35" customFormat="1" ht="15.75" thickBot="1">
      <c r="A8" s="387" t="s">
        <v>2309</v>
      </c>
      <c r="B8" s="388"/>
      <c r="C8" s="394" t="s">
        <v>2310</v>
      </c>
      <c r="D8" s="390">
        <v>100</v>
      </c>
      <c r="E8" s="394" t="s">
        <v>2881</v>
      </c>
      <c r="F8" s="392">
        <f>SUMIF(62:62,E8,63:63)-SUMIF(62:62,C8,63:63)+100</f>
        <v>100</v>
      </c>
      <c r="G8" s="394" t="s">
        <v>2881</v>
      </c>
      <c r="H8" s="390">
        <f>SUMIF(62:62,G8,63:63)-SUMIF(62:62,C8,63:63)+100</f>
        <v>100</v>
      </c>
      <c r="I8" s="394" t="s">
        <v>2881</v>
      </c>
      <c r="J8" s="390">
        <f>SUMIF(62:62,I8,63:63)-SUMIF(62:62,C8,63:63)+100</f>
        <v>100</v>
      </c>
      <c r="K8" s="595"/>
      <c r="L8" s="1244"/>
      <c r="M8" s="1245"/>
      <c r="N8" s="1245"/>
      <c r="O8" s="1245"/>
      <c r="P8" s="3036" t="s">
        <v>2311</v>
      </c>
      <c r="Q8" s="3029"/>
      <c r="R8" s="748" t="s">
        <v>25</v>
      </c>
      <c r="S8" s="749">
        <f t="shared" si="0"/>
        <v>100</v>
      </c>
      <c r="T8" s="748" t="s">
        <v>25</v>
      </c>
      <c r="U8" s="749">
        <f t="shared" si="1"/>
        <v>100</v>
      </c>
      <c r="V8" s="748" t="s">
        <v>25</v>
      </c>
      <c r="W8" s="749">
        <f t="shared" si="2"/>
        <v>100</v>
      </c>
      <c r="X8" s="750"/>
      <c r="Y8" s="3028" t="s">
        <v>2311</v>
      </c>
      <c r="Z8" s="3029"/>
      <c r="AA8" s="751">
        <f t="shared" ref="AA8:AA47" si="3">D8/F8</f>
        <v>1</v>
      </c>
      <c r="AB8" s="751">
        <f t="shared" ref="AB8:AB47" si="4">D8/H8</f>
        <v>1</v>
      </c>
      <c r="AC8" s="751">
        <f t="shared" ref="AC8:AC47" si="5">D8/J8</f>
        <v>1</v>
      </c>
    </row>
    <row r="9" spans="1:29" s="35" customFormat="1">
      <c r="A9" s="395" t="s">
        <v>2312</v>
      </c>
      <c r="B9" s="28" t="s">
        <v>2313</v>
      </c>
      <c r="C9" s="2769" t="s">
        <v>2878</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8" t="s">
        <v>2314</v>
      </c>
      <c r="Q9" s="2731"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2732" t="s">
        <v>2316</v>
      </c>
      <c r="C10" s="403" t="s">
        <v>2880</v>
      </c>
      <c r="D10" s="52">
        <v>100</v>
      </c>
      <c r="E10" s="403" t="s">
        <v>2880</v>
      </c>
      <c r="F10" s="52">
        <f>SUMIF(66:66,E10,67:67)-SUMIF(66:66,C10,67:67)+100</f>
        <v>100</v>
      </c>
      <c r="G10" s="404" t="s">
        <v>2880</v>
      </c>
      <c r="H10" s="52">
        <f>SUMIF(66:66,G10,67:67)-SUMIF(66:66,C10,67:67)+100</f>
        <v>100</v>
      </c>
      <c r="I10" s="403" t="s">
        <v>2880</v>
      </c>
      <c r="J10" s="52">
        <f>SUMIF(66:66,I10,67:67)-SUMIF(66:66,C10,67:67)+100</f>
        <v>100</v>
      </c>
      <c r="K10" s="596">
        <v>1</v>
      </c>
      <c r="L10" s="1247"/>
      <c r="M10" s="1248"/>
      <c r="N10" s="1248"/>
      <c r="O10" s="1248"/>
      <c r="P10" s="3018"/>
      <c r="Q10" s="2731"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8"/>
      <c r="Q11" s="2731" t="str">
        <f t="shared" si="6"/>
        <v>容积率</v>
      </c>
      <c r="R11" s="748" t="s">
        <v>25</v>
      </c>
      <c r="S11" s="749">
        <f t="shared" si="0"/>
        <v>100</v>
      </c>
      <c r="T11" s="748" t="s">
        <v>25</v>
      </c>
      <c r="U11" s="749">
        <f t="shared" si="1"/>
        <v>100</v>
      </c>
      <c r="V11" s="748" t="s">
        <v>25</v>
      </c>
      <c r="W11" s="749">
        <f t="shared" si="2"/>
        <v>100</v>
      </c>
      <c r="X11" s="750"/>
      <c r="Y11" s="2879"/>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2731">
        <f t="shared" si="6"/>
        <v>0</v>
      </c>
      <c r="R12" s="748" t="s">
        <v>25</v>
      </c>
      <c r="S12" s="749">
        <f t="shared" si="0"/>
        <v>100</v>
      </c>
      <c r="T12" s="748" t="s">
        <v>25</v>
      </c>
      <c r="U12" s="749">
        <f t="shared" si="1"/>
        <v>100</v>
      </c>
      <c r="V12" s="748" t="s">
        <v>25</v>
      </c>
      <c r="W12" s="749">
        <f t="shared" si="2"/>
        <v>100</v>
      </c>
      <c r="X12" s="750"/>
      <c r="Y12" s="2879"/>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2731">
        <f t="shared" si="6"/>
        <v>0</v>
      </c>
      <c r="R13" s="748" t="s">
        <v>25</v>
      </c>
      <c r="S13" s="749">
        <f t="shared" si="0"/>
        <v>100</v>
      </c>
      <c r="T13" s="748" t="s">
        <v>25</v>
      </c>
      <c r="U13" s="749">
        <f t="shared" si="1"/>
        <v>100</v>
      </c>
      <c r="V13" s="748" t="s">
        <v>25</v>
      </c>
      <c r="W13" s="749">
        <f t="shared" si="2"/>
        <v>100</v>
      </c>
      <c r="X13" s="750"/>
      <c r="Y13" s="2879"/>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2731">
        <f t="shared" si="6"/>
        <v>0</v>
      </c>
      <c r="R14" s="748" t="s">
        <v>25</v>
      </c>
      <c r="S14" s="749">
        <f t="shared" si="0"/>
        <v>100</v>
      </c>
      <c r="T14" s="748" t="s">
        <v>25</v>
      </c>
      <c r="U14" s="749">
        <f t="shared" si="1"/>
        <v>100</v>
      </c>
      <c r="V14" s="748" t="s">
        <v>25</v>
      </c>
      <c r="W14" s="749">
        <f t="shared" si="2"/>
        <v>100</v>
      </c>
      <c r="X14" s="750"/>
      <c r="Y14" s="2879"/>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7" t="s">
        <v>2319</v>
      </c>
      <c r="Q15" s="2735" t="str">
        <f t="shared" si="6"/>
        <v>办公集聚程度</v>
      </c>
      <c r="R15" s="752" t="s">
        <v>25</v>
      </c>
      <c r="S15" s="753">
        <f t="shared" si="0"/>
        <v>100</v>
      </c>
      <c r="T15" s="752" t="s">
        <v>25</v>
      </c>
      <c r="U15" s="753">
        <f t="shared" si="1"/>
        <v>100</v>
      </c>
      <c r="V15" s="752" t="s">
        <v>25</v>
      </c>
      <c r="W15" s="753">
        <f t="shared" si="2"/>
        <v>100</v>
      </c>
      <c r="X15" s="2736"/>
      <c r="Y15" s="3039"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8"/>
      <c r="Q16" s="2735"/>
      <c r="R16" s="752"/>
      <c r="S16" s="753"/>
      <c r="T16" s="752"/>
      <c r="U16" s="753"/>
      <c r="V16" s="752"/>
      <c r="W16" s="753"/>
      <c r="X16" s="2736"/>
      <c r="Y16" s="3040"/>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8"/>
      <c r="Q17" s="2735" t="str">
        <f>B17</f>
        <v>交通便捷度</v>
      </c>
      <c r="R17" s="752" t="s">
        <v>25</v>
      </c>
      <c r="S17" s="753">
        <f>F17</f>
        <v>100</v>
      </c>
      <c r="T17" s="752" t="s">
        <v>25</v>
      </c>
      <c r="U17" s="753">
        <f>H17</f>
        <v>100</v>
      </c>
      <c r="V17" s="752" t="s">
        <v>25</v>
      </c>
      <c r="W17" s="753">
        <f>J17</f>
        <v>100</v>
      </c>
      <c r="X17" s="2736"/>
      <c r="Y17" s="3040"/>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8"/>
      <c r="Q18" s="2735"/>
      <c r="R18" s="752"/>
      <c r="S18" s="753"/>
      <c r="T18" s="752"/>
      <c r="U18" s="753"/>
      <c r="V18" s="752"/>
      <c r="W18" s="753"/>
      <c r="X18" s="2736"/>
      <c r="Y18" s="3040"/>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8"/>
      <c r="Q19" s="2735" t="str">
        <f>B19</f>
        <v>公共配套设施</v>
      </c>
      <c r="R19" s="752" t="s">
        <v>25</v>
      </c>
      <c r="S19" s="753">
        <f>F19</f>
        <v>100</v>
      </c>
      <c r="T19" s="752" t="s">
        <v>25</v>
      </c>
      <c r="U19" s="753">
        <f>H19</f>
        <v>100</v>
      </c>
      <c r="V19" s="752" t="s">
        <v>25</v>
      </c>
      <c r="W19" s="753">
        <f>J19</f>
        <v>100</v>
      </c>
      <c r="X19" s="2736"/>
      <c r="Y19" s="3040"/>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8"/>
      <c r="Q20" s="2735"/>
      <c r="R20" s="752"/>
      <c r="S20" s="753"/>
      <c r="T20" s="752"/>
      <c r="U20" s="753"/>
      <c r="V20" s="752"/>
      <c r="W20" s="753"/>
      <c r="X20" s="2736"/>
      <c r="Y20" s="3040"/>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8"/>
      <c r="Q21" s="2735" t="str">
        <f>B21</f>
        <v>基础设施水平</v>
      </c>
      <c r="R21" s="752" t="s">
        <v>25</v>
      </c>
      <c r="S21" s="753">
        <f>F21</f>
        <v>100</v>
      </c>
      <c r="T21" s="752" t="s">
        <v>25</v>
      </c>
      <c r="U21" s="753">
        <f>H21</f>
        <v>100</v>
      </c>
      <c r="V21" s="752" t="s">
        <v>25</v>
      </c>
      <c r="W21" s="753">
        <f>J21</f>
        <v>100</v>
      </c>
      <c r="X21" s="2736"/>
      <c r="Y21" s="3040"/>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2882</v>
      </c>
      <c r="D22" s="427"/>
      <c r="E22" s="426" t="s">
        <v>2882</v>
      </c>
      <c r="F22" s="427"/>
      <c r="G22" s="1471" t="s">
        <v>2882</v>
      </c>
      <c r="H22" s="427"/>
      <c r="I22" s="1471" t="s">
        <v>2882</v>
      </c>
      <c r="J22" s="427"/>
      <c r="K22" s="1468"/>
      <c r="L22" s="1252"/>
      <c r="M22" s="1243"/>
      <c r="N22" s="1243"/>
      <c r="O22" s="1243"/>
      <c r="P22" s="3038"/>
      <c r="Q22" s="2735"/>
      <c r="R22" s="752"/>
      <c r="S22" s="753"/>
      <c r="T22" s="752"/>
      <c r="U22" s="753"/>
      <c r="V22" s="752"/>
      <c r="W22" s="753"/>
      <c r="X22" s="2736"/>
      <c r="Y22" s="3040"/>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8"/>
      <c r="Q23" s="2735" t="str">
        <f>B23</f>
        <v>环境质量</v>
      </c>
      <c r="R23" s="752" t="s">
        <v>25</v>
      </c>
      <c r="S23" s="753">
        <f>F23</f>
        <v>100</v>
      </c>
      <c r="T23" s="752" t="s">
        <v>25</v>
      </c>
      <c r="U23" s="753">
        <f>H23</f>
        <v>100</v>
      </c>
      <c r="V23" s="752" t="s">
        <v>25</v>
      </c>
      <c r="W23" s="753">
        <f>J23</f>
        <v>100</v>
      </c>
      <c r="X23" s="2736"/>
      <c r="Y23" s="3040"/>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8"/>
      <c r="Q24" s="2735"/>
      <c r="R24" s="752"/>
      <c r="S24" s="753"/>
      <c r="T24" s="752"/>
      <c r="U24" s="753"/>
      <c r="V24" s="752"/>
      <c r="W24" s="753"/>
      <c r="X24" s="2736"/>
      <c r="Y24" s="3040"/>
      <c r="Z24" s="2737"/>
      <c r="AA24" s="2733">
        <v>1</v>
      </c>
      <c r="AB24" s="2733">
        <v>1</v>
      </c>
      <c r="AC24" s="2733">
        <v>1</v>
      </c>
    </row>
    <row r="25" spans="1:29" ht="28.5">
      <c r="A25" s="383"/>
      <c r="B25" s="615" t="s">
        <v>2437</v>
      </c>
      <c r="C25" s="2469" t="s">
        <v>2883</v>
      </c>
      <c r="D25" s="415">
        <v>100</v>
      </c>
      <c r="E25" s="414" t="s">
        <v>2920</v>
      </c>
      <c r="F25" s="415">
        <f>SUMIF(87:87,E26,88:88)-SUMIF(87:87,C26,88:88)+100</f>
        <v>100</v>
      </c>
      <c r="G25" s="2469" t="s">
        <v>2920</v>
      </c>
      <c r="H25" s="415">
        <f>SUMIF(87:87,G26,88:88)-SUMIF(87:87,C26,88:88)+100</f>
        <v>100</v>
      </c>
      <c r="I25" s="414" t="s">
        <v>2920</v>
      </c>
      <c r="J25" s="415">
        <f>SUMIF(87:87,I26,88:88)-SUMIF(87:87,C26,88:88)+100</f>
        <v>100</v>
      </c>
      <c r="K25" s="598">
        <v>1</v>
      </c>
      <c r="L25" s="1252"/>
      <c r="M25" s="1243"/>
      <c r="N25" s="1243"/>
      <c r="O25" s="1243"/>
      <c r="P25" s="3038"/>
      <c r="Q25" s="2735" t="str">
        <f>B25</f>
        <v>毗邻道路的类型与等级</v>
      </c>
      <c r="R25" s="752" t="s">
        <v>25</v>
      </c>
      <c r="S25" s="753">
        <f>F25</f>
        <v>100</v>
      </c>
      <c r="T25" s="752" t="s">
        <v>25</v>
      </c>
      <c r="U25" s="753">
        <f>H25</f>
        <v>100</v>
      </c>
      <c r="V25" s="752" t="s">
        <v>25</v>
      </c>
      <c r="W25" s="753">
        <f>J25</f>
        <v>100</v>
      </c>
      <c r="X25" s="2736"/>
      <c r="Y25" s="3040"/>
      <c r="Z25" s="2737" t="str">
        <f>Q25</f>
        <v>毗邻道路的类型与等级</v>
      </c>
      <c r="AA25" s="2733">
        <f t="shared" si="3"/>
        <v>1</v>
      </c>
      <c r="AB25" s="2733">
        <f t="shared" si="4"/>
        <v>1</v>
      </c>
      <c r="AC25" s="2733">
        <f t="shared" si="5"/>
        <v>1</v>
      </c>
    </row>
    <row r="26" spans="1:29" ht="15">
      <c r="A26" s="383"/>
      <c r="B26" s="616"/>
      <c r="C26" s="618" t="s">
        <v>2886</v>
      </c>
      <c r="D26" s="415"/>
      <c r="E26" s="600" t="s">
        <v>2886</v>
      </c>
      <c r="F26" s="415"/>
      <c r="G26" s="618" t="s">
        <v>2886</v>
      </c>
      <c r="H26" s="415"/>
      <c r="I26" s="600" t="s">
        <v>2886</v>
      </c>
      <c r="J26" s="415"/>
      <c r="K26" s="599"/>
      <c r="L26" s="1252"/>
      <c r="M26" s="1243"/>
      <c r="N26" s="1243"/>
      <c r="O26" s="1243"/>
      <c r="P26" s="3038"/>
      <c r="Q26" s="2735"/>
      <c r="R26" s="752"/>
      <c r="S26" s="753"/>
      <c r="T26" s="752"/>
      <c r="U26" s="753"/>
      <c r="V26" s="752"/>
      <c r="W26" s="753"/>
      <c r="X26" s="2736"/>
      <c r="Y26" s="3040"/>
      <c r="Z26" s="2737"/>
      <c r="AA26" s="2733">
        <v>1</v>
      </c>
      <c r="AB26" s="2733">
        <v>1</v>
      </c>
      <c r="AC26" s="2733">
        <v>1</v>
      </c>
    </row>
    <row r="27" spans="1:29" ht="15">
      <c r="A27" s="408"/>
      <c r="B27" s="616" t="s">
        <v>2410</v>
      </c>
      <c r="C27" s="618" t="s">
        <v>2892</v>
      </c>
      <c r="D27" s="415">
        <v>100</v>
      </c>
      <c r="E27" s="600" t="s">
        <v>2892</v>
      </c>
      <c r="F27" s="415">
        <f>SUMIF(89:89,E27,90:90)-SUMIF(89:89,C27,90:90)+100</f>
        <v>100</v>
      </c>
      <c r="G27" s="618" t="s">
        <v>2894</v>
      </c>
      <c r="H27" s="415">
        <f>SUMIF(89:89,G27,90:90)-SUMIF(89:89,C27,90:90)+100</f>
        <v>98</v>
      </c>
      <c r="I27" s="600" t="s">
        <v>2892</v>
      </c>
      <c r="J27" s="415">
        <f>SUMIF(89:89,I27,90:90)-SUMIF(89:89,C27,90:90)+100</f>
        <v>100</v>
      </c>
      <c r="K27" s="596">
        <v>2</v>
      </c>
      <c r="L27" s="1252"/>
      <c r="M27" s="1243"/>
      <c r="N27" s="1243"/>
      <c r="O27" s="1243"/>
      <c r="P27" s="3038"/>
      <c r="Q27" s="2735" t="str">
        <f t="shared" ref="Q27:Q47" si="11">B27</f>
        <v>楼层</v>
      </c>
      <c r="R27" s="752" t="s">
        <v>25</v>
      </c>
      <c r="S27" s="753">
        <f>F27</f>
        <v>100</v>
      </c>
      <c r="T27" s="752" t="s">
        <v>25</v>
      </c>
      <c r="U27" s="753">
        <f>H27</f>
        <v>98</v>
      </c>
      <c r="V27" s="752" t="s">
        <v>25</v>
      </c>
      <c r="W27" s="753">
        <f>J27</f>
        <v>100</v>
      </c>
      <c r="X27" s="2736"/>
      <c r="Y27" s="3040"/>
      <c r="Z27" s="2737" t="str">
        <f>Q27</f>
        <v>楼层</v>
      </c>
      <c r="AA27" s="2733">
        <f t="shared" si="3"/>
        <v>1</v>
      </c>
      <c r="AB27" s="2733">
        <f t="shared" si="4"/>
        <v>1.0204081632653061</v>
      </c>
      <c r="AC27" s="2733">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8"/>
      <c r="Q28" s="2731" t="str">
        <f t="shared" si="11"/>
        <v>朝向</v>
      </c>
      <c r="R28" s="748" t="s">
        <v>25</v>
      </c>
      <c r="S28" s="749">
        <f>F28</f>
        <v>100</v>
      </c>
      <c r="T28" s="748" t="s">
        <v>25</v>
      </c>
      <c r="U28" s="749">
        <f>H28</f>
        <v>100</v>
      </c>
      <c r="V28" s="748" t="s">
        <v>25</v>
      </c>
      <c r="W28" s="749">
        <f>J28</f>
        <v>100</v>
      </c>
      <c r="X28" s="750"/>
      <c r="Y28" s="3040"/>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8"/>
      <c r="Q29" s="2735">
        <f t="shared" si="11"/>
        <v>0</v>
      </c>
      <c r="R29" s="752" t="s">
        <v>25</v>
      </c>
      <c r="S29" s="753">
        <f t="shared" ref="S29:S47" si="12">F29</f>
        <v>100</v>
      </c>
      <c r="T29" s="752" t="s">
        <v>25</v>
      </c>
      <c r="U29" s="753">
        <f t="shared" ref="U29:U47" si="13">H29</f>
        <v>100</v>
      </c>
      <c r="V29" s="752" t="s">
        <v>25</v>
      </c>
      <c r="W29" s="753">
        <f t="shared" ref="W29:W47" si="14">J29</f>
        <v>100</v>
      </c>
      <c r="X29" s="2736"/>
      <c r="Y29" s="3040"/>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8"/>
      <c r="Q30" s="2735">
        <f t="shared" si="11"/>
        <v>0</v>
      </c>
      <c r="R30" s="752" t="s">
        <v>25</v>
      </c>
      <c r="S30" s="753">
        <f t="shared" si="12"/>
        <v>100</v>
      </c>
      <c r="T30" s="752" t="s">
        <v>25</v>
      </c>
      <c r="U30" s="753">
        <f t="shared" si="13"/>
        <v>100</v>
      </c>
      <c r="V30" s="752" t="s">
        <v>25</v>
      </c>
      <c r="W30" s="753">
        <f t="shared" si="14"/>
        <v>100</v>
      </c>
      <c r="X30" s="2736"/>
      <c r="Y30" s="3040"/>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8"/>
      <c r="Q31" s="2735">
        <f t="shared" si="11"/>
        <v>0</v>
      </c>
      <c r="R31" s="752" t="s">
        <v>25</v>
      </c>
      <c r="S31" s="753">
        <f t="shared" si="12"/>
        <v>100</v>
      </c>
      <c r="T31" s="752" t="s">
        <v>25</v>
      </c>
      <c r="U31" s="753">
        <f t="shared" si="13"/>
        <v>100</v>
      </c>
      <c r="V31" s="752" t="s">
        <v>25</v>
      </c>
      <c r="W31" s="753">
        <f t="shared" si="14"/>
        <v>100</v>
      </c>
      <c r="X31" s="2736"/>
      <c r="Y31" s="3040"/>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8"/>
      <c r="Q32" s="2735">
        <f t="shared" si="11"/>
        <v>0</v>
      </c>
      <c r="R32" s="752" t="s">
        <v>25</v>
      </c>
      <c r="S32" s="753">
        <f t="shared" si="12"/>
        <v>100</v>
      </c>
      <c r="T32" s="752" t="s">
        <v>25</v>
      </c>
      <c r="U32" s="753">
        <f t="shared" si="13"/>
        <v>100</v>
      </c>
      <c r="V32" s="752" t="s">
        <v>25</v>
      </c>
      <c r="W32" s="753">
        <f t="shared" si="14"/>
        <v>100</v>
      </c>
      <c r="X32" s="2736"/>
      <c r="Y32" s="3040"/>
      <c r="Z32" s="2737">
        <f t="shared" si="15"/>
        <v>0</v>
      </c>
      <c r="AA32" s="2733">
        <f t="shared" si="3"/>
        <v>1</v>
      </c>
      <c r="AB32" s="2733">
        <f t="shared" si="4"/>
        <v>1</v>
      </c>
      <c r="AC32" s="2733">
        <f t="shared" si="5"/>
        <v>1</v>
      </c>
    </row>
    <row r="33" spans="1:29" ht="15">
      <c r="A33" s="419" t="s">
        <v>2323</v>
      </c>
      <c r="B33" s="28" t="s">
        <v>2439</v>
      </c>
      <c r="C33" s="2472" t="s">
        <v>2908</v>
      </c>
      <c r="D33" s="448">
        <v>100</v>
      </c>
      <c r="E33" s="2472" t="s">
        <v>2908</v>
      </c>
      <c r="F33" s="442">
        <f>SUMIF(101:101,E33,102:102)-SUMIF(101:101,C33,102:102)+100</f>
        <v>100</v>
      </c>
      <c r="G33" s="2472" t="s">
        <v>2908</v>
      </c>
      <c r="H33" s="415">
        <f>SUMIF(101:101,G33,102:102)-SUMIF(101:101,C33,102:102)+100</f>
        <v>100</v>
      </c>
      <c r="I33" s="2472" t="s">
        <v>2908</v>
      </c>
      <c r="J33" s="448">
        <f>SUMIF(101:101,I33,102:102)-SUMIF(101:101,C33,102:102)+100</f>
        <v>100</v>
      </c>
      <c r="K33" s="596">
        <v>1</v>
      </c>
      <c r="L33" s="1252"/>
      <c r="M33" s="1243"/>
      <c r="N33" s="1243"/>
      <c r="O33" s="1243"/>
      <c r="P33" s="3023" t="s">
        <v>2325</v>
      </c>
      <c r="Q33" s="2735" t="str">
        <f t="shared" si="11"/>
        <v>建筑类型</v>
      </c>
      <c r="R33" s="752" t="s">
        <v>25</v>
      </c>
      <c r="S33" s="753">
        <f t="shared" si="12"/>
        <v>100</v>
      </c>
      <c r="T33" s="752" t="s">
        <v>25</v>
      </c>
      <c r="U33" s="753">
        <f t="shared" si="13"/>
        <v>100</v>
      </c>
      <c r="V33" s="752" t="s">
        <v>25</v>
      </c>
      <c r="W33" s="753">
        <f t="shared" si="14"/>
        <v>100</v>
      </c>
      <c r="X33" s="2736"/>
      <c r="Y33" s="3026"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107.22</v>
      </c>
      <c r="D34" s="52">
        <v>100</v>
      </c>
      <c r="E34" s="410">
        <v>106.1</v>
      </c>
      <c r="F34" s="405">
        <f>LOOKUP(E34,104:104,105:105)-LOOKUP(C34,104:104,105:105)+100</f>
        <v>100</v>
      </c>
      <c r="G34" s="409">
        <v>107</v>
      </c>
      <c r="H34" s="52">
        <f>LOOKUP(G34,104:104,105:105)-LOOKUP(C34,104:104,105:105)+100</f>
        <v>100</v>
      </c>
      <c r="I34" s="409">
        <v>550</v>
      </c>
      <c r="J34" s="52">
        <f>LOOKUP(I34,104:104,105:105)-LOOKUP(C34,104:104,105:105)+100</f>
        <v>98</v>
      </c>
      <c r="K34" s="597"/>
      <c r="L34" s="1250"/>
      <c r="M34" s="1253"/>
      <c r="N34" s="1253"/>
      <c r="O34" s="1253"/>
      <c r="P34" s="3024"/>
      <c r="Q34" s="754" t="str">
        <f t="shared" si="11"/>
        <v>项目建筑规模</v>
      </c>
      <c r="R34" s="755" t="s">
        <v>25</v>
      </c>
      <c r="S34" s="756">
        <f t="shared" si="12"/>
        <v>100</v>
      </c>
      <c r="T34" s="755" t="s">
        <v>25</v>
      </c>
      <c r="U34" s="756">
        <f t="shared" si="13"/>
        <v>100</v>
      </c>
      <c r="V34" s="755" t="s">
        <v>25</v>
      </c>
      <c r="W34" s="756">
        <f t="shared" si="14"/>
        <v>98</v>
      </c>
      <c r="X34" s="757"/>
      <c r="Y34" s="3026"/>
      <c r="Z34" s="758" t="str">
        <f t="shared" si="15"/>
        <v>项目建筑规模</v>
      </c>
      <c r="AA34" s="2733">
        <f t="shared" si="3"/>
        <v>1</v>
      </c>
      <c r="AB34" s="2733">
        <f t="shared" si="4"/>
        <v>1</v>
      </c>
      <c r="AC34" s="2733">
        <f t="shared" si="5"/>
        <v>1.0204081632653061</v>
      </c>
    </row>
    <row r="35" spans="1:29" ht="15">
      <c r="A35" s="453"/>
      <c r="B35" s="2732" t="s">
        <v>2327</v>
      </c>
      <c r="C35" s="441" t="s">
        <v>2897</v>
      </c>
      <c r="D35" s="415">
        <v>100</v>
      </c>
      <c r="E35" s="441" t="s">
        <v>2897</v>
      </c>
      <c r="F35" s="442">
        <f>SUMIF(106:106,E35,107:107)-SUMIF(106:106,C35,107:107)+100</f>
        <v>100</v>
      </c>
      <c r="G35" s="441" t="s">
        <v>2897</v>
      </c>
      <c r="H35" s="415">
        <f>SUMIF(106:106,G35,107:107)-SUMIF(106:106,C35,107:107)+100</f>
        <v>100</v>
      </c>
      <c r="I35" s="441" t="s">
        <v>2897</v>
      </c>
      <c r="J35" s="415">
        <f>SUMIF(106:106,I35,107:107)-SUMIF(106:106,C35,107:107)+100</f>
        <v>100</v>
      </c>
      <c r="K35" s="596">
        <v>1</v>
      </c>
      <c r="L35" s="1252"/>
      <c r="M35" s="1243"/>
      <c r="N35" s="1243"/>
      <c r="O35" s="1243"/>
      <c r="P35" s="3024"/>
      <c r="Q35" s="2735" t="str">
        <f t="shared" si="11"/>
        <v>建筑结构</v>
      </c>
      <c r="R35" s="752" t="s">
        <v>25</v>
      </c>
      <c r="S35" s="753">
        <f t="shared" si="12"/>
        <v>100</v>
      </c>
      <c r="T35" s="752" t="s">
        <v>25</v>
      </c>
      <c r="U35" s="753">
        <f t="shared" si="13"/>
        <v>100</v>
      </c>
      <c r="V35" s="752" t="s">
        <v>25</v>
      </c>
      <c r="W35" s="753">
        <f t="shared" si="14"/>
        <v>100</v>
      </c>
      <c r="X35" s="2736"/>
      <c r="Y35" s="3026"/>
      <c r="Z35" s="2737" t="str">
        <f t="shared" si="15"/>
        <v>建筑结构</v>
      </c>
      <c r="AA35" s="2733">
        <f t="shared" si="3"/>
        <v>1</v>
      </c>
      <c r="AB35" s="2733">
        <f t="shared" si="4"/>
        <v>1</v>
      </c>
      <c r="AC35" s="2733">
        <f t="shared" si="5"/>
        <v>1</v>
      </c>
    </row>
    <row r="36" spans="1:29" ht="15">
      <c r="A36" s="453"/>
      <c r="B36" s="2732" t="s">
        <v>2412</v>
      </c>
      <c r="C36" s="441" t="s">
        <v>2899</v>
      </c>
      <c r="D36" s="415">
        <v>100</v>
      </c>
      <c r="E36" s="441" t="s">
        <v>2899</v>
      </c>
      <c r="F36" s="442">
        <f>SUMIF(108:108,E36,109:109)-SUMIF(108:108,C36,109:109)+100</f>
        <v>100</v>
      </c>
      <c r="G36" s="441" t="s">
        <v>2899</v>
      </c>
      <c r="H36" s="415">
        <f>SUMIF(108:108,G36,109:109)-SUMIF(108:108,C36,109:109)+100</f>
        <v>100</v>
      </c>
      <c r="I36" s="441" t="s">
        <v>2899</v>
      </c>
      <c r="J36" s="415">
        <f>SUMIF(108:108,I36,109:109)-SUMIF(108:108,C36,109:109)+100</f>
        <v>100</v>
      </c>
      <c r="K36" s="596">
        <v>1</v>
      </c>
      <c r="L36" s="1252"/>
      <c r="M36" s="1243"/>
      <c r="N36" s="1243"/>
      <c r="O36" s="1243"/>
      <c r="P36" s="3024"/>
      <c r="Q36" s="2735" t="str">
        <f t="shared" si="11"/>
        <v>公共部分装修</v>
      </c>
      <c r="R36" s="752" t="s">
        <v>25</v>
      </c>
      <c r="S36" s="753">
        <f t="shared" si="12"/>
        <v>100</v>
      </c>
      <c r="T36" s="752" t="s">
        <v>25</v>
      </c>
      <c r="U36" s="753">
        <f t="shared" si="13"/>
        <v>100</v>
      </c>
      <c r="V36" s="752" t="s">
        <v>25</v>
      </c>
      <c r="W36" s="753">
        <f t="shared" si="14"/>
        <v>100</v>
      </c>
      <c r="X36" s="2736"/>
      <c r="Y36" s="3026"/>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4"/>
      <c r="Q37" s="2735" t="str">
        <f t="shared" si="11"/>
        <v>成新度</v>
      </c>
      <c r="R37" s="752" t="s">
        <v>25</v>
      </c>
      <c r="S37" s="753">
        <f t="shared" si="12"/>
        <v>100</v>
      </c>
      <c r="T37" s="752" t="s">
        <v>25</v>
      </c>
      <c r="U37" s="753">
        <f t="shared" si="13"/>
        <v>100</v>
      </c>
      <c r="V37" s="752" t="s">
        <v>25</v>
      </c>
      <c r="W37" s="753">
        <f t="shared" si="14"/>
        <v>100</v>
      </c>
      <c r="X37" s="2736"/>
      <c r="Y37" s="3026"/>
      <c r="Z37" s="2737" t="str">
        <f t="shared" si="15"/>
        <v>成新度</v>
      </c>
      <c r="AA37" s="2733">
        <f t="shared" si="3"/>
        <v>1</v>
      </c>
      <c r="AB37" s="2733">
        <f t="shared" si="4"/>
        <v>1</v>
      </c>
      <c r="AC37" s="2733">
        <f t="shared" si="5"/>
        <v>1</v>
      </c>
    </row>
    <row r="38" spans="1:29" s="35" customFormat="1" ht="15">
      <c r="A38" s="454"/>
      <c r="B38" s="2732" t="s">
        <v>2440</v>
      </c>
      <c r="C38" s="441" t="s">
        <v>2904</v>
      </c>
      <c r="D38" s="52">
        <v>100</v>
      </c>
      <c r="E38" s="441" t="s">
        <v>2904</v>
      </c>
      <c r="F38" s="442">
        <f>SUMIF(113:113,E38,114:114)-SUMIF(113:113,C38,114:114)+100</f>
        <v>100</v>
      </c>
      <c r="G38" s="441" t="s">
        <v>2904</v>
      </c>
      <c r="H38" s="415">
        <f>SUMIF(113:113,G38,114:114)-SUMIF(113:113,C38,114:114)+100</f>
        <v>100</v>
      </c>
      <c r="I38" s="441" t="s">
        <v>2904</v>
      </c>
      <c r="J38" s="415">
        <f>SUMIF(113:113,I38,114:114)-SUMIF(113:113,C38,114:114)+100</f>
        <v>100</v>
      </c>
      <c r="K38" s="596">
        <v>1</v>
      </c>
      <c r="L38" s="1244"/>
      <c r="M38" s="1245"/>
      <c r="N38" s="1245"/>
      <c r="O38" s="1245"/>
      <c r="P38" s="3024"/>
      <c r="Q38" s="2731" t="str">
        <f t="shared" si="11"/>
        <v>写字楼等级</v>
      </c>
      <c r="R38" s="748" t="s">
        <v>25</v>
      </c>
      <c r="S38" s="749">
        <f t="shared" si="12"/>
        <v>100</v>
      </c>
      <c r="T38" s="748" t="s">
        <v>25</v>
      </c>
      <c r="U38" s="749">
        <f t="shared" si="13"/>
        <v>100</v>
      </c>
      <c r="V38" s="748" t="s">
        <v>25</v>
      </c>
      <c r="W38" s="749">
        <f t="shared" si="14"/>
        <v>100</v>
      </c>
      <c r="X38" s="750"/>
      <c r="Y38" s="3026"/>
      <c r="Z38" s="23" t="str">
        <f t="shared" si="15"/>
        <v>写字楼等级</v>
      </c>
      <c r="AA38" s="751">
        <f t="shared" si="3"/>
        <v>1</v>
      </c>
      <c r="AB38" s="751">
        <f t="shared" si="4"/>
        <v>1</v>
      </c>
      <c r="AC38" s="751">
        <f t="shared" si="5"/>
        <v>1</v>
      </c>
    </row>
    <row r="39" spans="1:29" ht="15">
      <c r="A39" s="453"/>
      <c r="B39" s="2732" t="s">
        <v>2441</v>
      </c>
      <c r="C39" s="441" t="s">
        <v>2910</v>
      </c>
      <c r="D39" s="415">
        <v>100</v>
      </c>
      <c r="E39" s="441" t="s">
        <v>2910</v>
      </c>
      <c r="F39" s="442">
        <f>SUMIF(115:115,E39,116:116)-SUMIF(115:115,C39,116:116)+100</f>
        <v>100</v>
      </c>
      <c r="G39" s="441" t="s">
        <v>2910</v>
      </c>
      <c r="H39" s="415">
        <f>SUMIF(115:115,G39,116:116)-SUMIF(115:115,C39,116:116)+100</f>
        <v>100</v>
      </c>
      <c r="I39" s="441" t="s">
        <v>2910</v>
      </c>
      <c r="J39" s="415">
        <f>SUMIF(115:115,I39,116:116)-SUMIF(115:115,C39,116:116)+100</f>
        <v>100</v>
      </c>
      <c r="K39" s="596">
        <v>1</v>
      </c>
      <c r="L39" s="1252"/>
      <c r="M39" s="1243"/>
      <c r="N39" s="1243"/>
      <c r="O39" s="1243"/>
      <c r="P39" s="3024" t="s">
        <v>2325</v>
      </c>
      <c r="Q39" s="2735" t="str">
        <f t="shared" si="11"/>
        <v>物业管理</v>
      </c>
      <c r="R39" s="752" t="s">
        <v>25</v>
      </c>
      <c r="S39" s="753">
        <f t="shared" si="12"/>
        <v>100</v>
      </c>
      <c r="T39" s="752" t="s">
        <v>25</v>
      </c>
      <c r="U39" s="753">
        <f t="shared" si="13"/>
        <v>100</v>
      </c>
      <c r="V39" s="752" t="s">
        <v>25</v>
      </c>
      <c r="W39" s="753">
        <f t="shared" si="14"/>
        <v>100</v>
      </c>
      <c r="X39" s="2736"/>
      <c r="Y39" s="3026" t="s">
        <v>2325</v>
      </c>
      <c r="Z39" s="2737" t="str">
        <f t="shared" si="15"/>
        <v>物业管理</v>
      </c>
      <c r="AA39" s="2733">
        <f t="shared" si="3"/>
        <v>1</v>
      </c>
      <c r="AB39" s="2733">
        <f t="shared" si="4"/>
        <v>1</v>
      </c>
      <c r="AC39" s="2733">
        <f t="shared" si="5"/>
        <v>1</v>
      </c>
    </row>
    <row r="40" spans="1:29" ht="15">
      <c r="A40" s="453"/>
      <c r="B40" s="2732" t="s">
        <v>2414</v>
      </c>
      <c r="C40" s="441" t="s">
        <v>2882</v>
      </c>
      <c r="D40" s="415">
        <v>100</v>
      </c>
      <c r="E40" s="441" t="s">
        <v>2882</v>
      </c>
      <c r="F40" s="442">
        <f>SUMIF(117:117,E40,118:118)-SUMIF(117:117,C40,118:118)+100</f>
        <v>100</v>
      </c>
      <c r="G40" s="441" t="s">
        <v>2882</v>
      </c>
      <c r="H40" s="415">
        <f>SUMIF(117:117,G40,118:118)-SUMIF(117:117,C40,118:118)+100</f>
        <v>100</v>
      </c>
      <c r="I40" s="441" t="s">
        <v>2882</v>
      </c>
      <c r="J40" s="415">
        <f>SUMIF(117:117,I40,118:118)-SUMIF(117:117,C40,118:118)+100</f>
        <v>100</v>
      </c>
      <c r="K40" s="596">
        <v>1</v>
      </c>
      <c r="L40" s="1252"/>
      <c r="M40" s="1243"/>
      <c r="N40" s="1243"/>
      <c r="O40" s="1243"/>
      <c r="P40" s="3024"/>
      <c r="Q40" s="2735" t="str">
        <f t="shared" si="11"/>
        <v>市政基础设施</v>
      </c>
      <c r="R40" s="752" t="s">
        <v>25</v>
      </c>
      <c r="S40" s="753">
        <f t="shared" si="12"/>
        <v>100</v>
      </c>
      <c r="T40" s="752" t="s">
        <v>25</v>
      </c>
      <c r="U40" s="753">
        <f t="shared" si="13"/>
        <v>100</v>
      </c>
      <c r="V40" s="752" t="s">
        <v>25</v>
      </c>
      <c r="W40" s="753">
        <f t="shared" si="14"/>
        <v>100</v>
      </c>
      <c r="X40" s="2736"/>
      <c r="Y40" s="3026"/>
      <c r="Z40" s="2737" t="str">
        <f t="shared" si="15"/>
        <v>市政基础设施</v>
      </c>
      <c r="AA40" s="2733">
        <f t="shared" si="3"/>
        <v>1</v>
      </c>
      <c r="AB40" s="2733">
        <f t="shared" si="4"/>
        <v>1</v>
      </c>
      <c r="AC40" s="2733">
        <f t="shared" si="5"/>
        <v>1</v>
      </c>
    </row>
    <row r="41" spans="1:29" ht="15">
      <c r="A41" s="453"/>
      <c r="B41" s="2732" t="s">
        <v>2416</v>
      </c>
      <c r="C41" s="600" t="s">
        <v>2906</v>
      </c>
      <c r="D41" s="415">
        <v>100</v>
      </c>
      <c r="E41" s="600" t="s">
        <v>2906</v>
      </c>
      <c r="F41" s="442">
        <f>SUMIF(119:119,E41,120:120)-SUMIF(119:119,C41,120:120)+100</f>
        <v>100</v>
      </c>
      <c r="G41" s="600" t="s">
        <v>2906</v>
      </c>
      <c r="H41" s="415">
        <f>SUMIF(119:119,G41,120:120)-SUMIF(119:119,C41,120:120)+100</f>
        <v>100</v>
      </c>
      <c r="I41" s="600" t="s">
        <v>2906</v>
      </c>
      <c r="J41" s="415">
        <f>SUMIF(119:119,I41,120:120)-SUMIF(119:119,C41,120:120)+100</f>
        <v>100</v>
      </c>
      <c r="K41" s="596">
        <v>1</v>
      </c>
      <c r="L41" s="1252"/>
      <c r="M41" s="1243"/>
      <c r="N41" s="1243"/>
      <c r="O41" s="1243"/>
      <c r="P41" s="3024"/>
      <c r="Q41" s="2735" t="str">
        <f t="shared" si="11"/>
        <v>层高</v>
      </c>
      <c r="R41" s="752" t="s">
        <v>25</v>
      </c>
      <c r="S41" s="753">
        <f t="shared" si="12"/>
        <v>100</v>
      </c>
      <c r="T41" s="752" t="s">
        <v>25</v>
      </c>
      <c r="U41" s="753">
        <f t="shared" si="13"/>
        <v>100</v>
      </c>
      <c r="V41" s="752" t="s">
        <v>25</v>
      </c>
      <c r="W41" s="753">
        <f t="shared" si="14"/>
        <v>100</v>
      </c>
      <c r="X41" s="2736"/>
      <c r="Y41" s="3026"/>
      <c r="Z41" s="2737" t="str">
        <f t="shared" si="15"/>
        <v>层高</v>
      </c>
      <c r="AA41" s="2733">
        <f t="shared" si="3"/>
        <v>1</v>
      </c>
      <c r="AB41" s="2733">
        <f t="shared" si="4"/>
        <v>1</v>
      </c>
      <c r="AC41" s="2733">
        <f t="shared" si="5"/>
        <v>1</v>
      </c>
    </row>
    <row r="42" spans="1:29" s="452" customFormat="1" ht="15">
      <c r="A42" s="449"/>
      <c r="B42" s="2734" t="s">
        <v>2442</v>
      </c>
      <c r="C42" s="414" t="s">
        <v>2896</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4"/>
      <c r="Q42" s="754" t="str">
        <f t="shared" si="11"/>
        <v>单套建筑面积</v>
      </c>
      <c r="R42" s="755" t="s">
        <v>25</v>
      </c>
      <c r="S42" s="756">
        <f t="shared" si="12"/>
        <v>100</v>
      </c>
      <c r="T42" s="755" t="s">
        <v>25</v>
      </c>
      <c r="U42" s="756">
        <f t="shared" si="13"/>
        <v>100</v>
      </c>
      <c r="V42" s="755" t="s">
        <v>25</v>
      </c>
      <c r="W42" s="756">
        <f t="shared" si="14"/>
        <v>100</v>
      </c>
      <c r="X42" s="757"/>
      <c r="Y42" s="3026"/>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4"/>
      <c r="Q43" s="2735" t="str">
        <f t="shared" si="11"/>
        <v>内部装修</v>
      </c>
      <c r="R43" s="752" t="s">
        <v>25</v>
      </c>
      <c r="S43" s="753">
        <f t="shared" si="12"/>
        <v>100</v>
      </c>
      <c r="T43" s="752" t="s">
        <v>25</v>
      </c>
      <c r="U43" s="753">
        <f t="shared" si="13"/>
        <v>100</v>
      </c>
      <c r="V43" s="752" t="s">
        <v>25</v>
      </c>
      <c r="W43" s="753">
        <f t="shared" si="14"/>
        <v>100</v>
      </c>
      <c r="X43" s="2736"/>
      <c r="Y43" s="3026"/>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4"/>
      <c r="Q44" s="2735" t="str">
        <f t="shared" si="11"/>
        <v>内部装修维护情况</v>
      </c>
      <c r="R44" s="752" t="s">
        <v>25</v>
      </c>
      <c r="S44" s="753">
        <f t="shared" si="12"/>
        <v>100</v>
      </c>
      <c r="T44" s="752" t="s">
        <v>25</v>
      </c>
      <c r="U44" s="753">
        <f t="shared" si="13"/>
        <v>100</v>
      </c>
      <c r="V44" s="752" t="s">
        <v>25</v>
      </c>
      <c r="W44" s="753">
        <f t="shared" si="14"/>
        <v>100</v>
      </c>
      <c r="X44" s="2736"/>
      <c r="Y44" s="3026"/>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4"/>
      <c r="Q45" s="2731">
        <f t="shared" si="11"/>
        <v>0</v>
      </c>
      <c r="R45" s="748" t="s">
        <v>25</v>
      </c>
      <c r="S45" s="749">
        <f t="shared" si="12"/>
        <v>100</v>
      </c>
      <c r="T45" s="748" t="s">
        <v>25</v>
      </c>
      <c r="U45" s="749">
        <f t="shared" si="13"/>
        <v>100</v>
      </c>
      <c r="V45" s="748" t="s">
        <v>25</v>
      </c>
      <c r="W45" s="749">
        <f t="shared" si="14"/>
        <v>100</v>
      </c>
      <c r="X45" s="750"/>
      <c r="Y45" s="3026"/>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4"/>
      <c r="Q46" s="2735">
        <f t="shared" si="11"/>
        <v>0</v>
      </c>
      <c r="R46" s="752" t="s">
        <v>25</v>
      </c>
      <c r="S46" s="753">
        <f t="shared" si="12"/>
        <v>100</v>
      </c>
      <c r="T46" s="752" t="s">
        <v>25</v>
      </c>
      <c r="U46" s="753">
        <f t="shared" si="13"/>
        <v>100</v>
      </c>
      <c r="V46" s="752" t="s">
        <v>25</v>
      </c>
      <c r="W46" s="753">
        <f t="shared" si="14"/>
        <v>100</v>
      </c>
      <c r="X46" s="2736"/>
      <c r="Y46" s="3026"/>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5"/>
      <c r="Q47" s="2735">
        <f t="shared" si="11"/>
        <v>0</v>
      </c>
      <c r="R47" s="752" t="s">
        <v>25</v>
      </c>
      <c r="S47" s="753">
        <f t="shared" si="12"/>
        <v>100</v>
      </c>
      <c r="T47" s="752" t="s">
        <v>25</v>
      </c>
      <c r="U47" s="753">
        <f t="shared" si="13"/>
        <v>100</v>
      </c>
      <c r="V47" s="752" t="s">
        <v>25</v>
      </c>
      <c r="W47" s="753">
        <f t="shared" si="14"/>
        <v>100</v>
      </c>
      <c r="X47" s="2736"/>
      <c r="Y47" s="3027"/>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18" t="str">
        <f>A48</f>
        <v>成交单价（元/平方米）</v>
      </c>
      <c r="Q48" s="3019"/>
      <c r="R48" s="3020">
        <f>E48</f>
        <v>7.4</v>
      </c>
      <c r="S48" s="3020"/>
      <c r="T48" s="3020">
        <f>G48</f>
        <v>7.3</v>
      </c>
      <c r="U48" s="3020"/>
      <c r="V48" s="3020">
        <f>I48</f>
        <v>7.5</v>
      </c>
      <c r="W48" s="3020"/>
      <c r="X48" s="737"/>
      <c r="Y48" s="759"/>
      <c r="Z48" s="737"/>
      <c r="AA48" s="737"/>
      <c r="AB48" s="737"/>
      <c r="AC48" s="737"/>
    </row>
    <row r="49" spans="1:29" ht="15.75" thickBot="1">
      <c r="A49" s="467" t="s">
        <v>2338</v>
      </c>
      <c r="B49" s="468"/>
      <c r="C49" s="1507">
        <f>R50</f>
        <v>7.5</v>
      </c>
      <c r="D49" s="1508"/>
      <c r="E49" s="1509">
        <f>R49</f>
        <v>7.4</v>
      </c>
      <c r="F49" s="1509"/>
      <c r="G49" s="1507">
        <f>T49</f>
        <v>7.4</v>
      </c>
      <c r="H49" s="1508"/>
      <c r="I49" s="1509">
        <f>V49</f>
        <v>7.7</v>
      </c>
      <c r="J49" s="1508"/>
      <c r="K49" s="762"/>
      <c r="L49" s="1255"/>
      <c r="M49" s="1243"/>
      <c r="N49" s="1243"/>
      <c r="O49" s="1243"/>
      <c r="P49" s="3018" t="str">
        <f>A49</f>
        <v>比较价值（元/平方米）</v>
      </c>
      <c r="Q49" s="3019"/>
      <c r="R49" s="3020">
        <f>IF(E1="售价",ROUND(PRODUCT(R48,AA7:AA47),0),ROUND(PRODUCT(R48,AA7:AA47),1))</f>
        <v>7.4</v>
      </c>
      <c r="S49" s="3020"/>
      <c r="T49" s="3020">
        <f>IF(E1="售价",ROUND(PRODUCT(T48,AB7:AB47),0),ROUND(PRODUCT(T48,AB7:AB47),1))</f>
        <v>7.4</v>
      </c>
      <c r="U49" s="3020"/>
      <c r="V49" s="3020">
        <f>IF(E1="售价",ROUND(PRODUCT(V48,AC7:AC47),0),ROUND(PRODUCT(V48,AC7:AC47),1))</f>
        <v>7.7</v>
      </c>
      <c r="W49" s="3020"/>
      <c r="X49" s="737"/>
      <c r="Y49" s="737"/>
      <c r="Z49" s="737"/>
      <c r="AA49" s="737"/>
      <c r="AB49" s="737"/>
      <c r="AC49" s="737"/>
    </row>
    <row r="50" spans="1:29" ht="15.75" thickBot="1">
      <c r="A50" s="473" t="s">
        <v>2923</v>
      </c>
      <c r="B50" s="474"/>
      <c r="C50" s="1511">
        <f>R50</f>
        <v>7.5</v>
      </c>
      <c r="D50" s="1511"/>
      <c r="E50" s="1511"/>
      <c r="F50" s="1511"/>
      <c r="G50" s="1511"/>
      <c r="H50" s="1511"/>
      <c r="I50" s="1511"/>
      <c r="J50" s="1511"/>
      <c r="K50" s="763"/>
      <c r="L50" s="1255"/>
      <c r="M50" s="1243"/>
      <c r="N50" s="1243"/>
      <c r="O50" s="1243"/>
      <c r="P50" s="3021" t="str">
        <f>A50</f>
        <v>估价对象办公用房的比较价值（楼面单价，元/平方米）</v>
      </c>
      <c r="Q50" s="3018"/>
      <c r="R50" s="3022">
        <f>IF(E1="售价",ROUND(AVERAGE(R49:V49),0),ROUND(AVERAGE(R49:V49),1))</f>
        <v>7.5</v>
      </c>
      <c r="S50" s="3022"/>
      <c r="T50" s="3022"/>
      <c r="U50" s="3022"/>
      <c r="V50" s="3022"/>
      <c r="W50" s="3022"/>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0</v>
      </c>
      <c r="F53" s="481" t="str">
        <f>IF(OR(E53&gt;=0.3,E53&lt;=-0.3),"超过30%","")</f>
        <v/>
      </c>
      <c r="G53" s="480">
        <f>IF(G48&lt;G49,G49/G48-1,G48/G49-1)</f>
        <v>1.3698630136986356E-2</v>
      </c>
      <c r="H53" s="481" t="str">
        <f>IF(OR(G53&gt;=0.3,G53&lt;=-0.3),"超过30%","")</f>
        <v/>
      </c>
      <c r="I53" s="480">
        <f>IF(I48&lt;I49,I49/I48-1,I48/I49-1)</f>
        <v>2.6666666666666616E-2</v>
      </c>
      <c r="J53" s="481" t="str">
        <f>IF(OR(I53&gt;=0.3,I53&lt;=-0.3),"超过30%","")</f>
        <v/>
      </c>
      <c r="K53" s="1261"/>
      <c r="L53" s="1257"/>
      <c r="M53" s="1256"/>
      <c r="N53" s="1256"/>
      <c r="O53" s="1256"/>
    </row>
    <row r="54" spans="1:29" ht="13.5" customHeight="1">
      <c r="A54" s="1256"/>
      <c r="B54" s="1256"/>
      <c r="C54" s="478" t="s">
        <v>2341</v>
      </c>
      <c r="D54" s="482"/>
      <c r="E54" s="480">
        <f>IF(E49&lt;G49,G49/E49-1,E49/G49-1)</f>
        <v>0</v>
      </c>
      <c r="F54" s="481" t="str">
        <f>IF(OR(E54&gt;=0.2,E54&lt;=-0.2),"超过20%","")</f>
        <v/>
      </c>
      <c r="G54" s="480">
        <f>IF(G49&lt;I49,I49/G49-1,G49/I49-1)</f>
        <v>4.0540540540540571E-2</v>
      </c>
      <c r="H54" s="481" t="str">
        <f>IF(OR(G54&gt;=0.2,G54&lt;=-0.2),"超过20%","")</f>
        <v/>
      </c>
      <c r="I54" s="480">
        <f>IF(I49&lt;E49,E49/I49-1,I49/E49-1)</f>
        <v>4.0540540540540571E-2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2884</v>
      </c>
      <c r="D87" s="2770" t="s">
        <v>2885</v>
      </c>
      <c r="E87" s="2770" t="s">
        <v>2887</v>
      </c>
      <c r="F87" s="2770" t="s">
        <v>2888</v>
      </c>
      <c r="G87" s="2770" t="s">
        <v>2889</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2891</v>
      </c>
      <c r="D89" s="2770" t="s">
        <v>2893</v>
      </c>
      <c r="E89" s="2770" t="s">
        <v>2895</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2896</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2909</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2900</v>
      </c>
      <c r="D108" s="2770" t="s">
        <v>2901</v>
      </c>
      <c r="E108" s="2770" t="s">
        <v>2902</v>
      </c>
      <c r="F108" s="2771" t="s">
        <v>2903</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2905</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2911</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2912</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2907</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2896</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2896</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80" zoomScaleNormal="8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2874</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429</v>
      </c>
      <c r="C2" s="2334" t="str">
        <f>'数据-取费表'!B3</f>
        <v>万元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39966</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279206</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278839</v>
      </c>
      <c r="D6" s="80" t="s">
        <v>2758</v>
      </c>
      <c r="E6" s="319" t="s">
        <v>2063</v>
      </c>
      <c r="F6" s="320">
        <f>'数据-取费表'!B29</f>
        <v>7.5</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107.22</v>
      </c>
      <c r="G7" s="1237"/>
      <c r="H7" s="321"/>
      <c r="I7" s="322"/>
      <c r="J7" s="323"/>
      <c r="K7" s="324"/>
      <c r="L7" s="319" t="s">
        <v>2064</v>
      </c>
      <c r="M7" s="320">
        <f>IF('数据-取费表'!B41="",IF(D1="仅计算典型户型",'数据-取费表'!E5,'数据-取费表'!B5),'数据-取费表'!B41)</f>
        <v>107.22</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367</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456218</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375270</v>
      </c>
      <c r="D14" s="1887" t="s">
        <v>2082</v>
      </c>
      <c r="E14" s="1888"/>
      <c r="F14" s="978"/>
      <c r="G14" s="1238"/>
      <c r="H14" s="337" t="s">
        <v>2061</v>
      </c>
      <c r="I14" s="319" t="s">
        <v>2083</v>
      </c>
      <c r="J14" s="14">
        <f ca="1">C29</f>
        <v>570272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18764</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16459</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21444</v>
      </c>
      <c r="D17" s="319" t="s">
        <v>2096</v>
      </c>
      <c r="E17" s="319" t="s">
        <v>2097</v>
      </c>
      <c r="F17" s="16">
        <f>'数据-取费表'!E23</f>
        <v>200</v>
      </c>
      <c r="G17" s="1238"/>
      <c r="H17" s="337" t="s">
        <v>2098</v>
      </c>
      <c r="I17" s="319" t="s">
        <v>2099</v>
      </c>
      <c r="J17" s="14">
        <f ca="1">ROUND(IF(项目基本情况!B7="自然人",J5*M17,J18+J19+J20),0)</f>
        <v>5054</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5629</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421107</v>
      </c>
      <c r="D19" s="56" t="s">
        <v>2108</v>
      </c>
      <c r="E19" s="1897"/>
      <c r="F19" s="16"/>
      <c r="G19" s="1238"/>
      <c r="H19" s="337" t="s">
        <v>2084</v>
      </c>
      <c r="I19" s="319" t="s">
        <v>2109</v>
      </c>
      <c r="J19" s="14">
        <f ca="1">IF(项目基本情况!B7="自然人","——",IF(K19="按租金收入计税",ROUND(J5*M19,1),ROUND(C29*M19*0.7,1)))</f>
        <v>4790.3</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12633</v>
      </c>
      <c r="D20" s="344" t="s">
        <v>2112</v>
      </c>
      <c r="E20" s="319" t="s">
        <v>2113</v>
      </c>
      <c r="F20" s="342">
        <f>'数据-取费表'!E25</f>
        <v>0.03</v>
      </c>
      <c r="G20" s="1238"/>
      <c r="H20" s="337" t="s">
        <v>2090</v>
      </c>
      <c r="I20" s="80" t="s">
        <v>2114</v>
      </c>
      <c r="J20" s="15">
        <f>IF(项目基本情况!B7="自然人","——",ROUND(M20*M21,0))</f>
        <v>264</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11.01</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11405</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20603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-16459</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65061</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570272</v>
      </c>
      <c r="D29" s="1432"/>
      <c r="E29" s="1430"/>
      <c r="F29" s="1433"/>
      <c r="G29" s="790"/>
      <c r="H29" s="356" t="s">
        <v>24</v>
      </c>
      <c r="I29" s="357" t="s">
        <v>2157</v>
      </c>
      <c r="J29" s="358">
        <f ca="1">ROUND(J26/(1+F40)^F41,0)</f>
        <v>0</v>
      </c>
      <c r="K29" s="359" t="s">
        <v>2158</v>
      </c>
      <c r="L29" s="360"/>
      <c r="M29" s="361">
        <f>IF(D1="仅计算典型户型",'数据-取费表'!E5,'数据-取费表'!B5)</f>
        <v>107.22</v>
      </c>
    </row>
    <row r="30" spans="1:37" ht="18" customHeight="1" thickTop="1">
      <c r="A30" s="1419" t="s">
        <v>14</v>
      </c>
      <c r="B30" s="1420" t="s">
        <v>2159</v>
      </c>
      <c r="C30" s="327">
        <f ca="1">ROUND(C31+C36+C37+C38,0)</f>
        <v>37846</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19945.3</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14891</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4790.3</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264</v>
      </c>
      <c r="D34" s="346" t="s">
        <v>2115</v>
      </c>
      <c r="E34" s="319" t="s">
        <v>2116</v>
      </c>
      <c r="F34" s="347">
        <f>'数据-取费表'!E40</f>
        <v>24</v>
      </c>
      <c r="G34" s="790"/>
      <c r="H34" s="1217"/>
      <c r="I34" s="365" t="s">
        <v>2166</v>
      </c>
      <c r="J34" s="366">
        <f ca="1">ROUND(C13*J35,0)</f>
        <v>38779</v>
      </c>
      <c r="K34" s="1231"/>
      <c r="L34" s="1232"/>
      <c r="M34" s="1232"/>
    </row>
    <row r="35" spans="1:18" ht="24.6" customHeight="1">
      <c r="A35" s="1387"/>
      <c r="B35" s="328"/>
      <c r="C35" s="19"/>
      <c r="D35" s="349"/>
      <c r="E35" s="319" t="s">
        <v>2121</v>
      </c>
      <c r="F35" s="320">
        <f>IF(D1="仅计算典型户型",'数据-取费表'!E6,'数据-取费表'!B6)</f>
        <v>11.01</v>
      </c>
      <c r="G35" s="790"/>
      <c r="H35" s="1217"/>
      <c r="I35" s="367" t="s">
        <v>2167</v>
      </c>
      <c r="J35" s="368">
        <f>'数据-取费表'!B17</f>
        <v>8.5000000000000006E-2</v>
      </c>
      <c r="K35" s="1230"/>
      <c r="L35" s="1229"/>
      <c r="M35" s="1229"/>
    </row>
    <row r="36" spans="1:18" ht="18" customHeight="1">
      <c r="A36" s="1386" t="s">
        <v>2068</v>
      </c>
      <c r="B36" s="319" t="s">
        <v>2168</v>
      </c>
      <c r="C36" s="14">
        <f ca="1">ROUND(C29*F36,0)</f>
        <v>11405</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912</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5584</v>
      </c>
      <c r="D38" s="1432" t="s">
        <v>2134</v>
      </c>
      <c r="E38" s="1430" t="s">
        <v>2130</v>
      </c>
      <c r="F38" s="1425">
        <f>'数据-取费表'!B46</f>
        <v>0.02</v>
      </c>
      <c r="G38" s="790"/>
      <c r="H38" s="1229"/>
      <c r="I38" s="365" t="s">
        <v>2172</v>
      </c>
      <c r="J38" s="220">
        <f ca="1">ROUND(J34/C39,3)</f>
        <v>0.161</v>
      </c>
      <c r="K38" s="1234"/>
      <c r="L38" s="1229"/>
      <c r="M38" s="1229"/>
    </row>
    <row r="39" spans="1:18" ht="18" customHeight="1" thickTop="1">
      <c r="A39" s="1419" t="s">
        <v>22</v>
      </c>
      <c r="B39" s="1434" t="s">
        <v>2173</v>
      </c>
      <c r="C39" s="327">
        <f ca="1">C5-C30</f>
        <v>241360</v>
      </c>
      <c r="D39" s="1435" t="s">
        <v>2174</v>
      </c>
      <c r="E39" s="1436"/>
      <c r="F39" s="1437"/>
      <c r="G39" s="790"/>
      <c r="H39" s="1229"/>
      <c r="I39" s="365" t="s">
        <v>2175</v>
      </c>
      <c r="J39" s="220">
        <f ca="1">1-J38</f>
        <v>0.83899999999999997</v>
      </c>
      <c r="K39" s="1234"/>
      <c r="L39" s="1229"/>
      <c r="M39" s="1229"/>
    </row>
    <row r="40" spans="1:18" s="790" customFormat="1" ht="18" customHeight="1">
      <c r="A40" s="316" t="s">
        <v>23</v>
      </c>
      <c r="B40" s="317" t="s">
        <v>2176</v>
      </c>
      <c r="C40" s="318">
        <f ca="1">ROUND(C39*(1-((1+F42)/(1+F40))^F41)/(F40-F42),0)</f>
        <v>4285182</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26.24</v>
      </c>
      <c r="H41" s="1236"/>
      <c r="I41" s="219" t="s">
        <v>2049</v>
      </c>
      <c r="J41" s="220">
        <f ca="1">ROUND(C13/C40,3)</f>
        <v>0.106</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0.89400000000000002</v>
      </c>
      <c r="K42" s="1233"/>
      <c r="L42" s="1236"/>
      <c r="M42" s="1236"/>
      <c r="Q42" s="794"/>
    </row>
    <row r="43" spans="1:18" s="790" customFormat="1" ht="18" customHeight="1" thickBot="1">
      <c r="A43" s="356" t="s">
        <v>24</v>
      </c>
      <c r="B43" s="357" t="s">
        <v>2180</v>
      </c>
      <c r="C43" s="358">
        <f ca="1">ROUND(C40/F43,0)</f>
        <v>39966</v>
      </c>
      <c r="D43" s="359" t="s">
        <v>2181</v>
      </c>
      <c r="E43" s="360" t="s">
        <v>2182</v>
      </c>
      <c r="F43" s="361">
        <f>IF(D1="仅计算典型户型",'数据-取费表'!E5,'数据-取费表'!B5)</f>
        <v>107.22</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4285182</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万元</v>
      </c>
      <c r="E47" s="775"/>
      <c r="F47" s="775"/>
      <c r="I47" s="2344" t="s">
        <v>2193</v>
      </c>
      <c r="J47" s="1342"/>
      <c r="K47" s="1343"/>
      <c r="L47" s="1356" t="str">
        <f>IF(M48="住宅",0,IF(L49&gt;J52,L61,J61))</f>
        <v>0</v>
      </c>
      <c r="O47" s="1370" t="s">
        <v>960</v>
      </c>
      <c r="P47" s="1367" t="s">
        <v>2194</v>
      </c>
      <c r="Q47" s="1368">
        <f ca="1">C29</f>
        <v>570272</v>
      </c>
      <c r="R47" s="1369" t="s">
        <v>2189</v>
      </c>
    </row>
    <row r="48" spans="1:18" s="790" customFormat="1" ht="15.75" thickBot="1">
      <c r="A48" s="312" t="s">
        <v>2195</v>
      </c>
      <c r="B48" s="313" t="s">
        <v>2196</v>
      </c>
      <c r="C48" s="313" t="s">
        <v>2197</v>
      </c>
      <c r="D48" s="313" t="s">
        <v>2198</v>
      </c>
      <c r="E48" s="1296" t="s">
        <v>2199</v>
      </c>
      <c r="F48" s="1297"/>
      <c r="I48" s="2345" t="s">
        <v>2200</v>
      </c>
      <c r="J48" s="2346" t="s">
        <v>2897</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279206</v>
      </c>
      <c r="D49" s="1458"/>
      <c r="E49" s="101"/>
      <c r="F49" s="16"/>
      <c r="I49" s="2348" t="s">
        <v>2204</v>
      </c>
      <c r="J49" s="2349" t="s">
        <v>2926</v>
      </c>
      <c r="K49" s="2350" t="s">
        <v>2205</v>
      </c>
      <c r="L49" s="1127">
        <f>'数据-取费表'!B13</f>
        <v>26.24</v>
      </c>
      <c r="O49" s="1370" t="s">
        <v>962</v>
      </c>
      <c r="P49" s="1367" t="s">
        <v>2206</v>
      </c>
      <c r="Q49" s="1371">
        <f>J53</f>
        <v>8.5000000000000006E-2</v>
      </c>
      <c r="R49" s="1369"/>
    </row>
    <row r="50" spans="1:18" s="790" customFormat="1" ht="15.75" thickBot="1">
      <c r="A50" s="345" t="s">
        <v>2061</v>
      </c>
      <c r="B50" s="2022" t="s">
        <v>2207</v>
      </c>
      <c r="C50" s="318">
        <f>ROUND(F50*F52*F51*(1-F53),0)</f>
        <v>278839</v>
      </c>
      <c r="D50" s="93" t="s">
        <v>2761</v>
      </c>
      <c r="E50" s="2351" t="s">
        <v>2208</v>
      </c>
      <c r="F50" s="1298">
        <f>F6</f>
        <v>7.5</v>
      </c>
      <c r="I50" s="2348" t="s">
        <v>2209</v>
      </c>
      <c r="J50" s="1127">
        <f>'数据-取费表'!B26</f>
        <v>1994</v>
      </c>
      <c r="K50" s="2352" t="s">
        <v>2210</v>
      </c>
      <c r="L50" s="1345"/>
      <c r="O50" s="1370" t="s">
        <v>963</v>
      </c>
      <c r="P50" s="1367" t="s">
        <v>2211</v>
      </c>
      <c r="Q50" s="1368">
        <f>J54</f>
        <v>26.24</v>
      </c>
      <c r="R50" s="1369" t="s">
        <v>2212</v>
      </c>
    </row>
    <row r="51" spans="1:18" s="790" customFormat="1" ht="15.75" thickBot="1">
      <c r="A51" s="321"/>
      <c r="B51" s="322"/>
      <c r="C51" s="323"/>
      <c r="D51" s="324"/>
      <c r="E51" s="339" t="s">
        <v>2064</v>
      </c>
      <c r="F51" s="1295">
        <f>F7</f>
        <v>107.22</v>
      </c>
      <c r="I51" s="2348" t="s">
        <v>2213</v>
      </c>
      <c r="J51" s="1346">
        <f>SUMPRODUCT((I64:I66=J48)*(J63:L63=J49)*(J64:L66))</f>
        <v>60</v>
      </c>
      <c r="K51" s="2352" t="s">
        <v>2214</v>
      </c>
      <c r="L51" s="1345"/>
      <c r="O51" s="1366" t="s">
        <v>964</v>
      </c>
      <c r="P51" s="1367" t="str">
        <f>IF(C2="元","收益价值(元)","收益价值(万元)")</f>
        <v>收益价值(万元)</v>
      </c>
      <c r="Q51" s="1368">
        <f ca="1">ROUND(IF(C2="元",Q45+Q46,(Q45+Q46)/10000),0)</f>
        <v>429</v>
      </c>
      <c r="R51" s="1369" t="s">
        <v>965</v>
      </c>
    </row>
    <row r="52" spans="1:18" s="790" customFormat="1" ht="16.5" thickBot="1">
      <c r="A52" s="321"/>
      <c r="B52" s="322"/>
      <c r="C52" s="323"/>
      <c r="D52" s="324"/>
      <c r="E52" s="319" t="s">
        <v>2066</v>
      </c>
      <c r="F52" s="320">
        <f>F8</f>
        <v>365</v>
      </c>
      <c r="I52" s="2353" t="s">
        <v>2215</v>
      </c>
      <c r="J52" s="1347">
        <f>IF(J50="",J51,J50+J51-YEAR('数据-取费表'!B2))</f>
        <v>37</v>
      </c>
      <c r="K52" s="2354" t="s">
        <v>2216</v>
      </c>
      <c r="L52" s="1348">
        <f ca="1">ROUND(-PV('数据-取费表'!B15,L49,(C40-C13*J35)),0)</f>
        <v>72131100</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367</v>
      </c>
      <c r="D54" s="2337" t="s">
        <v>2759</v>
      </c>
      <c r="E54" s="330" t="s">
        <v>2070</v>
      </c>
      <c r="F54" s="2338" t="s">
        <v>2927</v>
      </c>
      <c r="I54" s="2356" t="s">
        <v>2220</v>
      </c>
      <c r="J54" s="1350">
        <f>IF(M48="住宅",J52,IF(E1="——",MIN(J52,L49),IF(E1="在建（套用方法）",MIN(J52,L49-'数据-取费表'!B25),IF(E1="土地（套用方法）",MIN(J52,L49-'数据-取费表'!B21)))))</f>
        <v>26.24</v>
      </c>
      <c r="K54" s="3061" t="s">
        <v>2757</v>
      </c>
      <c r="L54" s="3062"/>
      <c r="O54" s="1366" t="s">
        <v>958</v>
      </c>
      <c r="P54" s="1367" t="s">
        <v>2188</v>
      </c>
      <c r="Q54" s="1368">
        <f ca="1">C40+J29</f>
        <v>4285182</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456218</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570272</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37846</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19945.3</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429</v>
      </c>
      <c r="R60" s="1369" t="s">
        <v>965</v>
      </c>
    </row>
    <row r="61" spans="1:18" s="790" customFormat="1" ht="16.5" thickBot="1">
      <c r="A61" s="337" t="s">
        <v>16</v>
      </c>
      <c r="B61" s="319" t="s">
        <v>2163</v>
      </c>
      <c r="C61" s="14">
        <f ca="1">IF(项目基本情况!B7="自然人","——",ROUND(C49*F61/(1+'数据-取费表'!F30),0))</f>
        <v>14891</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4790.3</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264</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4285182</v>
      </c>
      <c r="R63" s="1369" t="s">
        <v>2189</v>
      </c>
    </row>
    <row r="64" spans="1:18" s="790" customFormat="1" ht="20.25" thickBot="1">
      <c r="A64" s="348"/>
      <c r="B64" s="328"/>
      <c r="C64" s="19"/>
      <c r="D64" s="349"/>
      <c r="E64" s="319" t="s">
        <v>2249</v>
      </c>
      <c r="F64" s="320">
        <f t="shared" si="0"/>
        <v>11.01</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11405</v>
      </c>
      <c r="D65" s="1892" t="s">
        <v>2169</v>
      </c>
      <c r="E65" s="319" t="s">
        <v>2113</v>
      </c>
      <c r="F65" s="350">
        <f t="shared" si="0"/>
        <v>0.02</v>
      </c>
      <c r="I65" s="2367" t="s">
        <v>2251</v>
      </c>
      <c r="J65" s="1873">
        <v>50</v>
      </c>
      <c r="K65" s="1873">
        <v>35</v>
      </c>
      <c r="L65" s="1873">
        <v>60</v>
      </c>
      <c r="M65" s="1872">
        <v>0</v>
      </c>
      <c r="O65" s="1370" t="s">
        <v>960</v>
      </c>
      <c r="P65" s="1367" t="s">
        <v>2225</v>
      </c>
      <c r="Q65" s="1372">
        <f ca="1">L52</f>
        <v>72131100</v>
      </c>
      <c r="R65" s="1373" t="s">
        <v>2252</v>
      </c>
    </row>
    <row r="66" spans="1:18" s="790" customFormat="1" ht="20.25" thickBot="1">
      <c r="A66" s="337" t="s">
        <v>20</v>
      </c>
      <c r="B66" s="319" t="s">
        <v>2128</v>
      </c>
      <c r="C66" s="14">
        <f ca="1">ROUND(C57*F66,0)</f>
        <v>912</v>
      </c>
      <c r="D66" s="1892" t="s">
        <v>2129</v>
      </c>
      <c r="E66" s="319" t="s">
        <v>2130</v>
      </c>
      <c r="F66" s="351">
        <f t="shared" si="0"/>
        <v>2E-3</v>
      </c>
      <c r="I66" s="2367" t="s">
        <v>2253</v>
      </c>
      <c r="J66" s="1873">
        <v>40</v>
      </c>
      <c r="K66" s="1873">
        <v>30</v>
      </c>
      <c r="L66" s="1873">
        <v>50</v>
      </c>
      <c r="M66" s="1871">
        <v>0.02</v>
      </c>
      <c r="O66" s="1370" t="s">
        <v>961</v>
      </c>
      <c r="P66" s="1374" t="s">
        <v>2254</v>
      </c>
      <c r="Q66" s="1368">
        <f ca="1">ROUND(Q67-Q68*Q69,0)</f>
        <v>202581</v>
      </c>
      <c r="R66" s="1369"/>
    </row>
    <row r="67" spans="1:18" s="790" customFormat="1" ht="15.75" thickBot="1">
      <c r="A67" s="337" t="s">
        <v>21</v>
      </c>
      <c r="B67" s="319" t="s">
        <v>2111</v>
      </c>
      <c r="C67" s="14">
        <f ca="1">ROUND(C49*F67,0)</f>
        <v>5584</v>
      </c>
      <c r="D67" s="1892" t="s">
        <v>2134</v>
      </c>
      <c r="E67" s="319" t="s">
        <v>2130</v>
      </c>
      <c r="F67" s="329">
        <f t="shared" si="0"/>
        <v>0.02</v>
      </c>
      <c r="O67" s="1370" t="s">
        <v>966</v>
      </c>
      <c r="P67" s="1374" t="s">
        <v>2255</v>
      </c>
      <c r="Q67" s="1368">
        <f ca="1">C39</f>
        <v>241360</v>
      </c>
      <c r="R67" s="1369" t="s">
        <v>2189</v>
      </c>
    </row>
    <row r="68" spans="1:18" ht="15.75" thickBot="1">
      <c r="A68" s="332" t="s">
        <v>22</v>
      </c>
      <c r="B68" s="89" t="s">
        <v>2138</v>
      </c>
      <c r="C68" s="334">
        <f ca="1">C49-C59</f>
        <v>241360</v>
      </c>
      <c r="D68" s="1887" t="s">
        <v>2139</v>
      </c>
      <c r="E68" s="1891"/>
      <c r="F68" s="353"/>
      <c r="H68" s="790"/>
      <c r="I68" s="790"/>
      <c r="J68" s="790"/>
      <c r="K68" s="790"/>
      <c r="L68" s="790"/>
      <c r="M68" s="790"/>
      <c r="O68" s="1370" t="s">
        <v>967</v>
      </c>
      <c r="P68" s="1374" t="s">
        <v>2256</v>
      </c>
      <c r="Q68" s="1368">
        <f ca="1">C13</f>
        <v>456218</v>
      </c>
      <c r="R68" s="1369" t="s">
        <v>2189</v>
      </c>
    </row>
    <row r="69" spans="1:18" ht="15.75" thickBot="1">
      <c r="A69" s="316" t="s">
        <v>23</v>
      </c>
      <c r="B69" s="317" t="s">
        <v>2176</v>
      </c>
      <c r="C69" s="318">
        <f ca="1">ROUND(C68*(1-((1+F71)/(1+F69))^F70)/(F69-F71),0)</f>
        <v>4285182</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26.24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39966</v>
      </c>
      <c r="D72" s="359" t="s">
        <v>2181</v>
      </c>
      <c r="E72" s="360" t="s">
        <v>2182</v>
      </c>
      <c r="F72" s="361">
        <f>F43</f>
        <v>107.22</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收益价值(万元)</v>
      </c>
      <c r="Q73" s="1368">
        <f ca="1">ROUND(IF(C2="元",Q63+Q64,(Q63+Q64)/10000),0)</f>
        <v>429</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79" t="s">
        <v>1025</v>
      </c>
      <c r="B1" s="3080"/>
      <c r="C1" s="3081"/>
      <c r="D1" s="3082">
        <f>SUM(I10,I15,I20,I21,I23)</f>
        <v>0</v>
      </c>
      <c r="E1" s="3082"/>
      <c r="F1" s="3082"/>
      <c r="G1" s="3082"/>
      <c r="H1" s="3082"/>
      <c r="I1" s="3083"/>
    </row>
    <row r="2" spans="1:9">
      <c r="A2" s="3069" t="s">
        <v>1026</v>
      </c>
      <c r="B2" s="3070" t="s">
        <v>975</v>
      </c>
      <c r="C2" s="3070"/>
      <c r="D2" s="1388" t="s">
        <v>976</v>
      </c>
      <c r="E2" s="1388" t="s">
        <v>977</v>
      </c>
      <c r="F2" s="1388" t="s">
        <v>978</v>
      </c>
      <c r="G2" s="1388" t="s">
        <v>979</v>
      </c>
      <c r="H2" s="1388" t="s">
        <v>980</v>
      </c>
      <c r="I2" s="1389" t="s">
        <v>981</v>
      </c>
    </row>
    <row r="3" spans="1:9">
      <c r="A3" s="3069"/>
      <c r="B3" s="3070" t="s">
        <v>982</v>
      </c>
      <c r="C3" s="3070"/>
      <c r="D3" s="1390"/>
      <c r="E3" s="1388"/>
      <c r="F3" s="1391"/>
      <c r="G3" s="1391"/>
      <c r="H3" s="1392"/>
      <c r="I3" s="1393">
        <f>ROUND(D3*E3*F3*G3*H3/10000,0)</f>
        <v>0</v>
      </c>
    </row>
    <row r="4" spans="1:9">
      <c r="A4" s="3069"/>
      <c r="B4" s="3070" t="s">
        <v>983</v>
      </c>
      <c r="C4" s="3070"/>
      <c r="D4" s="1390"/>
      <c r="E4" s="1388"/>
      <c r="F4" s="1391"/>
      <c r="G4" s="1391"/>
      <c r="H4" s="1392"/>
      <c r="I4" s="1393">
        <f t="shared" ref="I4:I9" si="0">ROUND(D4*E4*F4*G4*H4/10000,0)</f>
        <v>0</v>
      </c>
    </row>
    <row r="5" spans="1:9">
      <c r="A5" s="3069"/>
      <c r="B5" s="3070" t="s">
        <v>984</v>
      </c>
      <c r="C5" s="3070"/>
      <c r="D5" s="1390"/>
      <c r="E5" s="1388"/>
      <c r="F5" s="1391"/>
      <c r="G5" s="1391"/>
      <c r="H5" s="1392"/>
      <c r="I5" s="1393">
        <f t="shared" si="0"/>
        <v>0</v>
      </c>
    </row>
    <row r="6" spans="1:9">
      <c r="A6" s="3069"/>
      <c r="B6" s="3070" t="s">
        <v>985</v>
      </c>
      <c r="C6" s="3070"/>
      <c r="D6" s="1390"/>
      <c r="E6" s="1388"/>
      <c r="F6" s="1391"/>
      <c r="G6" s="1391"/>
      <c r="H6" s="1392"/>
      <c r="I6" s="1393">
        <f t="shared" si="0"/>
        <v>0</v>
      </c>
    </row>
    <row r="7" spans="1:9">
      <c r="A7" s="3069"/>
      <c r="B7" s="3070" t="s">
        <v>986</v>
      </c>
      <c r="C7" s="3070"/>
      <c r="D7" s="1390"/>
      <c r="E7" s="1388"/>
      <c r="F7" s="1391"/>
      <c r="G7" s="1391"/>
      <c r="H7" s="1392"/>
      <c r="I7" s="1393">
        <f t="shared" si="0"/>
        <v>0</v>
      </c>
    </row>
    <row r="8" spans="1:9">
      <c r="A8" s="3069"/>
      <c r="B8" s="3070" t="s">
        <v>987</v>
      </c>
      <c r="C8" s="3070"/>
      <c r="D8" s="1390"/>
      <c r="E8" s="1388"/>
      <c r="F8" s="1391"/>
      <c r="G8" s="1391"/>
      <c r="H8" s="1392"/>
      <c r="I8" s="1393">
        <f t="shared" si="0"/>
        <v>0</v>
      </c>
    </row>
    <row r="9" spans="1:9">
      <c r="A9" s="3069"/>
      <c r="B9" s="3070" t="s">
        <v>988</v>
      </c>
      <c r="C9" s="3070"/>
      <c r="D9" s="1390"/>
      <c r="E9" s="1388"/>
      <c r="F9" s="1391"/>
      <c r="G9" s="1391"/>
      <c r="H9" s="1392"/>
      <c r="I9" s="1393">
        <f t="shared" si="0"/>
        <v>0</v>
      </c>
    </row>
    <row r="10" spans="1:9">
      <c r="A10" s="3069"/>
      <c r="B10" s="3071" t="s">
        <v>989</v>
      </c>
      <c r="C10" s="3071"/>
      <c r="D10" s="1394">
        <v>527</v>
      </c>
      <c r="E10" s="1394" t="e">
        <f>ROUND(D1*10000/D10/H9,0)</f>
        <v>#DIV/0!</v>
      </c>
      <c r="F10" s="1395"/>
      <c r="G10" s="1395"/>
      <c r="H10" s="1396"/>
      <c r="I10" s="1397">
        <f>SUM(I3:I9)</f>
        <v>0</v>
      </c>
    </row>
    <row r="11" spans="1:9" ht="14.25">
      <c r="A11" s="3069" t="s">
        <v>1027</v>
      </c>
      <c r="B11" s="3070" t="s">
        <v>990</v>
      </c>
      <c r="C11" s="3070"/>
      <c r="D11" s="1390" t="s">
        <v>991</v>
      </c>
      <c r="E11" s="1390" t="s">
        <v>992</v>
      </c>
      <c r="F11" s="1391" t="s">
        <v>993</v>
      </c>
      <c r="G11" s="1391" t="s">
        <v>980</v>
      </c>
      <c r="H11" s="1398" t="s">
        <v>994</v>
      </c>
      <c r="I11" s="1389" t="s">
        <v>981</v>
      </c>
    </row>
    <row r="12" spans="1:9">
      <c r="A12" s="3069"/>
      <c r="B12" s="3070" t="s">
        <v>995</v>
      </c>
      <c r="C12" s="3070"/>
      <c r="D12" s="1390"/>
      <c r="E12" s="1390"/>
      <c r="F12" s="1391"/>
      <c r="G12" s="1392"/>
      <c r="H12" s="1399"/>
      <c r="I12" s="1389">
        <f>ROUND(D12*E12*F12*G12/10000,0)</f>
        <v>0</v>
      </c>
    </row>
    <row r="13" spans="1:9">
      <c r="A13" s="3069"/>
      <c r="B13" s="3070" t="s">
        <v>996</v>
      </c>
      <c r="C13" s="3070"/>
      <c r="D13" s="1390"/>
      <c r="E13" s="1390"/>
      <c r="F13" s="1391"/>
      <c r="G13" s="1392"/>
      <c r="H13" s="1399"/>
      <c r="I13" s="1389">
        <f>ROUND(D13*E13*F13*G13/10000,0)</f>
        <v>0</v>
      </c>
    </row>
    <row r="14" spans="1:9">
      <c r="A14" s="3069"/>
      <c r="B14" s="3070" t="s">
        <v>997</v>
      </c>
      <c r="C14" s="3070"/>
      <c r="D14" s="1390"/>
      <c r="E14" s="1390"/>
      <c r="F14" s="1391"/>
      <c r="G14" s="1392"/>
      <c r="H14" s="1399"/>
      <c r="I14" s="1389">
        <f>ROUND(D14*E14*F14*G14/10000,0)</f>
        <v>0</v>
      </c>
    </row>
    <row r="15" spans="1:9">
      <c r="A15" s="3069"/>
      <c r="B15" s="3071" t="s">
        <v>989</v>
      </c>
      <c r="C15" s="3071"/>
      <c r="D15" s="1394"/>
      <c r="E15" s="1394">
        <f>SUM(E12:E14)</f>
        <v>0</v>
      </c>
      <c r="F15" s="1395"/>
      <c r="G15" s="1392"/>
      <c r="H15" s="1399"/>
      <c r="I15" s="1400">
        <f>SUM(I12:I14)</f>
        <v>0</v>
      </c>
    </row>
    <row r="16" spans="1:9" ht="24">
      <c r="A16" s="3069" t="s">
        <v>1028</v>
      </c>
      <c r="B16" s="3070" t="s">
        <v>998</v>
      </c>
      <c r="C16" s="3070"/>
      <c r="D16" s="1390" t="s">
        <v>976</v>
      </c>
      <c r="E16" s="1401" t="s">
        <v>999</v>
      </c>
      <c r="F16" s="1391" t="s">
        <v>1000</v>
      </c>
      <c r="G16" s="1392" t="s">
        <v>980</v>
      </c>
      <c r="H16" s="1398" t="s">
        <v>994</v>
      </c>
      <c r="I16" s="1389" t="s">
        <v>981</v>
      </c>
    </row>
    <row r="17" spans="1:9" ht="14.25">
      <c r="A17" s="3069"/>
      <c r="B17" s="3070" t="s">
        <v>1001</v>
      </c>
      <c r="C17" s="3070"/>
      <c r="D17" s="1390"/>
      <c r="E17" s="1390"/>
      <c r="F17" s="1391"/>
      <c r="G17" s="1392"/>
      <c r="H17" s="1402"/>
      <c r="I17" s="1403">
        <f>ROUND(D17*E17*F17*G17/10000,0)</f>
        <v>0</v>
      </c>
    </row>
    <row r="18" spans="1:9" ht="14.25">
      <c r="A18" s="3069"/>
      <c r="B18" s="3070" t="s">
        <v>1002</v>
      </c>
      <c r="C18" s="3070"/>
      <c r="D18" s="1390"/>
      <c r="E18" s="1390"/>
      <c r="F18" s="1391"/>
      <c r="G18" s="1392"/>
      <c r="H18" s="1402"/>
      <c r="I18" s="1403">
        <f>ROUND(D18*E18*F18*G18/10000,0)</f>
        <v>0</v>
      </c>
    </row>
    <row r="19" spans="1:9" ht="14.25">
      <c r="A19" s="3069"/>
      <c r="B19" s="3070" t="s">
        <v>1003</v>
      </c>
      <c r="C19" s="3070"/>
      <c r="D19" s="1390"/>
      <c r="E19" s="1390"/>
      <c r="F19" s="1391"/>
      <c r="G19" s="1392"/>
      <c r="H19" s="1402"/>
      <c r="I19" s="1403">
        <f>ROUND(D19*E19*F19*G19/10000,0)</f>
        <v>0</v>
      </c>
    </row>
    <row r="20" spans="1:9">
      <c r="A20" s="3069"/>
      <c r="B20" s="3071" t="s">
        <v>989</v>
      </c>
      <c r="C20" s="3071"/>
      <c r="D20" s="1394">
        <f>SUM(D17:D19)</f>
        <v>0</v>
      </c>
      <c r="E20" s="1394"/>
      <c r="F20" s="1395"/>
      <c r="G20" s="1392"/>
      <c r="H20" s="1399"/>
      <c r="I20" s="1400">
        <f>SUM(I17:I19)</f>
        <v>0</v>
      </c>
    </row>
    <row r="21" spans="1:9">
      <c r="A21" s="3069" t="s">
        <v>1029</v>
      </c>
      <c r="B21" s="3072"/>
      <c r="C21" s="3072"/>
      <c r="D21" s="3072"/>
      <c r="E21" s="3072"/>
      <c r="F21" s="3072"/>
      <c r="G21" s="3072"/>
      <c r="H21" s="1404">
        <v>0.1</v>
      </c>
      <c r="I21" s="1397">
        <f>ROUND(I10*H21,0)</f>
        <v>0</v>
      </c>
    </row>
    <row r="22" spans="1:9" ht="14.25">
      <c r="A22" s="3073" t="s">
        <v>1030</v>
      </c>
      <c r="B22" s="3074"/>
      <c r="C22" s="3075"/>
      <c r="D22" s="1405" t="s">
        <v>1004</v>
      </c>
      <c r="E22" s="1405" t="s">
        <v>1005</v>
      </c>
      <c r="F22" s="1406" t="s">
        <v>980</v>
      </c>
      <c r="G22" s="1406" t="s">
        <v>1006</v>
      </c>
      <c r="H22" s="1398" t="s">
        <v>994</v>
      </c>
      <c r="I22" s="1389" t="s">
        <v>981</v>
      </c>
    </row>
    <row r="23" spans="1:9" ht="14.25" thickBot="1">
      <c r="A23" s="3076"/>
      <c r="B23" s="3077"/>
      <c r="C23" s="3078"/>
      <c r="D23" s="1407"/>
      <c r="E23" s="1407"/>
      <c r="F23" s="1407"/>
      <c r="G23" s="1408"/>
      <c r="H23" s="1409"/>
      <c r="I23" s="1410">
        <f>ROUND(E23*D23*F23*(1-G23)/10000,0)</f>
        <v>0</v>
      </c>
    </row>
    <row r="26" spans="1:9">
      <c r="A26" s="1411" t="s">
        <v>1007</v>
      </c>
      <c r="B26" s="1411"/>
      <c r="C26" s="1411"/>
      <c r="D26" s="1411"/>
      <c r="E26" s="3066">
        <f>C27-C30-C31-C32</f>
        <v>0</v>
      </c>
      <c r="F26" s="3066"/>
      <c r="G26" s="3066"/>
      <c r="H26" s="1828" t="s">
        <v>1220</v>
      </c>
    </row>
    <row r="27" spans="1:9">
      <c r="A27" s="1412">
        <v>1</v>
      </c>
      <c r="B27" s="1413" t="s">
        <v>1008</v>
      </c>
      <c r="C27" s="1413">
        <f>C28+C29</f>
        <v>0</v>
      </c>
      <c r="D27" s="1413"/>
      <c r="E27" s="3067"/>
      <c r="F27" s="3067"/>
      <c r="G27" s="3067"/>
    </row>
    <row r="28" spans="1:9">
      <c r="A28" s="1414" t="s">
        <v>1009</v>
      </c>
      <c r="B28" s="1413" t="s">
        <v>1010</v>
      </c>
      <c r="C28" s="1413"/>
      <c r="D28" s="1413"/>
      <c r="E28" s="3067"/>
      <c r="F28" s="3067"/>
      <c r="G28" s="306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68"/>
      <c r="F32" s="3068"/>
      <c r="G32" s="3068"/>
    </row>
    <row r="33" spans="1:7" hidden="1">
      <c r="A33" s="3063" t="s">
        <v>1019</v>
      </c>
      <c r="B33" s="3064"/>
      <c r="C33" s="3064"/>
      <c r="D33" s="3065"/>
      <c r="E33" s="3066"/>
      <c r="F33" s="3066"/>
      <c r="G33" s="3066"/>
    </row>
    <row r="34" spans="1:7" hidden="1">
      <c r="A34" s="1416">
        <v>1</v>
      </c>
      <c r="B34" s="1413" t="s">
        <v>1020</v>
      </c>
      <c r="C34" s="1413"/>
      <c r="D34" s="1413"/>
      <c r="E34" s="3067"/>
      <c r="F34" s="3067"/>
      <c r="G34" s="3067"/>
    </row>
    <row r="35" spans="1:7" hidden="1">
      <c r="A35" s="1416">
        <v>2</v>
      </c>
      <c r="B35" s="1413" t="s">
        <v>1021</v>
      </c>
      <c r="C35" s="1413"/>
      <c r="D35" s="1413"/>
      <c r="E35" s="3067"/>
      <c r="F35" s="3067"/>
      <c r="G35" s="3067"/>
    </row>
    <row r="36" spans="1:7" hidden="1">
      <c r="A36" s="1416">
        <v>3</v>
      </c>
      <c r="B36" s="1413" t="s">
        <v>1022</v>
      </c>
      <c r="C36" s="1413"/>
      <c r="D36" s="1413"/>
      <c r="E36" s="3067"/>
      <c r="F36" s="3067"/>
      <c r="G36" s="3067"/>
    </row>
    <row r="37" spans="1:7" hidden="1">
      <c r="A37" s="1416">
        <v>4</v>
      </c>
      <c r="B37" s="1413" t="s">
        <v>1023</v>
      </c>
      <c r="C37" s="1413"/>
      <c r="D37" s="1413"/>
      <c r="E37" s="3067"/>
      <c r="F37" s="3067"/>
      <c r="G37" s="3067"/>
    </row>
    <row r="38" spans="1:7" hidden="1">
      <c r="A38" s="3063" t="s">
        <v>1024</v>
      </c>
      <c r="B38" s="3064"/>
      <c r="C38" s="3064"/>
      <c r="D38" s="3065"/>
      <c r="E38" s="3066"/>
      <c r="F38" s="3066"/>
      <c r="G38" s="306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3" sqref="B23"/>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2259</v>
      </c>
      <c r="B2" s="334">
        <f ca="1">B23</f>
        <v>3424</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2260</v>
      </c>
      <c r="B3" s="334">
        <f ca="1">B24</f>
        <v>40207</v>
      </c>
      <c r="C3" s="1182" t="s">
        <v>2261</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2262</v>
      </c>
      <c r="C4" s="3087" t="s">
        <v>2263</v>
      </c>
      <c r="D4" s="3088"/>
      <c r="E4" s="3088"/>
      <c r="F4" s="3088"/>
      <c r="G4" s="3088"/>
      <c r="H4" s="3088"/>
      <c r="I4" s="3088"/>
      <c r="J4" s="3088"/>
      <c r="K4" s="3088"/>
      <c r="L4" s="3088"/>
      <c r="M4" s="3088"/>
      <c r="N4" s="3088"/>
      <c r="O4" s="3088"/>
      <c r="P4" s="3088"/>
      <c r="Q4" s="3088"/>
      <c r="R4" s="3088"/>
      <c r="S4" s="3089"/>
      <c r="T4" s="678" t="s">
        <v>2264</v>
      </c>
      <c r="U4" s="1311"/>
      <c r="V4" s="1311"/>
      <c r="X4" s="1311"/>
      <c r="Y4" s="1311"/>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2774" t="s">
        <v>2921</v>
      </c>
      <c r="C8" s="2775" t="s">
        <v>2928</v>
      </c>
      <c r="D8" s="2776" t="s">
        <v>2929</v>
      </c>
      <c r="E8" s="2776" t="s">
        <v>2930</v>
      </c>
      <c r="F8" s="1168"/>
      <c r="G8" s="1168"/>
      <c r="H8" s="1168"/>
      <c r="I8" s="1168"/>
      <c r="J8" s="1168"/>
      <c r="K8" s="1168"/>
      <c r="L8" s="1169"/>
      <c r="M8" s="1170"/>
      <c r="N8" s="1170"/>
      <c r="O8" s="1168"/>
      <c r="P8" s="1168"/>
      <c r="Q8" s="1168"/>
      <c r="R8" s="1168"/>
      <c r="S8" s="1200"/>
      <c r="T8" s="1171">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2274</v>
      </c>
      <c r="B23" s="308">
        <f ca="1">IF(F23="——",IF(C23="万元",T25,S25),IF(C23="万元",T25-H23,S25-H23))</f>
        <v>3424</v>
      </c>
      <c r="C23" s="2371" t="str">
        <f>'数据-取费表'!B3</f>
        <v>万元</v>
      </c>
      <c r="D23" s="84"/>
      <c r="E23" s="84"/>
      <c r="F23" s="2372" t="s">
        <v>1255</v>
      </c>
      <c r="G23" s="1879"/>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row>
    <row r="24" spans="1:45" ht="15.75">
      <c r="A24" s="2371" t="s">
        <v>2275</v>
      </c>
      <c r="B24" s="308">
        <f ca="1">R25</f>
        <v>40207</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851.59</v>
      </c>
      <c r="C25" s="3084" t="s">
        <v>45</v>
      </c>
      <c r="D25" s="3085"/>
      <c r="E25" s="3085"/>
      <c r="F25" s="3085"/>
      <c r="G25" s="3085"/>
      <c r="H25" s="3085"/>
      <c r="I25" s="3085"/>
      <c r="J25" s="3085"/>
      <c r="K25" s="3085"/>
      <c r="L25" s="3085"/>
      <c r="M25" s="3085"/>
      <c r="N25" s="3085"/>
      <c r="O25" s="3085"/>
      <c r="P25" s="3085"/>
      <c r="Q25" s="3086"/>
      <c r="R25" s="703">
        <f ca="1">IF(C23="万元",ROUND(T25*10000/B25,0),ROUND(S25/B25,0))</f>
        <v>40207</v>
      </c>
      <c r="S25" s="14">
        <f ca="1">SUM(S27:S10000)</f>
        <v>34226770</v>
      </c>
      <c r="T25" s="14">
        <f ca="1">SUM(T27:T10000)</f>
        <v>3424</v>
      </c>
      <c r="U25" s="19">
        <f ca="1">SUM(U27:U10000)</f>
        <v>28766375</v>
      </c>
      <c r="V25" s="19">
        <f ca="1">SUM(V27:V10000)</f>
        <v>2877</v>
      </c>
      <c r="W25" s="14"/>
      <c r="X25" s="19">
        <f ca="1">SUM(X27:X10000)</f>
        <v>5460396</v>
      </c>
      <c r="Y25" s="19">
        <f ca="1">SUM(Y27:Y10000)</f>
        <v>548</v>
      </c>
      <c r="Z25" s="2377">
        <f ca="1">收益法!J38</f>
        <v>0.161</v>
      </c>
      <c r="AA25" s="797">
        <v>7599</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801" t="s">
        <v>2939</v>
      </c>
      <c r="AB26" s="801"/>
      <c r="AC26" s="801"/>
      <c r="AD26" s="2786" t="s">
        <v>2940</v>
      </c>
      <c r="AE26" s="2786" t="s">
        <v>2943</v>
      </c>
      <c r="AF26" s="2786" t="s">
        <v>2941</v>
      </c>
      <c r="AG26" s="2786" t="s">
        <v>2942</v>
      </c>
      <c r="AH26" s="801"/>
      <c r="AI26" s="801"/>
      <c r="AJ26" s="801"/>
      <c r="AK26" s="801"/>
      <c r="AL26" s="801"/>
      <c r="AM26" s="801"/>
      <c r="AN26" s="801"/>
      <c r="AO26" s="801"/>
      <c r="AP26" s="801"/>
      <c r="AQ26" s="801"/>
      <c r="AR26" s="801"/>
    </row>
    <row r="27" spans="1:45" s="707" customFormat="1">
      <c r="A27" s="2785" t="s">
        <v>2777</v>
      </c>
      <c r="B27" s="705">
        <f>'数据-取费表'!E5</f>
        <v>107.22</v>
      </c>
      <c r="C27" s="705">
        <v>1</v>
      </c>
      <c r="D27" s="706" t="s">
        <v>2892</v>
      </c>
      <c r="E27" s="705">
        <v>1</v>
      </c>
      <c r="F27" s="706"/>
      <c r="G27" s="705">
        <v>1</v>
      </c>
      <c r="H27" s="706"/>
      <c r="I27" s="705">
        <v>1</v>
      </c>
      <c r="J27" s="706"/>
      <c r="K27" s="705">
        <v>1</v>
      </c>
      <c r="L27" s="706"/>
      <c r="M27" s="705">
        <v>1</v>
      </c>
      <c r="N27" s="706"/>
      <c r="O27" s="705">
        <v>1</v>
      </c>
      <c r="P27" s="706"/>
      <c r="Q27" s="705">
        <v>1</v>
      </c>
      <c r="R27" s="1191">
        <f ca="1">'结果表 (1修多)'!G20</f>
        <v>39809</v>
      </c>
      <c r="S27" s="705">
        <f ca="1">ROUND(R27*B27,0)</f>
        <v>4268321</v>
      </c>
      <c r="T27" s="705">
        <f ca="1">ROUND(R27*B27/10000,0)</f>
        <v>427</v>
      </c>
      <c r="U27" s="2783">
        <f ca="1">ROUND(W27*B27,0)</f>
        <v>3580826</v>
      </c>
      <c r="V27" s="1313">
        <f ca="1">ROUND(W27*B27/10000,0)</f>
        <v>358</v>
      </c>
      <c r="W27" s="1309">
        <f ca="1">R27-Z27</f>
        <v>33397</v>
      </c>
      <c r="X27" s="1313">
        <f ca="1">ROUND(Z27*B27,0)</f>
        <v>687495</v>
      </c>
      <c r="Y27" s="1313">
        <f ca="1">ROUND(Z27*B27/10000,0)</f>
        <v>69</v>
      </c>
      <c r="Z27" s="1309">
        <f t="shared" ref="Z27" ca="1" si="14">ROUND(T27*$Z$25/B27*10000,0)</f>
        <v>6412</v>
      </c>
      <c r="AA27" s="802">
        <v>427</v>
      </c>
      <c r="AB27" s="802"/>
      <c r="AC27" s="802"/>
      <c r="AD27" s="2787">
        <f ca="1">ROUND(T27*$Z$25,0)</f>
        <v>69</v>
      </c>
      <c r="AE27" s="802">
        <f ca="1">ROUND(AD27/B27*10000,0)</f>
        <v>6435</v>
      </c>
      <c r="AF27" s="802">
        <f ca="1">T27-AD27</f>
        <v>358</v>
      </c>
      <c r="AG27" s="802">
        <f ca="1">ROUND(AF27/B27*10000,0)</f>
        <v>33389</v>
      </c>
      <c r="AH27" s="802"/>
      <c r="AI27" s="802"/>
      <c r="AJ27" s="802"/>
      <c r="AK27" s="802"/>
      <c r="AL27" s="802"/>
      <c r="AM27" s="802"/>
      <c r="AN27" s="802"/>
      <c r="AO27" s="802"/>
      <c r="AP27" s="802"/>
      <c r="AQ27" s="802"/>
      <c r="AR27" s="802"/>
    </row>
    <row r="28" spans="1:45">
      <c r="A28" s="2007" t="s">
        <v>2778</v>
      </c>
      <c r="B28" s="24">
        <v>106.15</v>
      </c>
      <c r="C28" s="14">
        <f t="shared" ref="C28:C91" si="15">IF(B28="",1,(LOOKUP(B28,$6:$6,$7:$7)-LOOKUP($B$27,$6:$6,$7:$7)+100)/100)</f>
        <v>1</v>
      </c>
      <c r="D28" s="706" t="s">
        <v>2892</v>
      </c>
      <c r="E28" s="14">
        <f t="shared" ref="E28:E91" si="16">(SUMIF($8:$8,D28,$9:$9)-SUMIF($8:$8,$D$27,$9:$9)+100)/100</f>
        <v>1</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 ca="1">IF(B28="",0,ROUND($R$27*C28*E28*G28*I28*K28*M28*O28*Q28,0))</f>
        <v>39809</v>
      </c>
      <c r="S28" s="334">
        <f ca="1">ROUND(R28*B28,0)</f>
        <v>4225725</v>
      </c>
      <c r="T28" s="1181">
        <f ca="1">ROUND(R28*B28/10000,0)</f>
        <v>423</v>
      </c>
      <c r="U28" s="2783">
        <f t="shared" ref="U28:U91" ca="1" si="23">ROUND(W28*B28,0)</f>
        <v>3545092</v>
      </c>
      <c r="V28" s="2783">
        <f t="shared" ref="V28:V91" ca="1" si="24">ROUND(W28*B28/10000,0)</f>
        <v>355</v>
      </c>
      <c r="W28" s="2784">
        <f t="shared" ref="W28:W46" ca="1" si="25">R28-Z28</f>
        <v>33397</v>
      </c>
      <c r="X28" s="2783">
        <f t="shared" ref="X28:X91" ca="1" si="26">ROUND(Z28*B28,0)</f>
        <v>680634</v>
      </c>
      <c r="Y28" s="2783">
        <f t="shared" ref="Y28:Y91" ca="1" si="27">ROUND(Z28*B28/10000,0)</f>
        <v>68</v>
      </c>
      <c r="Z28" s="1309">
        <f t="shared" ref="Z28:Z36" ca="1" si="28">$Z$27</f>
        <v>6412</v>
      </c>
      <c r="AA28" s="797">
        <v>423</v>
      </c>
      <c r="AD28" s="2787">
        <f t="shared" ref="AD28:AD46" ca="1" si="29">ROUND(T28*$Z$25,0)</f>
        <v>68</v>
      </c>
      <c r="AE28" s="802">
        <f ca="1">$AE$27</f>
        <v>6435</v>
      </c>
      <c r="AF28" s="802">
        <f t="shared" ref="AF28:AF46" ca="1" si="30">T28-AD28</f>
        <v>355</v>
      </c>
      <c r="AG28" s="802">
        <f t="shared" ref="AG28:AG46" ca="1" si="31">ROUND(AF28/B28*10000,0)</f>
        <v>33443</v>
      </c>
    </row>
    <row r="29" spans="1:45">
      <c r="A29" s="2007" t="s">
        <v>2779</v>
      </c>
      <c r="B29" s="24">
        <v>107.22</v>
      </c>
      <c r="C29" s="14">
        <f t="shared" si="15"/>
        <v>1</v>
      </c>
      <c r="D29" s="706" t="s">
        <v>2892</v>
      </c>
      <c r="E29" s="14">
        <f t="shared" si="16"/>
        <v>1</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ca="1" si="32">IF(B29="",0,ROUND($R$27*C29*E29*G29*I29*K29*M29*O29*Q29,0))</f>
        <v>39809</v>
      </c>
      <c r="S29" s="334">
        <f t="shared" ref="S29:S92" ca="1" si="33">ROUND(R29*B29,0)</f>
        <v>4268321</v>
      </c>
      <c r="T29" s="1181">
        <f t="shared" ref="T29:T92" ca="1" si="34">ROUND(R29*B29/10000,0)</f>
        <v>427</v>
      </c>
      <c r="U29" s="2783">
        <f t="shared" ca="1" si="23"/>
        <v>3580826</v>
      </c>
      <c r="V29" s="1313">
        <f t="shared" ca="1" si="24"/>
        <v>358</v>
      </c>
      <c r="W29" s="1309">
        <f t="shared" ca="1" si="25"/>
        <v>33397</v>
      </c>
      <c r="X29" s="1313">
        <f t="shared" ca="1" si="26"/>
        <v>687495</v>
      </c>
      <c r="Y29" s="1313">
        <f t="shared" ca="1" si="27"/>
        <v>69</v>
      </c>
      <c r="Z29" s="1309">
        <f t="shared" ca="1" si="28"/>
        <v>6412</v>
      </c>
      <c r="AA29" s="797">
        <v>427</v>
      </c>
      <c r="AD29" s="2787">
        <f t="shared" ca="1" si="29"/>
        <v>69</v>
      </c>
      <c r="AE29" s="802">
        <f t="shared" ref="AE29:AE46" ca="1" si="35">$AE$27</f>
        <v>6435</v>
      </c>
      <c r="AF29" s="802">
        <f t="shared" ca="1" si="30"/>
        <v>358</v>
      </c>
      <c r="AG29" s="802">
        <f t="shared" ca="1" si="31"/>
        <v>33389</v>
      </c>
    </row>
    <row r="30" spans="1:45">
      <c r="A30" s="2007" t="s">
        <v>2780</v>
      </c>
      <c r="B30" s="24">
        <v>83.75</v>
      </c>
      <c r="C30" s="14">
        <f t="shared" si="15"/>
        <v>1.01</v>
      </c>
      <c r="D30" s="706" t="s">
        <v>2892</v>
      </c>
      <c r="E30" s="14">
        <f t="shared" si="16"/>
        <v>1</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ca="1" si="32"/>
        <v>40207</v>
      </c>
      <c r="S30" s="334">
        <f t="shared" ca="1" si="33"/>
        <v>3367336</v>
      </c>
      <c r="T30" s="1181">
        <f t="shared" ca="1" si="34"/>
        <v>337</v>
      </c>
      <c r="U30" s="2783">
        <f t="shared" ca="1" si="23"/>
        <v>2830331</v>
      </c>
      <c r="V30" s="2783">
        <f t="shared" ca="1" si="24"/>
        <v>283</v>
      </c>
      <c r="W30" s="2784">
        <f t="shared" ca="1" si="25"/>
        <v>33795</v>
      </c>
      <c r="X30" s="2783">
        <f t="shared" ca="1" si="26"/>
        <v>537005</v>
      </c>
      <c r="Y30" s="2783">
        <f t="shared" ca="1" si="27"/>
        <v>54</v>
      </c>
      <c r="Z30" s="1309">
        <f t="shared" ca="1" si="28"/>
        <v>6412</v>
      </c>
      <c r="AA30" s="797">
        <v>337</v>
      </c>
      <c r="AD30" s="2787">
        <f t="shared" ca="1" si="29"/>
        <v>54</v>
      </c>
      <c r="AE30" s="802">
        <f t="shared" ca="1" si="35"/>
        <v>6435</v>
      </c>
      <c r="AF30" s="802">
        <f t="shared" ca="1" si="30"/>
        <v>283</v>
      </c>
      <c r="AG30" s="802">
        <f t="shared" ca="1" si="31"/>
        <v>33791</v>
      </c>
    </row>
    <row r="31" spans="1:45">
      <c r="A31" s="2007" t="s">
        <v>2781</v>
      </c>
      <c r="B31" s="24">
        <v>83.75</v>
      </c>
      <c r="C31" s="14">
        <f t="shared" si="15"/>
        <v>1.01</v>
      </c>
      <c r="D31" s="706" t="s">
        <v>2892</v>
      </c>
      <c r="E31" s="14">
        <f t="shared" si="16"/>
        <v>1</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ca="1" si="32"/>
        <v>40207</v>
      </c>
      <c r="S31" s="334">
        <f t="shared" ca="1" si="33"/>
        <v>3367336</v>
      </c>
      <c r="T31" s="1181">
        <f t="shared" ca="1" si="34"/>
        <v>337</v>
      </c>
      <c r="U31" s="2783">
        <f t="shared" ca="1" si="23"/>
        <v>2830331</v>
      </c>
      <c r="V31" s="2783">
        <f t="shared" ca="1" si="24"/>
        <v>283</v>
      </c>
      <c r="W31" s="2784">
        <f t="shared" ca="1" si="25"/>
        <v>33795</v>
      </c>
      <c r="X31" s="2783">
        <f t="shared" ca="1" si="26"/>
        <v>537005</v>
      </c>
      <c r="Y31" s="2783">
        <f t="shared" ca="1" si="27"/>
        <v>54</v>
      </c>
      <c r="Z31" s="1309">
        <f t="shared" ca="1" si="28"/>
        <v>6412</v>
      </c>
      <c r="AA31" s="797">
        <v>337</v>
      </c>
      <c r="AD31" s="2787">
        <f t="shared" ca="1" si="29"/>
        <v>54</v>
      </c>
      <c r="AE31" s="802">
        <f t="shared" ca="1" si="35"/>
        <v>6435</v>
      </c>
      <c r="AF31" s="802">
        <f t="shared" ca="1" si="30"/>
        <v>283</v>
      </c>
      <c r="AG31" s="802">
        <f t="shared" ca="1" si="31"/>
        <v>33791</v>
      </c>
    </row>
    <row r="32" spans="1:45">
      <c r="A32" s="2007" t="s">
        <v>2782</v>
      </c>
      <c r="B32" s="24">
        <v>83.75</v>
      </c>
      <c r="C32" s="14">
        <f t="shared" si="15"/>
        <v>1.01</v>
      </c>
      <c r="D32" s="706" t="s">
        <v>2892</v>
      </c>
      <c r="E32" s="14">
        <f t="shared" si="16"/>
        <v>1</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ca="1" si="32"/>
        <v>40207</v>
      </c>
      <c r="S32" s="334">
        <f t="shared" ca="1" si="33"/>
        <v>3367336</v>
      </c>
      <c r="T32" s="1181">
        <f t="shared" ca="1" si="34"/>
        <v>337</v>
      </c>
      <c r="U32" s="2783">
        <f t="shared" ca="1" si="23"/>
        <v>2830331</v>
      </c>
      <c r="V32" s="2783">
        <f t="shared" ca="1" si="24"/>
        <v>283</v>
      </c>
      <c r="W32" s="2784">
        <f t="shared" ca="1" si="25"/>
        <v>33795</v>
      </c>
      <c r="X32" s="2783">
        <f t="shared" ca="1" si="26"/>
        <v>537005</v>
      </c>
      <c r="Y32" s="2783">
        <f t="shared" ca="1" si="27"/>
        <v>54</v>
      </c>
      <c r="Z32" s="1309">
        <f t="shared" ca="1" si="28"/>
        <v>6412</v>
      </c>
      <c r="AA32" s="797">
        <v>337</v>
      </c>
      <c r="AD32" s="2787">
        <f t="shared" ca="1" si="29"/>
        <v>54</v>
      </c>
      <c r="AE32" s="802">
        <f t="shared" ca="1" si="35"/>
        <v>6435</v>
      </c>
      <c r="AF32" s="802">
        <f t="shared" ca="1" si="30"/>
        <v>283</v>
      </c>
      <c r="AG32" s="802">
        <f t="shared" ca="1" si="31"/>
        <v>33791</v>
      </c>
    </row>
    <row r="33" spans="1:33">
      <c r="A33" s="2007" t="s">
        <v>2783</v>
      </c>
      <c r="B33" s="24">
        <v>83.75</v>
      </c>
      <c r="C33" s="14">
        <f t="shared" si="15"/>
        <v>1.01</v>
      </c>
      <c r="D33" s="706" t="s">
        <v>2892</v>
      </c>
      <c r="E33" s="14">
        <f t="shared" si="16"/>
        <v>1</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ca="1" si="32"/>
        <v>40207</v>
      </c>
      <c r="S33" s="334">
        <f t="shared" ca="1" si="33"/>
        <v>3367336</v>
      </c>
      <c r="T33" s="1181">
        <f t="shared" ca="1" si="34"/>
        <v>337</v>
      </c>
      <c r="U33" s="2783">
        <f t="shared" ca="1" si="23"/>
        <v>2830331</v>
      </c>
      <c r="V33" s="2783">
        <f t="shared" ca="1" si="24"/>
        <v>283</v>
      </c>
      <c r="W33" s="2784">
        <f t="shared" ca="1" si="25"/>
        <v>33795</v>
      </c>
      <c r="X33" s="2783">
        <f t="shared" ca="1" si="26"/>
        <v>537005</v>
      </c>
      <c r="Y33" s="2783">
        <f t="shared" ca="1" si="27"/>
        <v>54</v>
      </c>
      <c r="Z33" s="1309">
        <f t="shared" ca="1" si="28"/>
        <v>6412</v>
      </c>
      <c r="AA33" s="797">
        <v>337</v>
      </c>
      <c r="AD33" s="2787">
        <f t="shared" ca="1" si="29"/>
        <v>54</v>
      </c>
      <c r="AE33" s="802">
        <f t="shared" ca="1" si="35"/>
        <v>6435</v>
      </c>
      <c r="AF33" s="802">
        <f t="shared" ca="1" si="30"/>
        <v>283</v>
      </c>
      <c r="AG33" s="802">
        <f t="shared" ca="1" si="31"/>
        <v>33791</v>
      </c>
    </row>
    <row r="34" spans="1:33">
      <c r="A34" s="24"/>
      <c r="B34" s="24"/>
      <c r="C34" s="14">
        <f t="shared" si="15"/>
        <v>1</v>
      </c>
      <c r="D34" s="2777" t="s">
        <v>2928</v>
      </c>
      <c r="E34" s="14">
        <f t="shared" si="16"/>
        <v>1.02</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si="32"/>
        <v>0</v>
      </c>
      <c r="S34" s="334">
        <f t="shared" si="33"/>
        <v>0</v>
      </c>
      <c r="T34" s="1181">
        <f t="shared" si="34"/>
        <v>0</v>
      </c>
      <c r="U34" s="1313">
        <f t="shared" ca="1" si="23"/>
        <v>0</v>
      </c>
      <c r="V34" s="1313">
        <f t="shared" ca="1" si="24"/>
        <v>0</v>
      </c>
      <c r="W34" s="1309">
        <f t="shared" ca="1" si="25"/>
        <v>-6412</v>
      </c>
      <c r="X34" s="1313">
        <f t="shared" ca="1" si="26"/>
        <v>0</v>
      </c>
      <c r="Y34" s="1313">
        <f t="shared" ca="1" si="27"/>
        <v>0</v>
      </c>
      <c r="Z34" s="1309">
        <f t="shared" ca="1" si="28"/>
        <v>6412</v>
      </c>
      <c r="AA34" s="797">
        <v>343</v>
      </c>
      <c r="AD34" s="802">
        <f t="shared" ca="1" si="29"/>
        <v>0</v>
      </c>
      <c r="AE34" s="802">
        <f t="shared" ca="1" si="35"/>
        <v>6435</v>
      </c>
      <c r="AF34" s="802">
        <f t="shared" ca="1" si="30"/>
        <v>0</v>
      </c>
      <c r="AG34" s="802" t="e">
        <f t="shared" ca="1" si="31"/>
        <v>#DIV/0!</v>
      </c>
    </row>
    <row r="35" spans="1:33">
      <c r="A35" s="24"/>
      <c r="B35" s="24"/>
      <c r="C35" s="14">
        <f t="shared" si="15"/>
        <v>1</v>
      </c>
      <c r="D35" s="2777" t="s">
        <v>2928</v>
      </c>
      <c r="E35" s="14">
        <f t="shared" si="16"/>
        <v>1.02</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si="32"/>
        <v>0</v>
      </c>
      <c r="S35" s="334">
        <f t="shared" si="33"/>
        <v>0</v>
      </c>
      <c r="T35" s="1181">
        <f t="shared" si="34"/>
        <v>0</v>
      </c>
      <c r="U35" s="1313">
        <f t="shared" ca="1" si="23"/>
        <v>0</v>
      </c>
      <c r="V35" s="1313">
        <f t="shared" ca="1" si="24"/>
        <v>0</v>
      </c>
      <c r="W35" s="1309">
        <f t="shared" ca="1" si="25"/>
        <v>-6412</v>
      </c>
      <c r="X35" s="1313">
        <f t="shared" ca="1" si="26"/>
        <v>0</v>
      </c>
      <c r="Y35" s="1313">
        <f t="shared" ca="1" si="27"/>
        <v>0</v>
      </c>
      <c r="Z35" s="1309">
        <f t="shared" ca="1" si="28"/>
        <v>6412</v>
      </c>
      <c r="AA35" s="797">
        <v>368</v>
      </c>
      <c r="AD35" s="802">
        <f t="shared" ca="1" si="29"/>
        <v>0</v>
      </c>
      <c r="AE35" s="802">
        <f t="shared" ca="1" si="35"/>
        <v>6435</v>
      </c>
      <c r="AF35" s="802">
        <f t="shared" ca="1" si="30"/>
        <v>0</v>
      </c>
      <c r="AG35" s="802" t="e">
        <f t="shared" ca="1" si="31"/>
        <v>#DIV/0!</v>
      </c>
    </row>
    <row r="36" spans="1:33">
      <c r="A36" s="24"/>
      <c r="B36" s="24"/>
      <c r="C36" s="14">
        <f t="shared" si="15"/>
        <v>1</v>
      </c>
      <c r="D36" s="2777" t="s">
        <v>2928</v>
      </c>
      <c r="E36" s="14">
        <f t="shared" si="16"/>
        <v>1.02</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si="32"/>
        <v>0</v>
      </c>
      <c r="S36" s="334">
        <f t="shared" si="33"/>
        <v>0</v>
      </c>
      <c r="T36" s="1181">
        <f t="shared" si="34"/>
        <v>0</v>
      </c>
      <c r="U36" s="1313">
        <f t="shared" ca="1" si="23"/>
        <v>0</v>
      </c>
      <c r="V36" s="1313">
        <f t="shared" ca="1" si="24"/>
        <v>0</v>
      </c>
      <c r="W36" s="1309">
        <f t="shared" ca="1" si="25"/>
        <v>-6412</v>
      </c>
      <c r="X36" s="1313">
        <f t="shared" ca="1" si="26"/>
        <v>0</v>
      </c>
      <c r="Y36" s="1313">
        <f t="shared" ca="1" si="27"/>
        <v>0</v>
      </c>
      <c r="Z36" s="1309">
        <f t="shared" ca="1" si="28"/>
        <v>6412</v>
      </c>
      <c r="AA36" s="797">
        <v>343</v>
      </c>
      <c r="AD36" s="802">
        <f t="shared" ca="1" si="29"/>
        <v>0</v>
      </c>
      <c r="AE36" s="802">
        <f t="shared" ca="1" si="35"/>
        <v>6435</v>
      </c>
      <c r="AF36" s="802">
        <f t="shared" ca="1" si="30"/>
        <v>0</v>
      </c>
      <c r="AG36" s="802" t="e">
        <f t="shared" ca="1" si="31"/>
        <v>#DIV/0!</v>
      </c>
    </row>
    <row r="37" spans="1:33">
      <c r="A37" s="24"/>
      <c r="B37" s="24"/>
      <c r="C37" s="14">
        <f t="shared" si="15"/>
        <v>1</v>
      </c>
      <c r="D37" s="2777" t="s">
        <v>2928</v>
      </c>
      <c r="E37" s="14">
        <f t="shared" si="16"/>
        <v>1.02</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si="32"/>
        <v>0</v>
      </c>
      <c r="S37" s="334">
        <f t="shared" si="33"/>
        <v>0</v>
      </c>
      <c r="T37" s="1181">
        <f t="shared" si="34"/>
        <v>0</v>
      </c>
      <c r="U37" s="1313">
        <f t="shared" ca="1" si="23"/>
        <v>0</v>
      </c>
      <c r="V37" s="1313">
        <f t="shared" ca="1" si="24"/>
        <v>0</v>
      </c>
      <c r="W37" s="1309">
        <f t="shared" ca="1" si="25"/>
        <v>-6412</v>
      </c>
      <c r="X37" s="1313">
        <f t="shared" ca="1" si="26"/>
        <v>0</v>
      </c>
      <c r="Y37" s="1313">
        <f t="shared" ca="1" si="27"/>
        <v>0</v>
      </c>
      <c r="Z37" s="1309">
        <f ca="1">$Z$27</f>
        <v>6412</v>
      </c>
      <c r="AA37" s="797">
        <v>368</v>
      </c>
      <c r="AD37" s="802">
        <f t="shared" ca="1" si="29"/>
        <v>0</v>
      </c>
      <c r="AE37" s="802">
        <f t="shared" ca="1" si="35"/>
        <v>6435</v>
      </c>
      <c r="AF37" s="802">
        <f t="shared" ca="1" si="30"/>
        <v>0</v>
      </c>
      <c r="AG37" s="802" t="e">
        <f t="shared" ca="1" si="31"/>
        <v>#DIV/0!</v>
      </c>
    </row>
    <row r="38" spans="1:33">
      <c r="A38" s="24"/>
      <c r="B38" s="24"/>
      <c r="C38" s="14">
        <f t="shared" si="15"/>
        <v>1</v>
      </c>
      <c r="D38" s="2777" t="s">
        <v>2928</v>
      </c>
      <c r="E38" s="14">
        <f t="shared" si="16"/>
        <v>1.02</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si="32"/>
        <v>0</v>
      </c>
      <c r="S38" s="334">
        <f t="shared" si="33"/>
        <v>0</v>
      </c>
      <c r="T38" s="1181">
        <f t="shared" si="34"/>
        <v>0</v>
      </c>
      <c r="U38" s="1313">
        <f t="shared" ca="1" si="23"/>
        <v>0</v>
      </c>
      <c r="V38" s="1313">
        <f t="shared" ca="1" si="24"/>
        <v>0</v>
      </c>
      <c r="W38" s="1309">
        <f t="shared" ca="1" si="25"/>
        <v>-6412</v>
      </c>
      <c r="X38" s="1313">
        <f t="shared" ca="1" si="26"/>
        <v>0</v>
      </c>
      <c r="Y38" s="1313">
        <f t="shared" ca="1" si="27"/>
        <v>0</v>
      </c>
      <c r="Z38" s="1309">
        <f t="shared" ref="Z38:Z46" ca="1" si="36">$Z$27</f>
        <v>6412</v>
      </c>
      <c r="AA38" s="797">
        <v>343</v>
      </c>
      <c r="AD38" s="802">
        <f t="shared" ca="1" si="29"/>
        <v>0</v>
      </c>
      <c r="AE38" s="802">
        <f t="shared" ca="1" si="35"/>
        <v>6435</v>
      </c>
      <c r="AF38" s="802">
        <f t="shared" ca="1" si="30"/>
        <v>0</v>
      </c>
      <c r="AG38" s="802" t="e">
        <f t="shared" ca="1" si="31"/>
        <v>#DIV/0!</v>
      </c>
    </row>
    <row r="39" spans="1:33">
      <c r="A39" s="24"/>
      <c r="B39" s="24"/>
      <c r="C39" s="14">
        <f t="shared" si="15"/>
        <v>1</v>
      </c>
      <c r="D39" s="2777" t="s">
        <v>2928</v>
      </c>
      <c r="E39" s="14">
        <f t="shared" si="16"/>
        <v>1.02</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si="32"/>
        <v>0</v>
      </c>
      <c r="S39" s="334">
        <f t="shared" si="33"/>
        <v>0</v>
      </c>
      <c r="T39" s="1181">
        <f t="shared" si="34"/>
        <v>0</v>
      </c>
      <c r="U39" s="1313">
        <f t="shared" ca="1" si="23"/>
        <v>0</v>
      </c>
      <c r="V39" s="1313">
        <f t="shared" ca="1" si="24"/>
        <v>0</v>
      </c>
      <c r="W39" s="1309">
        <f t="shared" ca="1" si="25"/>
        <v>-6412</v>
      </c>
      <c r="X39" s="1313">
        <f t="shared" ca="1" si="26"/>
        <v>0</v>
      </c>
      <c r="Y39" s="1313">
        <f t="shared" ca="1" si="27"/>
        <v>0</v>
      </c>
      <c r="Z39" s="1309">
        <f t="shared" ca="1" si="36"/>
        <v>6412</v>
      </c>
      <c r="AA39" s="797">
        <v>343</v>
      </c>
      <c r="AD39" s="802">
        <f t="shared" ca="1" si="29"/>
        <v>0</v>
      </c>
      <c r="AE39" s="802">
        <f t="shared" ca="1" si="35"/>
        <v>6435</v>
      </c>
      <c r="AF39" s="802">
        <f t="shared" ca="1" si="30"/>
        <v>0</v>
      </c>
      <c r="AG39" s="802" t="e">
        <f t="shared" ca="1" si="31"/>
        <v>#DIV/0!</v>
      </c>
    </row>
    <row r="40" spans="1:33">
      <c r="A40" s="24"/>
      <c r="B40" s="24"/>
      <c r="C40" s="14">
        <f t="shared" si="15"/>
        <v>1</v>
      </c>
      <c r="D40" s="2777" t="s">
        <v>2928</v>
      </c>
      <c r="E40" s="14">
        <f t="shared" si="16"/>
        <v>1.02</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si="32"/>
        <v>0</v>
      </c>
      <c r="S40" s="334">
        <f t="shared" si="33"/>
        <v>0</v>
      </c>
      <c r="T40" s="1181">
        <f t="shared" si="34"/>
        <v>0</v>
      </c>
      <c r="U40" s="1313">
        <f t="shared" ca="1" si="23"/>
        <v>0</v>
      </c>
      <c r="V40" s="1313">
        <f t="shared" ca="1" si="24"/>
        <v>0</v>
      </c>
      <c r="W40" s="1309">
        <f t="shared" ca="1" si="25"/>
        <v>-6412</v>
      </c>
      <c r="X40" s="1313">
        <f t="shared" ca="1" si="26"/>
        <v>0</v>
      </c>
      <c r="Y40" s="1313">
        <f t="shared" ca="1" si="27"/>
        <v>0</v>
      </c>
      <c r="Z40" s="1309">
        <f t="shared" ca="1" si="36"/>
        <v>6412</v>
      </c>
      <c r="AA40" s="797">
        <v>368</v>
      </c>
      <c r="AD40" s="802">
        <f t="shared" ca="1" si="29"/>
        <v>0</v>
      </c>
      <c r="AE40" s="802">
        <f t="shared" ca="1" si="35"/>
        <v>6435</v>
      </c>
      <c r="AF40" s="802">
        <f t="shared" ca="1" si="30"/>
        <v>0</v>
      </c>
      <c r="AG40" s="802" t="e">
        <f t="shared" ca="1" si="31"/>
        <v>#DIV/0!</v>
      </c>
    </row>
    <row r="41" spans="1:33">
      <c r="A41" s="24"/>
      <c r="B41" s="24"/>
      <c r="C41" s="14">
        <f t="shared" si="15"/>
        <v>1</v>
      </c>
      <c r="D41" s="2777" t="s">
        <v>2928</v>
      </c>
      <c r="E41" s="14">
        <f t="shared" si="16"/>
        <v>1.02</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si="32"/>
        <v>0</v>
      </c>
      <c r="S41" s="334">
        <f t="shared" si="33"/>
        <v>0</v>
      </c>
      <c r="T41" s="1181">
        <f t="shared" si="34"/>
        <v>0</v>
      </c>
      <c r="U41" s="1313">
        <f t="shared" ca="1" si="23"/>
        <v>0</v>
      </c>
      <c r="V41" s="1313">
        <f t="shared" ca="1" si="24"/>
        <v>0</v>
      </c>
      <c r="W41" s="1309">
        <f t="shared" ca="1" si="25"/>
        <v>-6412</v>
      </c>
      <c r="X41" s="1313">
        <f t="shared" ca="1" si="26"/>
        <v>0</v>
      </c>
      <c r="Y41" s="1313">
        <f t="shared" ca="1" si="27"/>
        <v>0</v>
      </c>
      <c r="Z41" s="1309">
        <f t="shared" ca="1" si="36"/>
        <v>6412</v>
      </c>
      <c r="AA41" s="797">
        <v>435</v>
      </c>
      <c r="AD41" s="802">
        <f t="shared" ca="1" si="29"/>
        <v>0</v>
      </c>
      <c r="AE41" s="802">
        <f t="shared" ca="1" si="35"/>
        <v>6435</v>
      </c>
      <c r="AF41" s="802">
        <f t="shared" ca="1" si="30"/>
        <v>0</v>
      </c>
      <c r="AG41" s="802" t="e">
        <f t="shared" ca="1" si="31"/>
        <v>#DIV/0!</v>
      </c>
    </row>
    <row r="42" spans="1:33">
      <c r="A42" s="24"/>
      <c r="B42" s="24"/>
      <c r="C42" s="14">
        <f t="shared" si="15"/>
        <v>1</v>
      </c>
      <c r="D42" s="2777" t="s">
        <v>2928</v>
      </c>
      <c r="E42" s="14">
        <f t="shared" si="16"/>
        <v>1.02</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si="32"/>
        <v>0</v>
      </c>
      <c r="S42" s="334">
        <f t="shared" si="33"/>
        <v>0</v>
      </c>
      <c r="T42" s="1181">
        <f t="shared" si="34"/>
        <v>0</v>
      </c>
      <c r="U42" s="1313">
        <f t="shared" ca="1" si="23"/>
        <v>0</v>
      </c>
      <c r="V42" s="1313">
        <f t="shared" ca="1" si="24"/>
        <v>0</v>
      </c>
      <c r="W42" s="1309">
        <f t="shared" ca="1" si="25"/>
        <v>-6412</v>
      </c>
      <c r="X42" s="1313">
        <f t="shared" ca="1" si="26"/>
        <v>0</v>
      </c>
      <c r="Y42" s="1313">
        <f t="shared" ca="1" si="27"/>
        <v>0</v>
      </c>
      <c r="Z42" s="1309">
        <f t="shared" ca="1" si="36"/>
        <v>6412</v>
      </c>
      <c r="AA42" s="797">
        <v>578</v>
      </c>
      <c r="AD42" s="802">
        <f t="shared" ca="1" si="29"/>
        <v>0</v>
      </c>
      <c r="AE42" s="802">
        <f t="shared" ca="1" si="35"/>
        <v>6435</v>
      </c>
      <c r="AF42" s="802">
        <f t="shared" ca="1" si="30"/>
        <v>0</v>
      </c>
      <c r="AG42" s="802" t="e">
        <f t="shared" ca="1" si="31"/>
        <v>#DIV/0!</v>
      </c>
    </row>
    <row r="43" spans="1:33">
      <c r="A43" s="24"/>
      <c r="B43" s="24"/>
      <c r="C43" s="14">
        <f t="shared" si="15"/>
        <v>1</v>
      </c>
      <c r="D43" s="2777" t="s">
        <v>2928</v>
      </c>
      <c r="E43" s="14">
        <f t="shared" si="16"/>
        <v>1.02</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si="32"/>
        <v>0</v>
      </c>
      <c r="S43" s="334">
        <f t="shared" si="33"/>
        <v>0</v>
      </c>
      <c r="T43" s="1181">
        <f t="shared" si="34"/>
        <v>0</v>
      </c>
      <c r="U43" s="1313">
        <f t="shared" ca="1" si="23"/>
        <v>0</v>
      </c>
      <c r="V43" s="1313">
        <f t="shared" ca="1" si="24"/>
        <v>0</v>
      </c>
      <c r="W43" s="1309">
        <f t="shared" ca="1" si="25"/>
        <v>-6412</v>
      </c>
      <c r="X43" s="1313">
        <f t="shared" ca="1" si="26"/>
        <v>0</v>
      </c>
      <c r="Y43" s="1313">
        <f t="shared" ca="1" si="27"/>
        <v>0</v>
      </c>
      <c r="Z43" s="1309">
        <f t="shared" ca="1" si="36"/>
        <v>6412</v>
      </c>
      <c r="AA43" s="797">
        <v>343</v>
      </c>
      <c r="AD43" s="802">
        <f t="shared" ca="1" si="29"/>
        <v>0</v>
      </c>
      <c r="AE43" s="802">
        <f t="shared" ca="1" si="35"/>
        <v>6435</v>
      </c>
      <c r="AF43" s="802">
        <f t="shared" ca="1" si="30"/>
        <v>0</v>
      </c>
      <c r="AG43" s="802" t="e">
        <f t="shared" ca="1" si="31"/>
        <v>#DIV/0!</v>
      </c>
    </row>
    <row r="44" spans="1:33">
      <c r="A44" s="24"/>
      <c r="B44" s="24"/>
      <c r="C44" s="14">
        <f t="shared" si="15"/>
        <v>1</v>
      </c>
      <c r="D44" s="2777" t="s">
        <v>2928</v>
      </c>
      <c r="E44" s="14">
        <f t="shared" si="16"/>
        <v>1.02</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si="32"/>
        <v>0</v>
      </c>
      <c r="S44" s="334">
        <f t="shared" si="33"/>
        <v>0</v>
      </c>
      <c r="T44" s="1181">
        <f t="shared" si="34"/>
        <v>0</v>
      </c>
      <c r="U44" s="1313">
        <f t="shared" ca="1" si="23"/>
        <v>0</v>
      </c>
      <c r="V44" s="1313">
        <f t="shared" ca="1" si="24"/>
        <v>0</v>
      </c>
      <c r="W44" s="1309">
        <f t="shared" ca="1" si="25"/>
        <v>-6412</v>
      </c>
      <c r="X44" s="1313">
        <f t="shared" ca="1" si="26"/>
        <v>0</v>
      </c>
      <c r="Y44" s="1313">
        <f t="shared" ca="1" si="27"/>
        <v>0</v>
      </c>
      <c r="Z44" s="1309">
        <f t="shared" ca="1" si="36"/>
        <v>6412</v>
      </c>
      <c r="AA44" s="797">
        <v>343</v>
      </c>
      <c r="AD44" s="802">
        <f t="shared" ca="1" si="29"/>
        <v>0</v>
      </c>
      <c r="AE44" s="802">
        <f t="shared" ca="1" si="35"/>
        <v>6435</v>
      </c>
      <c r="AF44" s="802">
        <f t="shared" ca="1" si="30"/>
        <v>0</v>
      </c>
      <c r="AG44" s="802" t="e">
        <f t="shared" ca="1" si="31"/>
        <v>#DIV/0!</v>
      </c>
    </row>
    <row r="45" spans="1:33">
      <c r="A45" s="2007" t="s">
        <v>2795</v>
      </c>
      <c r="B45" s="24">
        <v>106.15</v>
      </c>
      <c r="C45" s="14">
        <f t="shared" si="15"/>
        <v>1</v>
      </c>
      <c r="D45" s="2777" t="s">
        <v>2928</v>
      </c>
      <c r="E45" s="14">
        <f t="shared" si="16"/>
        <v>1.02</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ca="1" si="32"/>
        <v>40605</v>
      </c>
      <c r="S45" s="334">
        <f t="shared" ca="1" si="33"/>
        <v>4310221</v>
      </c>
      <c r="T45" s="1181">
        <f t="shared" ca="1" si="34"/>
        <v>431</v>
      </c>
      <c r="U45" s="2783">
        <f t="shared" ca="1" si="23"/>
        <v>3629587</v>
      </c>
      <c r="V45" s="1313">
        <f t="shared" ca="1" si="24"/>
        <v>363</v>
      </c>
      <c r="W45" s="1309">
        <f t="shared" ca="1" si="25"/>
        <v>34193</v>
      </c>
      <c r="X45" s="1313">
        <f t="shared" ca="1" si="26"/>
        <v>680634</v>
      </c>
      <c r="Y45" s="1313">
        <f t="shared" ca="1" si="27"/>
        <v>68</v>
      </c>
      <c r="Z45" s="1309">
        <f t="shared" ca="1" si="36"/>
        <v>6412</v>
      </c>
      <c r="AA45" s="797">
        <v>431</v>
      </c>
      <c r="AD45" s="2787">
        <f t="shared" ca="1" si="29"/>
        <v>69</v>
      </c>
      <c r="AE45" s="802">
        <f t="shared" ca="1" si="35"/>
        <v>6435</v>
      </c>
      <c r="AF45" s="802">
        <f t="shared" ca="1" si="30"/>
        <v>362</v>
      </c>
      <c r="AG45" s="802">
        <f t="shared" ca="1" si="31"/>
        <v>34103</v>
      </c>
    </row>
    <row r="46" spans="1:33">
      <c r="A46" s="2007" t="s">
        <v>2796</v>
      </c>
      <c r="B46" s="24">
        <v>89.85</v>
      </c>
      <c r="C46" s="14">
        <f t="shared" si="15"/>
        <v>1.01</v>
      </c>
      <c r="D46" s="2777" t="s">
        <v>2928</v>
      </c>
      <c r="E46" s="14">
        <f t="shared" si="16"/>
        <v>1.02</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ca="1" si="32"/>
        <v>41011</v>
      </c>
      <c r="S46" s="334">
        <f t="shared" ca="1" si="33"/>
        <v>3684838</v>
      </c>
      <c r="T46" s="1181">
        <f t="shared" ca="1" si="34"/>
        <v>368</v>
      </c>
      <c r="U46" s="2783">
        <f t="shared" ca="1" si="23"/>
        <v>3108720</v>
      </c>
      <c r="V46" s="1313">
        <f t="shared" ca="1" si="24"/>
        <v>311</v>
      </c>
      <c r="W46" s="1309">
        <f t="shared" ca="1" si="25"/>
        <v>34599</v>
      </c>
      <c r="X46" s="1313">
        <f t="shared" ca="1" si="26"/>
        <v>576118</v>
      </c>
      <c r="Y46" s="1313">
        <f t="shared" ca="1" si="27"/>
        <v>58</v>
      </c>
      <c r="Z46" s="1309">
        <f t="shared" ca="1" si="36"/>
        <v>6412</v>
      </c>
      <c r="AA46" s="797">
        <v>368</v>
      </c>
      <c r="AD46" s="2787">
        <f t="shared" ca="1" si="29"/>
        <v>59</v>
      </c>
      <c r="AE46" s="802">
        <f t="shared" ca="1" si="35"/>
        <v>6435</v>
      </c>
      <c r="AF46" s="802">
        <f t="shared" ca="1" si="30"/>
        <v>309</v>
      </c>
      <c r="AG46" s="802">
        <f t="shared" ca="1" si="31"/>
        <v>34391</v>
      </c>
    </row>
    <row r="47" spans="1:33">
      <c r="A47" s="75"/>
      <c r="B47" s="24"/>
      <c r="C47" s="14">
        <f t="shared" si="15"/>
        <v>1</v>
      </c>
      <c r="D47" s="706"/>
      <c r="E47" s="14">
        <f t="shared" si="16"/>
        <v>0.02</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2"/>
        <v>0</v>
      </c>
      <c r="S47" s="334">
        <f t="shared" si="33"/>
        <v>0</v>
      </c>
      <c r="T47" s="1181">
        <f t="shared" si="34"/>
        <v>0</v>
      </c>
      <c r="U47" s="1313">
        <f t="shared" si="23"/>
        <v>0</v>
      </c>
      <c r="V47" s="1313">
        <f t="shared" si="24"/>
        <v>0</v>
      </c>
      <c r="W47" s="1310"/>
      <c r="X47" s="1313">
        <f t="shared" si="26"/>
        <v>0</v>
      </c>
      <c r="Y47" s="1313">
        <f t="shared" si="27"/>
        <v>0</v>
      </c>
      <c r="Z47" s="1309"/>
    </row>
    <row r="48" spans="1:33">
      <c r="A48" s="75"/>
      <c r="B48" s="24"/>
      <c r="C48" s="14">
        <f t="shared" si="15"/>
        <v>1</v>
      </c>
      <c r="D48" s="706"/>
      <c r="E48" s="14">
        <f t="shared" si="16"/>
        <v>0.02</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2"/>
        <v>0</v>
      </c>
      <c r="S48" s="334">
        <f t="shared" si="33"/>
        <v>0</v>
      </c>
      <c r="T48" s="1181">
        <f t="shared" si="34"/>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0.02</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2"/>
        <v>0</v>
      </c>
      <c r="S49" s="334">
        <f t="shared" si="33"/>
        <v>0</v>
      </c>
      <c r="T49" s="1181">
        <f t="shared" si="34"/>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0.02</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2"/>
        <v>0</v>
      </c>
      <c r="S50" s="334">
        <f t="shared" si="33"/>
        <v>0</v>
      </c>
      <c r="T50" s="1181">
        <f t="shared" si="34"/>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0.02</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2"/>
        <v>0</v>
      </c>
      <c r="S51" s="334">
        <f t="shared" si="33"/>
        <v>0</v>
      </c>
      <c r="T51" s="1181">
        <f t="shared" si="34"/>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0.02</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2"/>
        <v>0</v>
      </c>
      <c r="S52" s="334">
        <f t="shared" si="33"/>
        <v>0</v>
      </c>
      <c r="T52" s="1181">
        <f t="shared" si="34"/>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0.02</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2"/>
        <v>0</v>
      </c>
      <c r="S53" s="334">
        <f t="shared" si="33"/>
        <v>0</v>
      </c>
      <c r="T53" s="1181">
        <f t="shared" si="34"/>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0.02</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2"/>
        <v>0</v>
      </c>
      <c r="S54" s="334">
        <f t="shared" si="33"/>
        <v>0</v>
      </c>
      <c r="T54" s="1181">
        <f t="shared" si="34"/>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0.02</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2"/>
        <v>0</v>
      </c>
      <c r="S55" s="334">
        <f t="shared" si="33"/>
        <v>0</v>
      </c>
      <c r="T55" s="1181">
        <f t="shared" si="34"/>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0.02</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2"/>
        <v>0</v>
      </c>
      <c r="S56" s="334">
        <f t="shared" si="33"/>
        <v>0</v>
      </c>
      <c r="T56" s="1181">
        <f t="shared" si="34"/>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0.02</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2"/>
        <v>0</v>
      </c>
      <c r="S57" s="334">
        <f t="shared" si="33"/>
        <v>0</v>
      </c>
      <c r="T57" s="1181">
        <f t="shared" si="34"/>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0.02</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2"/>
        <v>0</v>
      </c>
      <c r="S58" s="334">
        <f t="shared" si="33"/>
        <v>0</v>
      </c>
      <c r="T58" s="1181">
        <f t="shared" si="34"/>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0.02</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2"/>
        <v>0</v>
      </c>
      <c r="S59" s="334">
        <f t="shared" si="33"/>
        <v>0</v>
      </c>
      <c r="T59" s="1181">
        <f t="shared" si="34"/>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0.02</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2"/>
        <v>0</v>
      </c>
      <c r="S60" s="334">
        <f t="shared" si="33"/>
        <v>0</v>
      </c>
      <c r="T60" s="1181">
        <f t="shared" si="34"/>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0.02</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2"/>
        <v>0</v>
      </c>
      <c r="S61" s="334">
        <f t="shared" si="33"/>
        <v>0</v>
      </c>
      <c r="T61" s="1181">
        <f t="shared" si="34"/>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0.02</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2"/>
        <v>0</v>
      </c>
      <c r="S62" s="334">
        <f t="shared" si="33"/>
        <v>0</v>
      </c>
      <c r="T62" s="1181">
        <f t="shared" si="34"/>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0.02</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2"/>
        <v>0</v>
      </c>
      <c r="S63" s="334">
        <f t="shared" si="33"/>
        <v>0</v>
      </c>
      <c r="T63" s="1181">
        <f t="shared" si="34"/>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0.02</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2"/>
        <v>0</v>
      </c>
      <c r="S64" s="334">
        <f t="shared" si="33"/>
        <v>0</v>
      </c>
      <c r="T64" s="1181">
        <f t="shared" si="34"/>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0.02</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2"/>
        <v>0</v>
      </c>
      <c r="S65" s="334">
        <f t="shared" si="33"/>
        <v>0</v>
      </c>
      <c r="T65" s="1181">
        <f t="shared" si="34"/>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0.02</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2"/>
        <v>0</v>
      </c>
      <c r="S66" s="334">
        <f t="shared" si="33"/>
        <v>0</v>
      </c>
      <c r="T66" s="1181">
        <f t="shared" si="34"/>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0.02</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2"/>
        <v>0</v>
      </c>
      <c r="S67" s="334">
        <f t="shared" si="33"/>
        <v>0</v>
      </c>
      <c r="T67" s="1181">
        <f t="shared" si="34"/>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0.02</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2"/>
        <v>0</v>
      </c>
      <c r="S68" s="334">
        <f t="shared" si="33"/>
        <v>0</v>
      </c>
      <c r="T68" s="1181">
        <f t="shared" si="34"/>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0.02</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2"/>
        <v>0</v>
      </c>
      <c r="S69" s="334">
        <f t="shared" si="33"/>
        <v>0</v>
      </c>
      <c r="T69" s="1181">
        <f t="shared" si="34"/>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0.02</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2"/>
        <v>0</v>
      </c>
      <c r="S70" s="334">
        <f t="shared" si="33"/>
        <v>0</v>
      </c>
      <c r="T70" s="1181">
        <f t="shared" si="34"/>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0.02</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2"/>
        <v>0</v>
      </c>
      <c r="S71" s="334">
        <f t="shared" si="33"/>
        <v>0</v>
      </c>
      <c r="T71" s="1181">
        <f t="shared" si="34"/>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0.02</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2"/>
        <v>0</v>
      </c>
      <c r="S72" s="334">
        <f t="shared" si="33"/>
        <v>0</v>
      </c>
      <c r="T72" s="1181">
        <f t="shared" si="34"/>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0.02</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2"/>
        <v>0</v>
      </c>
      <c r="S73" s="334">
        <f t="shared" si="33"/>
        <v>0</v>
      </c>
      <c r="T73" s="1181">
        <f t="shared" si="34"/>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0.02</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2"/>
        <v>0</v>
      </c>
      <c r="S74" s="334">
        <f t="shared" si="33"/>
        <v>0</v>
      </c>
      <c r="T74" s="1181">
        <f t="shared" si="34"/>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0.02</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2"/>
        <v>0</v>
      </c>
      <c r="S75" s="334">
        <f t="shared" si="33"/>
        <v>0</v>
      </c>
      <c r="T75" s="1181">
        <f t="shared" si="34"/>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0.02</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2"/>
        <v>0</v>
      </c>
      <c r="S76" s="334">
        <f t="shared" si="33"/>
        <v>0</v>
      </c>
      <c r="T76" s="1181">
        <f t="shared" si="34"/>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0.02</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2"/>
        <v>0</v>
      </c>
      <c r="S77" s="334">
        <f t="shared" si="33"/>
        <v>0</v>
      </c>
      <c r="T77" s="1181">
        <f t="shared" si="34"/>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0.02</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2"/>
        <v>0</v>
      </c>
      <c r="S78" s="334">
        <f t="shared" si="33"/>
        <v>0</v>
      </c>
      <c r="T78" s="1181">
        <f t="shared" si="34"/>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0.02</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2"/>
        <v>0</v>
      </c>
      <c r="S79" s="334">
        <f t="shared" si="33"/>
        <v>0</v>
      </c>
      <c r="T79" s="1181">
        <f t="shared" si="34"/>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0.02</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2"/>
        <v>0</v>
      </c>
      <c r="S80" s="334">
        <f t="shared" si="33"/>
        <v>0</v>
      </c>
      <c r="T80" s="1181">
        <f t="shared" si="34"/>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0.02</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2"/>
        <v>0</v>
      </c>
      <c r="S81" s="334">
        <f t="shared" si="33"/>
        <v>0</v>
      </c>
      <c r="T81" s="1181">
        <f t="shared" si="34"/>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0.02</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2"/>
        <v>0</v>
      </c>
      <c r="S82" s="334">
        <f t="shared" si="33"/>
        <v>0</v>
      </c>
      <c r="T82" s="1181">
        <f t="shared" si="34"/>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0.02</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2"/>
        <v>0</v>
      </c>
      <c r="S83" s="334">
        <f t="shared" si="33"/>
        <v>0</v>
      </c>
      <c r="T83" s="1181">
        <f t="shared" si="34"/>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0.02</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2"/>
        <v>0</v>
      </c>
      <c r="S84" s="334">
        <f t="shared" si="33"/>
        <v>0</v>
      </c>
      <c r="T84" s="1181">
        <f t="shared" si="34"/>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0.02</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2"/>
        <v>0</v>
      </c>
      <c r="S85" s="334">
        <f t="shared" si="33"/>
        <v>0</v>
      </c>
      <c r="T85" s="1181">
        <f t="shared" si="34"/>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0.02</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2"/>
        <v>0</v>
      </c>
      <c r="S86" s="334">
        <f t="shared" si="33"/>
        <v>0</v>
      </c>
      <c r="T86" s="1181">
        <f t="shared" si="34"/>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0.02</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2"/>
        <v>0</v>
      </c>
      <c r="S87" s="334">
        <f t="shared" si="33"/>
        <v>0</v>
      </c>
      <c r="T87" s="1181">
        <f t="shared" si="34"/>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0.02</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2"/>
        <v>0</v>
      </c>
      <c r="S88" s="334">
        <f t="shared" si="33"/>
        <v>0</v>
      </c>
      <c r="T88" s="1181">
        <f t="shared" si="34"/>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0.02</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2"/>
        <v>0</v>
      </c>
      <c r="S89" s="334">
        <f t="shared" si="33"/>
        <v>0</v>
      </c>
      <c r="T89" s="1181">
        <f t="shared" si="34"/>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0.02</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2"/>
        <v>0</v>
      </c>
      <c r="S90" s="334">
        <f t="shared" si="33"/>
        <v>0</v>
      </c>
      <c r="T90" s="1181">
        <f t="shared" si="34"/>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0.02</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2"/>
        <v>0</v>
      </c>
      <c r="S91" s="334">
        <f t="shared" si="33"/>
        <v>0</v>
      </c>
      <c r="T91" s="1181">
        <f t="shared" si="34"/>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0.02</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2"/>
        <v>0</v>
      </c>
      <c r="S92" s="334">
        <f t="shared" si="33"/>
        <v>0</v>
      </c>
      <c r="T92" s="1181">
        <f t="shared" si="34"/>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0.02</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0.02</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0.02</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0.02</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0.02</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0.02</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0.02</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0.02</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0.02</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0.02</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0.02</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0.02</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0.02</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0.02</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0.02</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0.02</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0.02</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0.02</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0.02</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0.02</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0.02</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0.02</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0.02</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0.02</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0.02</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0.02</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0.02</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0.02</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0.02</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0.02</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0.02</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0.02</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0.02</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0.02</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0.02</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0.02</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0.02</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0.02</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0.02</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0.02</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0.02</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0.02</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0.02</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0.02</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0.02</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0.02</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0.02</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0.02</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0.02</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0.02</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0.02</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0.02</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0.02</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0.02</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0.02</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0.02</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0.02</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0.02</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0.02</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0.02</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0.02</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0.02</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0.02</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0.02</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0.02</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0.02</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0.02</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0.02</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0.02</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0.02</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0.02</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0.02</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0.02</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0.02</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0.02</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0.02</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0.02</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0.02</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0.02</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0.02</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0.02</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0.02</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0.02</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0.02</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0.02</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0.02</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0.02</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0.02</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0.02</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0.02</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0.02</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0.02</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0.02</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0.02</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0.02</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0.02</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0.02</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0.02</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0.02</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0.02</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0.02</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0.02</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0.02</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0.02</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0.02</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0.02</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0.02</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0.02</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0.02</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0.02</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0.02</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0.02</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0.02</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0.02</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0.02</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0.02</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0.02</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0.02</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0.02</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0.02</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0.02</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0.02</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0.02</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0.02</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0.02</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0.02</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0.02</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0.02</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0.02</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0.02</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0.02</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0.02</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0.02</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0.02</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0.02</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0.02</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0.02</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0.02</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0.02</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0.02</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0.02</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0.02</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0.02</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0.02</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0.02</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0.02</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0.02</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0.02</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0.02</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0.02</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0.02</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0.02</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0.02</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0.02</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0.02</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0.02</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0.02</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0.02</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0.02</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0.02</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0.02</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0.02</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0.02</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0.02</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0.02</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0.02</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0.02</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0.02</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0.02</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0.02</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0.02</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0.02</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0.02</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0.02</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0.02</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0.02</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0.02</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0.02</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0.02</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0.02</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0.02</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0.02</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0.02</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0.02</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0.02</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0.02</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0.02</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0.02</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0.02</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0.02</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0.02</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0.02</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0.02</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0.02</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0.02</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0.02</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0.02</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0.02</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0.02</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0.02</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0.02</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0.02</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0.02</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0.02</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0.02</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0.02</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0.02</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0.02</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0.02</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0.02</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0.02</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0.02</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0.02</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0.02</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0.02</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0.02</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0.02</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0.02</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0.02</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0.02</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0.02</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0.02</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0.02</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0.02</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0.02</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0.02</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0.02</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0.02</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0.02</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0.02</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0.02</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0.02</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0.02</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0.02</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0.02</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0.02</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0.02</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0.02</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0.02</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0.02</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0.02</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0.02</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0.02</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0.02</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0.02</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0.02</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0.02</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0.02</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0.02</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0.02</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0.02</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0.02</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0.02</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0.02</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0.02</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0.02</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0.02</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0.02</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0.02</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0.02</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0.02</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0.02</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0.02</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0.02</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0.02</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0.02</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0.02</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0.02</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0.02</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0.02</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0.02</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0.02</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0.02</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0.02</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0.02</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0.02</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0.02</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0.02</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0.02</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0.02</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0.02</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0.02</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0.02</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0.02</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0.02</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0.02</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0.02</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0.02</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0.02</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0.02</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0.02</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0.02</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0.02</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0.02</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0.02</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0.02</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0.02</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0.02</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0.02</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0.02</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0.02</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0.02</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0.02</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0.02</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0.02</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0.02</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0.02</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0.02</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0.02</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0.02</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0.02</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0.02</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0.02</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0.02</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0.02</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0.02</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0.02</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0.02</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0.02</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0.02</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0.02</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0.02</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0.02</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0.02</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0.02</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0.02</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0.02</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0.02</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0.02</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0.02</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0.02</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0.02</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0.02</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0.02</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0.02</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0.02</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0.02</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0.02</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0.02</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0.02</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0.02</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0.02</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0.02</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0.02</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0.02</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0.02</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0.02</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0.02</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0.02</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0.02</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0.02</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0.02</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0.02</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0.02</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0.02</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0.02</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0.02</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0.02</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0.02</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0.02</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0.02</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0.02</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0.02</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0.02</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0.02</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0.02</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0.02</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0.02</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0.02</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0.02</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0.02</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0.02</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0.02</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0.02</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0.02</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0.02</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0.02</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0.02</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0.02</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0.02</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0.02</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0.02</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0.02</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0.02</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0.02</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0.02</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0.02</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0.02</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0.02</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0.02</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0.02</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0.02</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0.02</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0.02</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0.02</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0.02</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0.02</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0.02</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0.02</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0.02</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0.02</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0.02</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0.02</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0.02</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0.02</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0.02</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0.02</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0.02</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0.02</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0.02</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0.02</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0.02</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0.02</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0.02</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0.02</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0.02</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0.02</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0.02</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0.02</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0.02</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0.02</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0.02</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0.02</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0.02</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0.02</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0.02</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0.02</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0.02</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0.02</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0.02</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0.02</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0.02</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0.02</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0.02</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0.02</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万元</v>
      </c>
      <c r="D2" s="2383"/>
      <c r="E2" s="1842"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851.59</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44" t="s">
        <v>2295</v>
      </c>
      <c r="D4" s="3045"/>
      <c r="E4" s="3046" t="s">
        <v>2296</v>
      </c>
      <c r="F4" s="3047"/>
      <c r="G4" s="3044" t="s">
        <v>2297</v>
      </c>
      <c r="H4" s="3045"/>
      <c r="I4" s="3044" t="s">
        <v>2298</v>
      </c>
      <c r="J4" s="3045"/>
      <c r="K4" s="23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1" t="s">
        <v>2297</v>
      </c>
      <c r="AC4" s="3041" t="s">
        <v>2298</v>
      </c>
    </row>
    <row r="5" spans="1:29" ht="15">
      <c r="A5" s="383"/>
      <c r="B5" s="384"/>
      <c r="C5" s="3098" t="s">
        <v>2301</v>
      </c>
      <c r="D5" s="3056"/>
      <c r="E5" s="3103" t="s">
        <v>2302</v>
      </c>
      <c r="F5" s="3054"/>
      <c r="G5" s="3098" t="s">
        <v>2303</v>
      </c>
      <c r="H5" s="3056"/>
      <c r="I5" s="3098" t="s">
        <v>2304</v>
      </c>
      <c r="J5" s="3056"/>
      <c r="K5" s="2395"/>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2395"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28" t="s">
        <v>2308</v>
      </c>
      <c r="Q7" s="3036"/>
      <c r="R7" s="748" t="s">
        <v>34</v>
      </c>
      <c r="S7" s="749">
        <f t="shared" ref="S7:S15" si="0">F7</f>
        <v>0</v>
      </c>
      <c r="T7" s="748" t="s">
        <v>34</v>
      </c>
      <c r="U7" s="749">
        <f t="shared" ref="U7:U15" si="1">H7</f>
        <v>0</v>
      </c>
      <c r="V7" s="748" t="s">
        <v>34</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28" t="s">
        <v>2311</v>
      </c>
      <c r="Q8" s="3029"/>
      <c r="R8" s="748" t="s">
        <v>34</v>
      </c>
      <c r="S8" s="749">
        <f t="shared" si="0"/>
        <v>0</v>
      </c>
      <c r="T8" s="748" t="s">
        <v>34</v>
      </c>
      <c r="U8" s="749">
        <f t="shared" si="1"/>
        <v>0</v>
      </c>
      <c r="V8" s="748" t="s">
        <v>34</v>
      </c>
      <c r="W8" s="749">
        <f t="shared" si="2"/>
        <v>0</v>
      </c>
      <c r="X8" s="750"/>
      <c r="Y8" s="3028"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9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9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99"/>
      <c r="Q11" s="1886" t="str">
        <f t="shared" si="6"/>
        <v>容积率</v>
      </c>
      <c r="R11" s="748" t="s">
        <v>28</v>
      </c>
      <c r="S11" s="749" t="e">
        <f t="shared" si="0"/>
        <v>#N/A</v>
      </c>
      <c r="T11" s="748" t="s">
        <v>28</v>
      </c>
      <c r="U11" s="749" t="e">
        <f t="shared" si="1"/>
        <v>#N/A</v>
      </c>
      <c r="V11" s="748" t="s">
        <v>28</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99"/>
      <c r="Q12" s="1886">
        <f t="shared" si="6"/>
        <v>111</v>
      </c>
      <c r="R12" s="748" t="s">
        <v>28</v>
      </c>
      <c r="S12" s="749">
        <f t="shared" si="0"/>
        <v>100</v>
      </c>
      <c r="T12" s="748" t="s">
        <v>28</v>
      </c>
      <c r="U12" s="749">
        <f t="shared" si="1"/>
        <v>100</v>
      </c>
      <c r="V12" s="748" t="s">
        <v>28</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99"/>
      <c r="Q13" s="1886">
        <f t="shared" si="6"/>
        <v>111</v>
      </c>
      <c r="R13" s="748" t="s">
        <v>28</v>
      </c>
      <c r="S13" s="749">
        <f t="shared" si="0"/>
        <v>100</v>
      </c>
      <c r="T13" s="748" t="s">
        <v>28</v>
      </c>
      <c r="U13" s="749">
        <f t="shared" si="1"/>
        <v>100</v>
      </c>
      <c r="V13" s="748" t="s">
        <v>28</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99"/>
      <c r="Q14" s="1886">
        <f t="shared" si="6"/>
        <v>111</v>
      </c>
      <c r="R14" s="748" t="s">
        <v>28</v>
      </c>
      <c r="S14" s="749">
        <f t="shared" si="0"/>
        <v>100</v>
      </c>
      <c r="T14" s="748" t="s">
        <v>28</v>
      </c>
      <c r="U14" s="749">
        <f t="shared" si="1"/>
        <v>100</v>
      </c>
      <c r="V14" s="748" t="s">
        <v>28</v>
      </c>
      <c r="W14" s="749">
        <f t="shared" si="2"/>
        <v>100</v>
      </c>
      <c r="X14" s="750"/>
      <c r="Y14" s="2879"/>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93" t="s">
        <v>2319</v>
      </c>
      <c r="Q15" s="1898" t="str">
        <f t="shared" si="6"/>
        <v>居住社区成熟度</v>
      </c>
      <c r="R15" s="752" t="s">
        <v>28</v>
      </c>
      <c r="S15" s="753">
        <f t="shared" si="0"/>
        <v>100</v>
      </c>
      <c r="T15" s="752" t="s">
        <v>28</v>
      </c>
      <c r="U15" s="753">
        <f t="shared" si="1"/>
        <v>100</v>
      </c>
      <c r="V15" s="752" t="s">
        <v>28</v>
      </c>
      <c r="W15" s="753">
        <f t="shared" si="2"/>
        <v>100</v>
      </c>
      <c r="X15" s="1899"/>
      <c r="Y15" s="3039"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094"/>
      <c r="Q16" s="1898"/>
      <c r="R16" s="752"/>
      <c r="S16" s="753"/>
      <c r="T16" s="752"/>
      <c r="U16" s="753"/>
      <c r="V16" s="752"/>
      <c r="W16" s="753"/>
      <c r="X16" s="1899"/>
      <c r="Y16" s="3040"/>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94"/>
      <c r="Q17" s="1898" t="str">
        <f>B17</f>
        <v>交通便捷度</v>
      </c>
      <c r="R17" s="752" t="s">
        <v>28</v>
      </c>
      <c r="S17" s="753">
        <f>F17</f>
        <v>100</v>
      </c>
      <c r="T17" s="752" t="s">
        <v>28</v>
      </c>
      <c r="U17" s="753">
        <f>H17</f>
        <v>100</v>
      </c>
      <c r="V17" s="752" t="s">
        <v>28</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094"/>
      <c r="Q18" s="1898"/>
      <c r="R18" s="752"/>
      <c r="S18" s="753"/>
      <c r="T18" s="752"/>
      <c r="U18" s="753"/>
      <c r="V18" s="752"/>
      <c r="W18" s="753"/>
      <c r="X18" s="1899"/>
      <c r="Y18" s="3040"/>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94"/>
      <c r="Q19" s="1898" t="str">
        <f>B19</f>
        <v>公共配套设施</v>
      </c>
      <c r="R19" s="752" t="s">
        <v>28</v>
      </c>
      <c r="S19" s="753">
        <f>F19</f>
        <v>100</v>
      </c>
      <c r="T19" s="752" t="s">
        <v>28</v>
      </c>
      <c r="U19" s="753">
        <f>H19</f>
        <v>100</v>
      </c>
      <c r="V19" s="752" t="s">
        <v>28</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094"/>
      <c r="Q20" s="1898"/>
      <c r="R20" s="752"/>
      <c r="S20" s="753"/>
      <c r="T20" s="752"/>
      <c r="U20" s="753"/>
      <c r="V20" s="752"/>
      <c r="W20" s="753"/>
      <c r="X20" s="1899"/>
      <c r="Y20" s="3040"/>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94"/>
      <c r="Q21" s="1898" t="str">
        <f>B21</f>
        <v>基础设施水平</v>
      </c>
      <c r="R21" s="752" t="s">
        <v>28</v>
      </c>
      <c r="S21" s="753">
        <f>F21</f>
        <v>100</v>
      </c>
      <c r="T21" s="752" t="s">
        <v>28</v>
      </c>
      <c r="U21" s="753">
        <f>H21</f>
        <v>100</v>
      </c>
      <c r="V21" s="752" t="s">
        <v>28</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094"/>
      <c r="Q22" s="1898"/>
      <c r="R22" s="752"/>
      <c r="S22" s="753"/>
      <c r="T22" s="752"/>
      <c r="U22" s="753"/>
      <c r="V22" s="752"/>
      <c r="W22" s="753"/>
      <c r="X22" s="1899"/>
      <c r="Y22" s="3040"/>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94"/>
      <c r="Q23" s="1898" t="str">
        <f>B23</f>
        <v>自然及人文环境</v>
      </c>
      <c r="R23" s="752" t="s">
        <v>28</v>
      </c>
      <c r="S23" s="753">
        <f>F23</f>
        <v>100</v>
      </c>
      <c r="T23" s="752" t="s">
        <v>28</v>
      </c>
      <c r="U23" s="753">
        <f>H23</f>
        <v>100</v>
      </c>
      <c r="V23" s="752" t="s">
        <v>28</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094"/>
      <c r="Q24" s="1898"/>
      <c r="R24" s="752"/>
      <c r="S24" s="753"/>
      <c r="T24" s="752"/>
      <c r="U24" s="753"/>
      <c r="V24" s="752"/>
      <c r="W24" s="753"/>
      <c r="X24" s="1899"/>
      <c r="Y24" s="3040"/>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94"/>
      <c r="Q25" s="1898" t="str">
        <f t="shared" ref="Q25:Q46" si="11">B25</f>
        <v>楼层-1</v>
      </c>
      <c r="R25" s="752" t="s">
        <v>28</v>
      </c>
      <c r="S25" s="753">
        <f>F25</f>
        <v>100</v>
      </c>
      <c r="T25" s="752" t="s">
        <v>28</v>
      </c>
      <c r="U25" s="753">
        <f>H25</f>
        <v>100</v>
      </c>
      <c r="V25" s="752" t="s">
        <v>28</v>
      </c>
      <c r="W25" s="753">
        <f>J25</f>
        <v>100</v>
      </c>
      <c r="X25" s="1899"/>
      <c r="Y25" s="3040"/>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94"/>
      <c r="Q26" s="1898" t="str">
        <f t="shared" si="11"/>
        <v>朝向</v>
      </c>
      <c r="R26" s="752" t="s">
        <v>28</v>
      </c>
      <c r="S26" s="753">
        <f>F26</f>
        <v>100</v>
      </c>
      <c r="T26" s="752" t="s">
        <v>28</v>
      </c>
      <c r="U26" s="753">
        <f>H26</f>
        <v>100</v>
      </c>
      <c r="V26" s="752" t="s">
        <v>28</v>
      </c>
      <c r="W26" s="753">
        <f>J26</f>
        <v>100</v>
      </c>
      <c r="X26" s="1899"/>
      <c r="Y26" s="3040"/>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94"/>
      <c r="Q27" s="1886" t="str">
        <f t="shared" si="11"/>
        <v>道路级别</v>
      </c>
      <c r="R27" s="748" t="s">
        <v>28</v>
      </c>
      <c r="S27" s="749">
        <f>F27</f>
        <v>100</v>
      </c>
      <c r="T27" s="748" t="s">
        <v>28</v>
      </c>
      <c r="U27" s="749">
        <f>H27</f>
        <v>100</v>
      </c>
      <c r="V27" s="748" t="s">
        <v>28</v>
      </c>
      <c r="W27" s="749">
        <f>J27</f>
        <v>100</v>
      </c>
      <c r="X27" s="750"/>
      <c r="Y27" s="3040"/>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94"/>
      <c r="Q28" s="1898">
        <f t="shared" si="11"/>
        <v>111</v>
      </c>
      <c r="R28" s="752" t="s">
        <v>28</v>
      </c>
      <c r="S28" s="753">
        <f t="shared" ref="S28:S46" si="12">F28</f>
        <v>100</v>
      </c>
      <c r="T28" s="752" t="s">
        <v>28</v>
      </c>
      <c r="U28" s="753">
        <f t="shared" ref="U28:U46" si="13">H28</f>
        <v>100</v>
      </c>
      <c r="V28" s="752" t="s">
        <v>28</v>
      </c>
      <c r="W28" s="753">
        <f t="shared" ref="W28:W46" si="14">J28</f>
        <v>100</v>
      </c>
      <c r="X28" s="1899"/>
      <c r="Y28" s="3040"/>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94"/>
      <c r="Q29" s="1898">
        <f t="shared" si="11"/>
        <v>111</v>
      </c>
      <c r="R29" s="752" t="s">
        <v>28</v>
      </c>
      <c r="S29" s="753">
        <f t="shared" si="12"/>
        <v>100</v>
      </c>
      <c r="T29" s="752" t="s">
        <v>28</v>
      </c>
      <c r="U29" s="753">
        <f t="shared" si="13"/>
        <v>100</v>
      </c>
      <c r="V29" s="752" t="s">
        <v>28</v>
      </c>
      <c r="W29" s="753">
        <f t="shared" si="14"/>
        <v>100</v>
      </c>
      <c r="X29" s="1899"/>
      <c r="Y29" s="304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94"/>
      <c r="Q30" s="1898">
        <f t="shared" si="11"/>
        <v>111</v>
      </c>
      <c r="R30" s="752" t="s">
        <v>28</v>
      </c>
      <c r="S30" s="753">
        <f t="shared" si="12"/>
        <v>100</v>
      </c>
      <c r="T30" s="752" t="s">
        <v>28</v>
      </c>
      <c r="U30" s="753">
        <f t="shared" si="13"/>
        <v>100</v>
      </c>
      <c r="V30" s="752" t="s">
        <v>28</v>
      </c>
      <c r="W30" s="753">
        <f t="shared" si="14"/>
        <v>100</v>
      </c>
      <c r="X30" s="1899"/>
      <c r="Y30" s="3040"/>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94"/>
      <c r="Q31" s="1898">
        <f t="shared" si="11"/>
        <v>111</v>
      </c>
      <c r="R31" s="752" t="s">
        <v>28</v>
      </c>
      <c r="S31" s="753">
        <f t="shared" si="12"/>
        <v>100</v>
      </c>
      <c r="T31" s="752" t="s">
        <v>28</v>
      </c>
      <c r="U31" s="753">
        <f t="shared" si="13"/>
        <v>100</v>
      </c>
      <c r="V31" s="752" t="s">
        <v>28</v>
      </c>
      <c r="W31" s="753">
        <f t="shared" si="14"/>
        <v>100</v>
      </c>
      <c r="X31" s="1899"/>
      <c r="Y31" s="3040"/>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5" t="s">
        <v>2325</v>
      </c>
      <c r="Q32" s="1898" t="str">
        <f t="shared" si="11"/>
        <v>建筑类型</v>
      </c>
      <c r="R32" s="752" t="s">
        <v>28</v>
      </c>
      <c r="S32" s="753">
        <f t="shared" si="12"/>
        <v>100</v>
      </c>
      <c r="T32" s="752" t="s">
        <v>28</v>
      </c>
      <c r="U32" s="753">
        <f t="shared" si="13"/>
        <v>100</v>
      </c>
      <c r="V32" s="752" t="s">
        <v>28</v>
      </c>
      <c r="W32" s="753">
        <f t="shared" si="14"/>
        <v>100</v>
      </c>
      <c r="X32" s="1899"/>
      <c r="Y32" s="3026"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6"/>
      <c r="Q33" s="754" t="str">
        <f t="shared" si="11"/>
        <v>项目建筑规模</v>
      </c>
      <c r="R33" s="755" t="s">
        <v>28</v>
      </c>
      <c r="S33" s="756" t="e">
        <f t="shared" si="12"/>
        <v>#N/A</v>
      </c>
      <c r="T33" s="755" t="s">
        <v>28</v>
      </c>
      <c r="U33" s="756" t="e">
        <f t="shared" si="13"/>
        <v>#N/A</v>
      </c>
      <c r="V33" s="755" t="s">
        <v>28</v>
      </c>
      <c r="W33" s="756" t="e">
        <f t="shared" si="14"/>
        <v>#N/A</v>
      </c>
      <c r="X33" s="757"/>
      <c r="Y33" s="3026"/>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6"/>
      <c r="Q34" s="1898" t="str">
        <f t="shared" si="11"/>
        <v>建筑结构</v>
      </c>
      <c r="R34" s="752" t="s">
        <v>28</v>
      </c>
      <c r="S34" s="753">
        <f t="shared" si="12"/>
        <v>100</v>
      </c>
      <c r="T34" s="752" t="s">
        <v>28</v>
      </c>
      <c r="U34" s="753">
        <f t="shared" si="13"/>
        <v>100</v>
      </c>
      <c r="V34" s="752" t="s">
        <v>28</v>
      </c>
      <c r="W34" s="753">
        <f t="shared" si="14"/>
        <v>100</v>
      </c>
      <c r="X34" s="1899"/>
      <c r="Y34" s="3026"/>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6"/>
      <c r="Q35" s="1898" t="str">
        <f t="shared" si="11"/>
        <v>建筑品质</v>
      </c>
      <c r="R35" s="752" t="s">
        <v>28</v>
      </c>
      <c r="S35" s="753">
        <f t="shared" si="12"/>
        <v>100</v>
      </c>
      <c r="T35" s="752" t="s">
        <v>28</v>
      </c>
      <c r="U35" s="753">
        <f t="shared" si="13"/>
        <v>100</v>
      </c>
      <c r="V35" s="752" t="s">
        <v>28</v>
      </c>
      <c r="W35" s="753">
        <f t="shared" si="14"/>
        <v>100</v>
      </c>
      <c r="X35" s="1899"/>
      <c r="Y35" s="3026"/>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6"/>
      <c r="Q36" s="1898" t="str">
        <f t="shared" si="11"/>
        <v>公共部分装修</v>
      </c>
      <c r="R36" s="752" t="s">
        <v>28</v>
      </c>
      <c r="S36" s="753">
        <f t="shared" si="12"/>
        <v>100</v>
      </c>
      <c r="T36" s="752" t="s">
        <v>28</v>
      </c>
      <c r="U36" s="753">
        <f t="shared" si="13"/>
        <v>100</v>
      </c>
      <c r="V36" s="752" t="s">
        <v>28</v>
      </c>
      <c r="W36" s="753">
        <f t="shared" si="14"/>
        <v>100</v>
      </c>
      <c r="X36" s="1899"/>
      <c r="Y36" s="3026"/>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6"/>
      <c r="Q37" s="1886" t="str">
        <f t="shared" si="11"/>
        <v>成新度</v>
      </c>
      <c r="R37" s="748" t="s">
        <v>28</v>
      </c>
      <c r="S37" s="749" t="e">
        <f t="shared" si="12"/>
        <v>#N/A</v>
      </c>
      <c r="T37" s="748" t="s">
        <v>28</v>
      </c>
      <c r="U37" s="749" t="e">
        <f t="shared" si="13"/>
        <v>#N/A</v>
      </c>
      <c r="V37" s="748" t="s">
        <v>28</v>
      </c>
      <c r="W37" s="749" t="e">
        <f t="shared" si="14"/>
        <v>#N/A</v>
      </c>
      <c r="X37" s="750"/>
      <c r="Y37" s="3026"/>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6" t="s">
        <v>2325</v>
      </c>
      <c r="Q38" s="1898" t="str">
        <f t="shared" si="11"/>
        <v>物业管理</v>
      </c>
      <c r="R38" s="752" t="s">
        <v>28</v>
      </c>
      <c r="S38" s="753">
        <f t="shared" si="12"/>
        <v>100</v>
      </c>
      <c r="T38" s="752" t="s">
        <v>28</v>
      </c>
      <c r="U38" s="753">
        <f t="shared" si="13"/>
        <v>100</v>
      </c>
      <c r="V38" s="752" t="s">
        <v>28</v>
      </c>
      <c r="W38" s="753">
        <f t="shared" si="14"/>
        <v>100</v>
      </c>
      <c r="X38" s="1899"/>
      <c r="Y38" s="3026"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6"/>
      <c r="Q39" s="1898" t="str">
        <f t="shared" si="11"/>
        <v>市政基础设施</v>
      </c>
      <c r="R39" s="752" t="s">
        <v>28</v>
      </c>
      <c r="S39" s="753">
        <f t="shared" si="12"/>
        <v>100</v>
      </c>
      <c r="T39" s="752" t="s">
        <v>28</v>
      </c>
      <c r="U39" s="753">
        <f t="shared" si="13"/>
        <v>100</v>
      </c>
      <c r="V39" s="752" t="s">
        <v>28</v>
      </c>
      <c r="W39" s="753">
        <f t="shared" si="14"/>
        <v>100</v>
      </c>
      <c r="X39" s="1899"/>
      <c r="Y39" s="3026"/>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6"/>
      <c r="Q40" s="1898" t="str">
        <f t="shared" si="11"/>
        <v>房型</v>
      </c>
      <c r="R40" s="752" t="s">
        <v>28</v>
      </c>
      <c r="S40" s="753">
        <f t="shared" si="12"/>
        <v>100</v>
      </c>
      <c r="T40" s="752" t="s">
        <v>28</v>
      </c>
      <c r="U40" s="753">
        <f t="shared" si="13"/>
        <v>100</v>
      </c>
      <c r="V40" s="752" t="s">
        <v>28</v>
      </c>
      <c r="W40" s="753">
        <f t="shared" si="14"/>
        <v>100</v>
      </c>
      <c r="X40" s="1899"/>
      <c r="Y40" s="3026"/>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6"/>
      <c r="Q41" s="754" t="str">
        <f t="shared" si="11"/>
        <v>单套/主力户型建筑面积</v>
      </c>
      <c r="R41" s="755" t="s">
        <v>28</v>
      </c>
      <c r="S41" s="756">
        <f t="shared" si="12"/>
        <v>100</v>
      </c>
      <c r="T41" s="755" t="s">
        <v>28</v>
      </c>
      <c r="U41" s="756">
        <f t="shared" si="13"/>
        <v>100</v>
      </c>
      <c r="V41" s="755" t="s">
        <v>28</v>
      </c>
      <c r="W41" s="756">
        <f t="shared" si="14"/>
        <v>100</v>
      </c>
      <c r="X41" s="757"/>
      <c r="Y41" s="3026"/>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6"/>
      <c r="Q42" s="1898" t="str">
        <f t="shared" si="11"/>
        <v>内部装修</v>
      </c>
      <c r="R42" s="752" t="s">
        <v>28</v>
      </c>
      <c r="S42" s="753">
        <f t="shared" si="12"/>
        <v>100</v>
      </c>
      <c r="T42" s="752" t="s">
        <v>28</v>
      </c>
      <c r="U42" s="753">
        <f t="shared" si="13"/>
        <v>100</v>
      </c>
      <c r="V42" s="752" t="s">
        <v>28</v>
      </c>
      <c r="W42" s="753">
        <f t="shared" si="14"/>
        <v>100</v>
      </c>
      <c r="X42" s="1899"/>
      <c r="Y42" s="3026"/>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6"/>
      <c r="Q43" s="1898" t="str">
        <f t="shared" si="11"/>
        <v>内部装修维护情况</v>
      </c>
      <c r="R43" s="752" t="s">
        <v>28</v>
      </c>
      <c r="S43" s="753">
        <f t="shared" si="12"/>
        <v>100</v>
      </c>
      <c r="T43" s="752" t="s">
        <v>28</v>
      </c>
      <c r="U43" s="753">
        <f t="shared" si="13"/>
        <v>100</v>
      </c>
      <c r="V43" s="752" t="s">
        <v>28</v>
      </c>
      <c r="W43" s="753">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6"/>
      <c r="Q44" s="1886">
        <f t="shared" si="11"/>
        <v>111</v>
      </c>
      <c r="R44" s="748" t="s">
        <v>28</v>
      </c>
      <c r="S44" s="749">
        <f t="shared" si="12"/>
        <v>100</v>
      </c>
      <c r="T44" s="748" t="s">
        <v>28</v>
      </c>
      <c r="U44" s="749">
        <f t="shared" si="13"/>
        <v>100</v>
      </c>
      <c r="V44" s="748" t="s">
        <v>28</v>
      </c>
      <c r="W44" s="749">
        <f t="shared" si="14"/>
        <v>100</v>
      </c>
      <c r="X44" s="750"/>
      <c r="Y44" s="302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6"/>
      <c r="Q45" s="1898">
        <f t="shared" si="11"/>
        <v>111</v>
      </c>
      <c r="R45" s="752" t="s">
        <v>28</v>
      </c>
      <c r="S45" s="753">
        <f t="shared" si="12"/>
        <v>100</v>
      </c>
      <c r="T45" s="752" t="s">
        <v>28</v>
      </c>
      <c r="U45" s="753">
        <f t="shared" si="13"/>
        <v>100</v>
      </c>
      <c r="V45" s="752" t="s">
        <v>28</v>
      </c>
      <c r="W45" s="753">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97"/>
      <c r="Q46" s="1898">
        <f t="shared" si="11"/>
        <v>111</v>
      </c>
      <c r="R46" s="752" t="s">
        <v>27</v>
      </c>
      <c r="S46" s="753">
        <f t="shared" si="12"/>
        <v>100</v>
      </c>
      <c r="T46" s="752" t="s">
        <v>27</v>
      </c>
      <c r="U46" s="753">
        <f t="shared" si="13"/>
        <v>100</v>
      </c>
      <c r="V46" s="752" t="s">
        <v>27</v>
      </c>
      <c r="W46" s="753">
        <f t="shared" si="14"/>
        <v>100</v>
      </c>
      <c r="X46" s="1899"/>
      <c r="Y46" s="3027"/>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19" t="str">
        <f>A47</f>
        <v>成交单价（元/平方米）</v>
      </c>
      <c r="Q47" s="3019"/>
      <c r="R47" s="3020">
        <f>E47</f>
        <v>0</v>
      </c>
      <c r="S47" s="3020"/>
      <c r="T47" s="3020">
        <f>G47</f>
        <v>0</v>
      </c>
      <c r="U47" s="3020"/>
      <c r="V47" s="3020">
        <f>I47</f>
        <v>0</v>
      </c>
      <c r="W47" s="3020"/>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19" t="str">
        <f>A48</f>
        <v>比较价值（元/平方米）</v>
      </c>
      <c r="Q48" s="3019"/>
      <c r="R48" s="3020" t="e">
        <f>IF(E1="售价",ROUND(PRODUCT(R47,AA7:AA46),0),ROUND(PRODUCT(R47,AA7:AA46),1))</f>
        <v>#DIV/0!</v>
      </c>
      <c r="S48" s="3020"/>
      <c r="T48" s="3090" t="e">
        <f>IF(E1="售价",ROUND(PRODUCT(T47,AB7:AB46),0),ROUND(PRODUCT(T47,AB7:AB46),1))</f>
        <v>#DIV/0!</v>
      </c>
      <c r="U48" s="3091"/>
      <c r="V48" s="3020" t="e">
        <f>IF(E1="售价",ROUND(PRODUCT(V47,AC7:AC46),0),ROUND(PRODUCT(V47,AC7:AC46),1))</f>
        <v>#DIV/0!</v>
      </c>
      <c r="W48" s="3020"/>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092" t="str">
        <f>A49</f>
        <v>估价对象XX用房的比较价值（楼面单价，元/平方米）</v>
      </c>
      <c r="Q49" s="3018"/>
      <c r="R49" s="3022" t="e">
        <f>IF(E1="售价",ROUND(AVERAGE(R48:V48),0),ROUND(AVERAGE(R48:V48),1))</f>
        <v>#DIV/0!</v>
      </c>
      <c r="S49" s="3022"/>
      <c r="T49" s="3022"/>
      <c r="U49" s="3022"/>
      <c r="V49" s="3022"/>
      <c r="W49" s="302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851.59</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5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5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52"/>
      <c r="AC6" s="3043"/>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9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9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9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9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9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9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93" t="s">
        <v>2319</v>
      </c>
      <c r="Q15" s="1898" t="str">
        <f t="shared" si="6"/>
        <v>商业繁华度</v>
      </c>
      <c r="R15" s="752" t="s">
        <v>25</v>
      </c>
      <c r="S15" s="753">
        <f t="shared" si="0"/>
        <v>100</v>
      </c>
      <c r="T15" s="752" t="s">
        <v>25</v>
      </c>
      <c r="U15" s="753">
        <f t="shared" si="1"/>
        <v>100</v>
      </c>
      <c r="V15" s="752" t="s">
        <v>25</v>
      </c>
      <c r="W15" s="753">
        <f t="shared" si="2"/>
        <v>100</v>
      </c>
      <c r="X15" s="1899"/>
      <c r="Y15" s="3039"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94"/>
      <c r="Q16" s="1898"/>
      <c r="R16" s="752"/>
      <c r="S16" s="753"/>
      <c r="T16" s="752"/>
      <c r="U16" s="753"/>
      <c r="V16" s="752"/>
      <c r="W16" s="753"/>
      <c r="X16" s="1899"/>
      <c r="Y16" s="3040"/>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94"/>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94"/>
      <c r="Q18" s="1898"/>
      <c r="R18" s="752"/>
      <c r="S18" s="753"/>
      <c r="T18" s="752"/>
      <c r="U18" s="753"/>
      <c r="V18" s="752"/>
      <c r="W18" s="753"/>
      <c r="X18" s="1899"/>
      <c r="Y18" s="3040"/>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94"/>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94"/>
      <c r="Q20" s="1898"/>
      <c r="R20" s="752"/>
      <c r="S20" s="753"/>
      <c r="T20" s="752"/>
      <c r="U20" s="753"/>
      <c r="V20" s="752"/>
      <c r="W20" s="753"/>
      <c r="X20" s="1899"/>
      <c r="Y20" s="3040"/>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94"/>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94"/>
      <c r="Q22" s="1898"/>
      <c r="R22" s="752"/>
      <c r="S22" s="753"/>
      <c r="T22" s="752"/>
      <c r="U22" s="753"/>
      <c r="V22" s="752"/>
      <c r="W22" s="753"/>
      <c r="X22" s="1899"/>
      <c r="Y22" s="3040"/>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94"/>
      <c r="Q23" s="1898" t="str">
        <f>B23</f>
        <v>自然及人文环境</v>
      </c>
      <c r="R23" s="752" t="s">
        <v>25</v>
      </c>
      <c r="S23" s="753">
        <f>F23</f>
        <v>100</v>
      </c>
      <c r="T23" s="752" t="s">
        <v>25</v>
      </c>
      <c r="U23" s="753">
        <f>H23</f>
        <v>100</v>
      </c>
      <c r="V23" s="752" t="s">
        <v>25</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94"/>
      <c r="Q24" s="1898"/>
      <c r="R24" s="752"/>
      <c r="S24" s="753"/>
      <c r="T24" s="752"/>
      <c r="U24" s="753"/>
      <c r="V24" s="752"/>
      <c r="W24" s="753"/>
      <c r="X24" s="1899"/>
      <c r="Y24" s="3040"/>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94"/>
      <c r="Q25" s="1898" t="str">
        <f t="shared" ref="Q25:Q46" si="11">B25</f>
        <v>临街状况</v>
      </c>
      <c r="R25" s="752" t="s">
        <v>25</v>
      </c>
      <c r="S25" s="753">
        <f>F25</f>
        <v>100</v>
      </c>
      <c r="T25" s="752" t="s">
        <v>25</v>
      </c>
      <c r="U25" s="753">
        <f>H25</f>
        <v>100</v>
      </c>
      <c r="V25" s="752" t="s">
        <v>25</v>
      </c>
      <c r="W25" s="753">
        <f>J25</f>
        <v>100</v>
      </c>
      <c r="X25" s="1899"/>
      <c r="Y25" s="3040"/>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94"/>
      <c r="Q26" s="1898" t="str">
        <f t="shared" si="11"/>
        <v>平面位置/可视性</v>
      </c>
      <c r="R26" s="752" t="s">
        <v>25</v>
      </c>
      <c r="S26" s="753">
        <f>F26</f>
        <v>100</v>
      </c>
      <c r="T26" s="752" t="s">
        <v>25</v>
      </c>
      <c r="U26" s="753">
        <f>H26</f>
        <v>100</v>
      </c>
      <c r="V26" s="752" t="s">
        <v>25</v>
      </c>
      <c r="W26" s="753">
        <f>J26</f>
        <v>100</v>
      </c>
      <c r="X26" s="1899"/>
      <c r="Y26" s="3040"/>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94"/>
      <c r="Q27" s="1886" t="str">
        <f t="shared" si="11"/>
        <v>人流量</v>
      </c>
      <c r="R27" s="748" t="s">
        <v>25</v>
      </c>
      <c r="S27" s="749">
        <f>F27</f>
        <v>100</v>
      </c>
      <c r="T27" s="748" t="s">
        <v>25</v>
      </c>
      <c r="U27" s="749">
        <f>H27</f>
        <v>100</v>
      </c>
      <c r="V27" s="748" t="s">
        <v>25</v>
      </c>
      <c r="W27" s="749">
        <f>J27</f>
        <v>100</v>
      </c>
      <c r="X27" s="750"/>
      <c r="Y27" s="3040"/>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94"/>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94"/>
      <c r="Q29" s="1898">
        <f t="shared" si="11"/>
        <v>111</v>
      </c>
      <c r="R29" s="752" t="s">
        <v>25</v>
      </c>
      <c r="S29" s="753">
        <f t="shared" si="12"/>
        <v>100</v>
      </c>
      <c r="T29" s="752" t="s">
        <v>25</v>
      </c>
      <c r="U29" s="753">
        <f t="shared" si="13"/>
        <v>100</v>
      </c>
      <c r="V29" s="752" t="s">
        <v>25</v>
      </c>
      <c r="W29" s="753">
        <f t="shared" si="14"/>
        <v>100</v>
      </c>
      <c r="X29" s="1899"/>
      <c r="Y29" s="304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94"/>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94"/>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5" t="s">
        <v>2325</v>
      </c>
      <c r="Q32" s="1898" t="str">
        <f t="shared" si="11"/>
        <v>商业类型</v>
      </c>
      <c r="R32" s="752" t="s">
        <v>25</v>
      </c>
      <c r="S32" s="753">
        <f t="shared" si="12"/>
        <v>100</v>
      </c>
      <c r="T32" s="752" t="s">
        <v>25</v>
      </c>
      <c r="U32" s="753">
        <f t="shared" si="13"/>
        <v>100</v>
      </c>
      <c r="V32" s="752" t="s">
        <v>25</v>
      </c>
      <c r="W32" s="753">
        <f t="shared" si="14"/>
        <v>100</v>
      </c>
      <c r="X32" s="1899"/>
      <c r="Y32" s="3026"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6"/>
      <c r="Q33" s="754" t="str">
        <f t="shared" si="11"/>
        <v>项目建筑规模</v>
      </c>
      <c r="R33" s="755" t="s">
        <v>25</v>
      </c>
      <c r="S33" s="756" t="e">
        <f t="shared" si="12"/>
        <v>#N/A</v>
      </c>
      <c r="T33" s="755" t="s">
        <v>25</v>
      </c>
      <c r="U33" s="756" t="e">
        <f t="shared" si="13"/>
        <v>#N/A</v>
      </c>
      <c r="V33" s="755" t="s">
        <v>25</v>
      </c>
      <c r="W33" s="756" t="e">
        <f t="shared" si="14"/>
        <v>#N/A</v>
      </c>
      <c r="X33" s="757"/>
      <c r="Y33" s="3026"/>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6"/>
      <c r="Q34" s="1898" t="str">
        <f t="shared" si="11"/>
        <v>建筑结构</v>
      </c>
      <c r="R34" s="752" t="s">
        <v>25</v>
      </c>
      <c r="S34" s="753">
        <f t="shared" si="12"/>
        <v>100</v>
      </c>
      <c r="T34" s="752" t="s">
        <v>25</v>
      </c>
      <c r="U34" s="753">
        <f t="shared" si="13"/>
        <v>100</v>
      </c>
      <c r="V34" s="752" t="s">
        <v>25</v>
      </c>
      <c r="W34" s="753">
        <f t="shared" si="14"/>
        <v>100</v>
      </c>
      <c r="X34" s="1899"/>
      <c r="Y34" s="3026"/>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6"/>
      <c r="Q35" s="1898" t="str">
        <f t="shared" si="11"/>
        <v>公共部分装修</v>
      </c>
      <c r="R35" s="752" t="s">
        <v>25</v>
      </c>
      <c r="S35" s="753">
        <f t="shared" si="12"/>
        <v>100</v>
      </c>
      <c r="T35" s="752" t="s">
        <v>25</v>
      </c>
      <c r="U35" s="753">
        <f t="shared" si="13"/>
        <v>100</v>
      </c>
      <c r="V35" s="752" t="s">
        <v>25</v>
      </c>
      <c r="W35" s="753">
        <f t="shared" si="14"/>
        <v>100</v>
      </c>
      <c r="X35" s="1899"/>
      <c r="Y35" s="3026"/>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6"/>
      <c r="Q36" s="1898" t="str">
        <f t="shared" si="11"/>
        <v>成新度</v>
      </c>
      <c r="R36" s="752" t="s">
        <v>25</v>
      </c>
      <c r="S36" s="753" t="e">
        <f t="shared" si="12"/>
        <v>#N/A</v>
      </c>
      <c r="T36" s="752" t="s">
        <v>25</v>
      </c>
      <c r="U36" s="753" t="e">
        <f t="shared" si="13"/>
        <v>#N/A</v>
      </c>
      <c r="V36" s="752" t="s">
        <v>25</v>
      </c>
      <c r="W36" s="753"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6"/>
      <c r="Q37" s="1886" t="str">
        <f t="shared" si="11"/>
        <v>市政基础设施</v>
      </c>
      <c r="R37" s="748" t="s">
        <v>25</v>
      </c>
      <c r="S37" s="749">
        <f t="shared" si="12"/>
        <v>100</v>
      </c>
      <c r="T37" s="748" t="s">
        <v>25</v>
      </c>
      <c r="U37" s="749">
        <f t="shared" si="13"/>
        <v>100</v>
      </c>
      <c r="V37" s="748" t="s">
        <v>25</v>
      </c>
      <c r="W37" s="749">
        <f t="shared" si="14"/>
        <v>100</v>
      </c>
      <c r="X37" s="750"/>
      <c r="Y37" s="3026"/>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6" t="s">
        <v>2325</v>
      </c>
      <c r="Q38" s="1898" t="str">
        <f t="shared" si="11"/>
        <v>业态</v>
      </c>
      <c r="R38" s="752" t="s">
        <v>25</v>
      </c>
      <c r="S38" s="753">
        <f t="shared" si="12"/>
        <v>100</v>
      </c>
      <c r="T38" s="752" t="s">
        <v>25</v>
      </c>
      <c r="U38" s="753">
        <f t="shared" si="13"/>
        <v>100</v>
      </c>
      <c r="V38" s="752" t="s">
        <v>25</v>
      </c>
      <c r="W38" s="753">
        <f t="shared" si="14"/>
        <v>100</v>
      </c>
      <c r="X38" s="1899"/>
      <c r="Y38" s="3026"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6"/>
      <c r="Q39" s="1898" t="str">
        <f t="shared" si="11"/>
        <v>层高</v>
      </c>
      <c r="R39" s="752" t="s">
        <v>25</v>
      </c>
      <c r="S39" s="753">
        <f t="shared" si="12"/>
        <v>100</v>
      </c>
      <c r="T39" s="752" t="s">
        <v>25</v>
      </c>
      <c r="U39" s="753">
        <f t="shared" si="13"/>
        <v>100</v>
      </c>
      <c r="V39" s="752" t="s">
        <v>25</v>
      </c>
      <c r="W39" s="753">
        <f t="shared" si="14"/>
        <v>100</v>
      </c>
      <c r="X39" s="1899"/>
      <c r="Y39" s="3026"/>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6"/>
      <c r="Q40" s="1898" t="str">
        <f t="shared" si="11"/>
        <v>单套建筑面积</v>
      </c>
      <c r="R40" s="752" t="s">
        <v>25</v>
      </c>
      <c r="S40" s="753">
        <f t="shared" si="12"/>
        <v>100</v>
      </c>
      <c r="T40" s="752" t="s">
        <v>25</v>
      </c>
      <c r="U40" s="753">
        <f t="shared" si="13"/>
        <v>100</v>
      </c>
      <c r="V40" s="752" t="s">
        <v>25</v>
      </c>
      <c r="W40" s="753">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6"/>
      <c r="Q41" s="754" t="str">
        <f t="shared" si="11"/>
        <v>进深比</v>
      </c>
      <c r="R41" s="755" t="s">
        <v>25</v>
      </c>
      <c r="S41" s="756">
        <f t="shared" si="12"/>
        <v>100</v>
      </c>
      <c r="T41" s="755" t="s">
        <v>25</v>
      </c>
      <c r="U41" s="756">
        <f t="shared" si="13"/>
        <v>100</v>
      </c>
      <c r="V41" s="755" t="s">
        <v>25</v>
      </c>
      <c r="W41" s="756">
        <f t="shared" si="14"/>
        <v>100</v>
      </c>
      <c r="X41" s="757"/>
      <c r="Y41" s="3026"/>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6"/>
      <c r="Q42" s="1898" t="str">
        <f t="shared" si="11"/>
        <v>内部装修</v>
      </c>
      <c r="R42" s="752" t="s">
        <v>25</v>
      </c>
      <c r="S42" s="753">
        <f t="shared" si="12"/>
        <v>100</v>
      </c>
      <c r="T42" s="752" t="s">
        <v>25</v>
      </c>
      <c r="U42" s="753">
        <f t="shared" si="13"/>
        <v>100</v>
      </c>
      <c r="V42" s="752" t="s">
        <v>25</v>
      </c>
      <c r="W42" s="753">
        <f t="shared" si="14"/>
        <v>100</v>
      </c>
      <c r="X42" s="1899"/>
      <c r="Y42" s="3026"/>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6"/>
      <c r="Q43" s="1898" t="str">
        <f t="shared" si="11"/>
        <v>内部装修维护情况</v>
      </c>
      <c r="R43" s="752" t="s">
        <v>25</v>
      </c>
      <c r="S43" s="753">
        <f t="shared" si="12"/>
        <v>100</v>
      </c>
      <c r="T43" s="752" t="s">
        <v>25</v>
      </c>
      <c r="U43" s="753">
        <f t="shared" si="13"/>
        <v>100</v>
      </c>
      <c r="V43" s="752" t="s">
        <v>25</v>
      </c>
      <c r="W43" s="753">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6"/>
      <c r="Q44" s="1886">
        <f t="shared" si="11"/>
        <v>111</v>
      </c>
      <c r="R44" s="748" t="s">
        <v>25</v>
      </c>
      <c r="S44" s="749">
        <f t="shared" si="12"/>
        <v>100</v>
      </c>
      <c r="T44" s="748" t="s">
        <v>25</v>
      </c>
      <c r="U44" s="749">
        <f t="shared" si="13"/>
        <v>100</v>
      </c>
      <c r="V44" s="748" t="s">
        <v>25</v>
      </c>
      <c r="W44" s="749">
        <f t="shared" si="14"/>
        <v>100</v>
      </c>
      <c r="X44" s="750"/>
      <c r="Y44" s="302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6"/>
      <c r="Q45" s="1898">
        <f t="shared" si="11"/>
        <v>111</v>
      </c>
      <c r="R45" s="752" t="s">
        <v>25</v>
      </c>
      <c r="S45" s="753">
        <f t="shared" si="12"/>
        <v>100</v>
      </c>
      <c r="T45" s="752" t="s">
        <v>25</v>
      </c>
      <c r="U45" s="753">
        <f t="shared" si="13"/>
        <v>100</v>
      </c>
      <c r="V45" s="752" t="s">
        <v>25</v>
      </c>
      <c r="W45" s="753">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7"/>
      <c r="Q46" s="1898">
        <f t="shared" si="11"/>
        <v>111</v>
      </c>
      <c r="R46" s="752" t="s">
        <v>25</v>
      </c>
      <c r="S46" s="753">
        <f t="shared" si="12"/>
        <v>100</v>
      </c>
      <c r="T46" s="752" t="s">
        <v>25</v>
      </c>
      <c r="U46" s="753">
        <f t="shared" si="13"/>
        <v>100</v>
      </c>
      <c r="V46" s="752" t="s">
        <v>25</v>
      </c>
      <c r="W46" s="753">
        <f t="shared" si="14"/>
        <v>100</v>
      </c>
      <c r="X46" s="1899"/>
      <c r="Y46" s="3027"/>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19" t="str">
        <f>A47</f>
        <v>成交单价（元/平方米）</v>
      </c>
      <c r="Q47" s="3019"/>
      <c r="R47" s="3020">
        <f>E47</f>
        <v>0</v>
      </c>
      <c r="S47" s="3020"/>
      <c r="T47" s="3020">
        <f>G47</f>
        <v>0</v>
      </c>
      <c r="U47" s="3020"/>
      <c r="V47" s="3020">
        <f>I47</f>
        <v>0</v>
      </c>
      <c r="W47" s="3020"/>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19" t="str">
        <f>A48</f>
        <v>比较价值（元/平方米）</v>
      </c>
      <c r="Q48" s="3019"/>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092" t="str">
        <f>A49</f>
        <v>估价对象XX用房的比较价值（楼面单价，元/平方米）</v>
      </c>
      <c r="Q49" s="3018"/>
      <c r="R49" s="3022" t="e">
        <f>IF(E1="售价",ROUND(AVERAGE(R48:V48),0),ROUND(AVERAGE(R48:V48),1))</f>
        <v>#DIV/0!</v>
      </c>
      <c r="S49" s="3022"/>
      <c r="T49" s="3022"/>
      <c r="U49" s="3022"/>
      <c r="V49" s="3022"/>
      <c r="W49" s="302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851.59</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8" t="s">
        <v>2311</v>
      </c>
      <c r="Q8" s="3029"/>
      <c r="R8" s="748" t="s">
        <v>25</v>
      </c>
      <c r="S8" s="749">
        <f t="shared" si="0"/>
        <v>100</v>
      </c>
      <c r="T8" s="748" t="s">
        <v>25</v>
      </c>
      <c r="U8" s="749">
        <f t="shared" si="1"/>
        <v>100</v>
      </c>
      <c r="V8" s="748" t="s">
        <v>25</v>
      </c>
      <c r="W8" s="749">
        <f t="shared" si="2"/>
        <v>100</v>
      </c>
      <c r="X8" s="750"/>
      <c r="Y8" s="3028" t="s">
        <v>2311</v>
      </c>
      <c r="Z8" s="3029"/>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2319</v>
      </c>
      <c r="Q15" s="1898" t="str">
        <f t="shared" si="6"/>
        <v>产业集聚程度</v>
      </c>
      <c r="R15" s="752" t="s">
        <v>25</v>
      </c>
      <c r="S15" s="753">
        <f t="shared" si="0"/>
        <v>100</v>
      </c>
      <c r="T15" s="752" t="s">
        <v>25</v>
      </c>
      <c r="U15" s="753">
        <f t="shared" si="1"/>
        <v>100</v>
      </c>
      <c r="V15" s="752" t="s">
        <v>25</v>
      </c>
      <c r="W15" s="753">
        <f t="shared" si="2"/>
        <v>100</v>
      </c>
      <c r="X15" s="1899"/>
      <c r="Y15" s="3039"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0"/>
      <c r="Q20" s="1898"/>
      <c r="R20" s="752"/>
      <c r="S20" s="753"/>
      <c r="T20" s="752"/>
      <c r="U20" s="753"/>
      <c r="V20" s="752"/>
      <c r="W20" s="753"/>
      <c r="X20" s="1899"/>
      <c r="Y20" s="3040"/>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0"/>
      <c r="Q24" s="1898"/>
      <c r="R24" s="752"/>
      <c r="S24" s="753"/>
      <c r="T24" s="752"/>
      <c r="U24" s="753"/>
      <c r="V24" s="752"/>
      <c r="W24" s="753"/>
      <c r="X24" s="1899"/>
      <c r="Y24" s="304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2" t="s">
        <v>25</v>
      </c>
      <c r="S25" s="753">
        <f>F25</f>
        <v>100</v>
      </c>
      <c r="T25" s="752" t="s">
        <v>25</v>
      </c>
      <c r="U25" s="753">
        <f>H25</f>
        <v>100</v>
      </c>
      <c r="V25" s="752" t="s">
        <v>25</v>
      </c>
      <c r="W25" s="753">
        <f>J25</f>
        <v>100</v>
      </c>
      <c r="X25" s="1899"/>
      <c r="Y25" s="304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2" t="s">
        <v>25</v>
      </c>
      <c r="S26" s="753">
        <f>F26</f>
        <v>100</v>
      </c>
      <c r="T26" s="752" t="s">
        <v>25</v>
      </c>
      <c r="U26" s="753">
        <f>H26</f>
        <v>100</v>
      </c>
      <c r="V26" s="752" t="s">
        <v>25</v>
      </c>
      <c r="W26" s="753">
        <f>J26</f>
        <v>100</v>
      </c>
      <c r="X26" s="1899"/>
      <c r="Y26" s="304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8" t="s">
        <v>25</v>
      </c>
      <c r="S27" s="749">
        <f>F27</f>
        <v>100</v>
      </c>
      <c r="T27" s="748" t="s">
        <v>25</v>
      </c>
      <c r="U27" s="749">
        <f>H27</f>
        <v>100</v>
      </c>
      <c r="V27" s="748" t="s">
        <v>25</v>
      </c>
      <c r="W27" s="749">
        <f>J27</f>
        <v>100</v>
      </c>
      <c r="X27" s="750"/>
      <c r="Y27" s="304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2" t="s">
        <v>25</v>
      </c>
      <c r="S28" s="753">
        <f t="shared" ref="S28:S40" si="12">F28</f>
        <v>100</v>
      </c>
      <c r="T28" s="752" t="s">
        <v>25</v>
      </c>
      <c r="U28" s="753">
        <f t="shared" ref="U28:U40" si="13">H28</f>
        <v>100</v>
      </c>
      <c r="V28" s="752" t="s">
        <v>25</v>
      </c>
      <c r="W28" s="753">
        <f t="shared" ref="W28:W40" si="14">J28</f>
        <v>100</v>
      </c>
      <c r="X28" s="1899"/>
      <c r="Y28" s="3040"/>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4" t="s">
        <v>2325</v>
      </c>
      <c r="Q29" s="1898" t="str">
        <f t="shared" si="11"/>
        <v>建筑类型</v>
      </c>
      <c r="R29" s="752" t="s">
        <v>25</v>
      </c>
      <c r="S29" s="753">
        <f t="shared" si="12"/>
        <v>100</v>
      </c>
      <c r="T29" s="752" t="s">
        <v>25</v>
      </c>
      <c r="U29" s="753">
        <f t="shared" si="13"/>
        <v>100</v>
      </c>
      <c r="V29" s="752" t="s">
        <v>25</v>
      </c>
      <c r="W29" s="753">
        <f t="shared" si="14"/>
        <v>100</v>
      </c>
      <c r="X29" s="1899"/>
      <c r="Y29" s="3026"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4" t="str">
        <f t="shared" si="11"/>
        <v>项目建筑规模</v>
      </c>
      <c r="R30" s="755" t="s">
        <v>25</v>
      </c>
      <c r="S30" s="756" t="e">
        <f t="shared" si="12"/>
        <v>#N/A</v>
      </c>
      <c r="T30" s="755" t="s">
        <v>25</v>
      </c>
      <c r="U30" s="756" t="e">
        <f t="shared" si="13"/>
        <v>#N/A</v>
      </c>
      <c r="V30" s="755" t="s">
        <v>25</v>
      </c>
      <c r="W30" s="756" t="e">
        <f t="shared" si="14"/>
        <v>#N/A</v>
      </c>
      <c r="X30" s="757"/>
      <c r="Y30" s="3026"/>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2" t="s">
        <v>25</v>
      </c>
      <c r="S31" s="753">
        <f t="shared" si="12"/>
        <v>100</v>
      </c>
      <c r="T31" s="752" t="s">
        <v>25</v>
      </c>
      <c r="U31" s="753">
        <f t="shared" si="13"/>
        <v>100</v>
      </c>
      <c r="V31" s="752" t="s">
        <v>25</v>
      </c>
      <c r="W31" s="753">
        <f t="shared" si="14"/>
        <v>100</v>
      </c>
      <c r="X31" s="1899"/>
      <c r="Y31" s="3026"/>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2" t="s">
        <v>25</v>
      </c>
      <c r="S32" s="753">
        <f t="shared" si="12"/>
        <v>100</v>
      </c>
      <c r="T32" s="752" t="s">
        <v>25</v>
      </c>
      <c r="U32" s="753">
        <f t="shared" si="13"/>
        <v>100</v>
      </c>
      <c r="V32" s="752" t="s">
        <v>25</v>
      </c>
      <c r="W32" s="753">
        <f t="shared" si="14"/>
        <v>100</v>
      </c>
      <c r="X32" s="1899"/>
      <c r="Y32" s="3026"/>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2" t="s">
        <v>25</v>
      </c>
      <c r="S33" s="753" t="e">
        <f t="shared" si="12"/>
        <v>#N/A</v>
      </c>
      <c r="T33" s="752" t="s">
        <v>25</v>
      </c>
      <c r="U33" s="753" t="e">
        <f t="shared" si="13"/>
        <v>#N/A</v>
      </c>
      <c r="V33" s="752" t="s">
        <v>25</v>
      </c>
      <c r="W33" s="753"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8" t="s">
        <v>25</v>
      </c>
      <c r="S34" s="749">
        <f t="shared" si="12"/>
        <v>100</v>
      </c>
      <c r="T34" s="748" t="s">
        <v>25</v>
      </c>
      <c r="U34" s="749">
        <f t="shared" si="13"/>
        <v>100</v>
      </c>
      <c r="V34" s="748" t="s">
        <v>25</v>
      </c>
      <c r="W34" s="749">
        <f t="shared" si="14"/>
        <v>100</v>
      </c>
      <c r="X34" s="750"/>
      <c r="Y34" s="3026"/>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2325</v>
      </c>
      <c r="Q35" s="1898" t="str">
        <f t="shared" si="11"/>
        <v>市政基础设施</v>
      </c>
      <c r="R35" s="752" t="s">
        <v>25</v>
      </c>
      <c r="S35" s="753">
        <f t="shared" si="12"/>
        <v>100</v>
      </c>
      <c r="T35" s="752" t="s">
        <v>25</v>
      </c>
      <c r="U35" s="753">
        <f t="shared" si="13"/>
        <v>100</v>
      </c>
      <c r="V35" s="752" t="s">
        <v>25</v>
      </c>
      <c r="W35" s="753">
        <f t="shared" si="14"/>
        <v>100</v>
      </c>
      <c r="X35" s="1899"/>
      <c r="Y35" s="3026"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2" t="s">
        <v>25</v>
      </c>
      <c r="S36" s="753">
        <f t="shared" si="12"/>
        <v>100</v>
      </c>
      <c r="T36" s="752" t="s">
        <v>25</v>
      </c>
      <c r="U36" s="753">
        <f t="shared" si="13"/>
        <v>100</v>
      </c>
      <c r="V36" s="752" t="s">
        <v>25</v>
      </c>
      <c r="W36" s="753">
        <f t="shared" si="14"/>
        <v>100</v>
      </c>
      <c r="X36" s="1899"/>
      <c r="Y36" s="3026"/>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2" t="s">
        <v>25</v>
      </c>
      <c r="S37" s="753">
        <f t="shared" si="12"/>
        <v>0</v>
      </c>
      <c r="T37" s="752" t="s">
        <v>25</v>
      </c>
      <c r="U37" s="753">
        <f t="shared" si="13"/>
        <v>0</v>
      </c>
      <c r="V37" s="752" t="s">
        <v>25</v>
      </c>
      <c r="W37" s="753">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4">
        <f t="shared" si="11"/>
        <v>111</v>
      </c>
      <c r="R38" s="755" t="s">
        <v>25</v>
      </c>
      <c r="S38" s="756">
        <f t="shared" si="12"/>
        <v>100</v>
      </c>
      <c r="T38" s="755" t="s">
        <v>25</v>
      </c>
      <c r="U38" s="756">
        <f t="shared" si="13"/>
        <v>100</v>
      </c>
      <c r="V38" s="755" t="s">
        <v>25</v>
      </c>
      <c r="W38" s="756">
        <f t="shared" si="14"/>
        <v>100</v>
      </c>
      <c r="X38" s="757"/>
      <c r="Y38" s="3026"/>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2" t="s">
        <v>25</v>
      </c>
      <c r="S39" s="753">
        <f t="shared" si="12"/>
        <v>100</v>
      </c>
      <c r="T39" s="752" t="s">
        <v>25</v>
      </c>
      <c r="U39" s="753">
        <f t="shared" si="13"/>
        <v>100</v>
      </c>
      <c r="V39" s="752" t="s">
        <v>25</v>
      </c>
      <c r="W39" s="753">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2" t="s">
        <v>25</v>
      </c>
      <c r="S40" s="753">
        <f t="shared" si="12"/>
        <v>100</v>
      </c>
      <c r="T40" s="752" t="s">
        <v>25</v>
      </c>
      <c r="U40" s="753">
        <f t="shared" si="13"/>
        <v>100</v>
      </c>
      <c r="V40" s="752" t="s">
        <v>25</v>
      </c>
      <c r="W40" s="753">
        <f t="shared" si="14"/>
        <v>100</v>
      </c>
      <c r="X40" s="1899"/>
      <c r="Y40" s="3027"/>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19" t="str">
        <f>A41</f>
        <v>成交单价（元/平方米）</v>
      </c>
      <c r="Q41" s="3019"/>
      <c r="R41" s="3020">
        <f>E41</f>
        <v>0</v>
      </c>
      <c r="S41" s="3020"/>
      <c r="T41" s="3020">
        <f>G41</f>
        <v>0</v>
      </c>
      <c r="U41" s="3020"/>
      <c r="V41" s="3020">
        <f>I41</f>
        <v>0</v>
      </c>
      <c r="W41" s="3020"/>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19" t="str">
        <f>A42</f>
        <v>比较价值（元/平方米）</v>
      </c>
      <c r="Q42" s="3019"/>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092" t="str">
        <f>A43</f>
        <v>估价对象XX用房的比较价值（楼面单价，元/平方米）</v>
      </c>
      <c r="Q43" s="3018"/>
      <c r="R43" s="3022" t="e">
        <f>IF(E1="售价",ROUND(AVERAGE(R42:V42),0),ROUND(AVERAGE(R42:V42),1))</f>
        <v>#DIV/0!</v>
      </c>
      <c r="S43" s="3022"/>
      <c r="T43" s="3022"/>
      <c r="U43" s="3022"/>
      <c r="V43" s="3022"/>
      <c r="W43" s="3022"/>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851.59</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513"/>
      <c r="M4" s="425"/>
      <c r="N4" s="425"/>
      <c r="O4" s="425"/>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513"/>
      <c r="M5" s="425"/>
      <c r="N5" s="425"/>
      <c r="O5" s="425"/>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513"/>
      <c r="M6" s="425"/>
      <c r="N6" s="425"/>
      <c r="O6" s="425"/>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8" t="s">
        <v>2308</v>
      </c>
      <c r="Q7" s="3036"/>
      <c r="R7" s="748" t="s">
        <v>25</v>
      </c>
      <c r="S7" s="749">
        <f t="shared" ref="S7:S14" si="0">F7</f>
        <v>0</v>
      </c>
      <c r="T7" s="748" t="s">
        <v>25</v>
      </c>
      <c r="U7" s="749">
        <f t="shared" ref="U7:U14" si="1">H7</f>
        <v>0</v>
      </c>
      <c r="V7" s="748" t="s">
        <v>25</v>
      </c>
      <c r="W7" s="749">
        <f t="shared" ref="W7:W14"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8" t="s">
        <v>2311</v>
      </c>
      <c r="Q8" s="3029"/>
      <c r="R8" s="748" t="s">
        <v>25</v>
      </c>
      <c r="S8" s="749">
        <f t="shared" si="0"/>
        <v>0</v>
      </c>
      <c r="T8" s="748" t="s">
        <v>25</v>
      </c>
      <c r="U8" s="749">
        <f t="shared" si="1"/>
        <v>0</v>
      </c>
      <c r="V8" s="748" t="s">
        <v>25</v>
      </c>
      <c r="W8" s="749">
        <f t="shared" si="2"/>
        <v>0</v>
      </c>
      <c r="X8" s="750"/>
      <c r="Y8" s="3028" t="s">
        <v>2311</v>
      </c>
      <c r="Z8" s="3029"/>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9" t="s">
        <v>2314</v>
      </c>
      <c r="Q9" s="1886" t="str">
        <f t="shared" ref="Q9:Q14" si="6">B9</f>
        <v>用途</v>
      </c>
      <c r="R9" s="748" t="s">
        <v>25</v>
      </c>
      <c r="S9" s="749">
        <f t="shared" si="0"/>
        <v>100</v>
      </c>
      <c r="T9" s="748" t="s">
        <v>25</v>
      </c>
      <c r="U9" s="749">
        <f t="shared" si="1"/>
        <v>100</v>
      </c>
      <c r="V9" s="748" t="s">
        <v>25</v>
      </c>
      <c r="W9" s="749">
        <f t="shared" si="2"/>
        <v>100</v>
      </c>
      <c r="X9" s="750"/>
      <c r="Y9" s="2879"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9"/>
      <c r="Q11" s="1886">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2319</v>
      </c>
      <c r="Q14" s="1898" t="str">
        <f t="shared" si="6"/>
        <v>交通便捷度</v>
      </c>
      <c r="R14" s="752" t="s">
        <v>25</v>
      </c>
      <c r="S14" s="753">
        <f t="shared" si="0"/>
        <v>100</v>
      </c>
      <c r="T14" s="752" t="s">
        <v>25</v>
      </c>
      <c r="U14" s="753">
        <f t="shared" si="1"/>
        <v>100</v>
      </c>
      <c r="V14" s="752" t="s">
        <v>25</v>
      </c>
      <c r="W14" s="753">
        <f t="shared" si="2"/>
        <v>100</v>
      </c>
      <c r="X14" s="1899"/>
      <c r="Y14" s="3039"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2"/>
      <c r="S15" s="753"/>
      <c r="T15" s="752"/>
      <c r="U15" s="753"/>
      <c r="V15" s="752"/>
      <c r="W15" s="753"/>
      <c r="X15" s="1899"/>
      <c r="Y15" s="3040"/>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2"/>
      <c r="S17" s="753"/>
      <c r="T17" s="752"/>
      <c r="U17" s="753"/>
      <c r="V17" s="752"/>
      <c r="W17" s="753"/>
      <c r="X17" s="1899"/>
      <c r="Y17" s="3040"/>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2"/>
      <c r="S19" s="753"/>
      <c r="T19" s="752"/>
      <c r="U19" s="753"/>
      <c r="V19" s="752"/>
      <c r="W19" s="753"/>
      <c r="X19" s="1899"/>
      <c r="Y19" s="3040"/>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2"/>
      <c r="S21" s="753"/>
      <c r="T21" s="752"/>
      <c r="U21" s="753"/>
      <c r="V21" s="752"/>
      <c r="W21" s="753"/>
      <c r="X21" s="1899"/>
      <c r="Y21" s="3040"/>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4"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26"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4" t="str">
        <f t="shared" si="11"/>
        <v>项目停车位配比</v>
      </c>
      <c r="R27" s="755" t="s">
        <v>25</v>
      </c>
      <c r="S27" s="756">
        <f t="shared" si="12"/>
        <v>100</v>
      </c>
      <c r="T27" s="755" t="s">
        <v>25</v>
      </c>
      <c r="U27" s="756">
        <f t="shared" si="13"/>
        <v>100</v>
      </c>
      <c r="V27" s="755" t="s">
        <v>25</v>
      </c>
      <c r="W27" s="756">
        <f t="shared" si="14"/>
        <v>100</v>
      </c>
      <c r="X27" s="757"/>
      <c r="Y27" s="3026"/>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2" t="s">
        <v>25</v>
      </c>
      <c r="S28" s="753">
        <f t="shared" si="12"/>
        <v>100</v>
      </c>
      <c r="T28" s="752" t="s">
        <v>25</v>
      </c>
      <c r="U28" s="753">
        <f t="shared" si="13"/>
        <v>100</v>
      </c>
      <c r="V28" s="752" t="s">
        <v>25</v>
      </c>
      <c r="W28" s="753">
        <f t="shared" si="14"/>
        <v>100</v>
      </c>
      <c r="X28" s="1899"/>
      <c r="Y28" s="3026"/>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2" t="s">
        <v>25</v>
      </c>
      <c r="S29" s="753" t="e">
        <f t="shared" si="12"/>
        <v>#N/A</v>
      </c>
      <c r="T29" s="752" t="s">
        <v>25</v>
      </c>
      <c r="U29" s="753" t="e">
        <f t="shared" si="13"/>
        <v>#N/A</v>
      </c>
      <c r="V29" s="752" t="s">
        <v>25</v>
      </c>
      <c r="W29" s="753" t="e">
        <f t="shared" si="14"/>
        <v>#N/A</v>
      </c>
      <c r="X29" s="1899"/>
      <c r="Y29" s="3026"/>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2" t="s">
        <v>25</v>
      </c>
      <c r="S30" s="753">
        <f t="shared" si="12"/>
        <v>100</v>
      </c>
      <c r="T30" s="752" t="s">
        <v>25</v>
      </c>
      <c r="U30" s="753">
        <f t="shared" si="13"/>
        <v>100</v>
      </c>
      <c r="V30" s="752" t="s">
        <v>25</v>
      </c>
      <c r="W30" s="753">
        <f t="shared" si="14"/>
        <v>100</v>
      </c>
      <c r="X30" s="1899"/>
      <c r="Y30" s="3026"/>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8" t="s">
        <v>25</v>
      </c>
      <c r="S31" s="749" t="e">
        <f t="shared" si="12"/>
        <v>#N/A</v>
      </c>
      <c r="T31" s="748" t="s">
        <v>25</v>
      </c>
      <c r="U31" s="749" t="e">
        <f t="shared" si="13"/>
        <v>#N/A</v>
      </c>
      <c r="V31" s="748" t="s">
        <v>25</v>
      </c>
      <c r="W31" s="749" t="e">
        <f t="shared" si="14"/>
        <v>#N/A</v>
      </c>
      <c r="X31" s="750"/>
      <c r="Y31" s="3026"/>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2325</v>
      </c>
      <c r="Q32" s="1898" t="str">
        <f t="shared" si="11"/>
        <v>车位类型</v>
      </c>
      <c r="R32" s="752" t="s">
        <v>25</v>
      </c>
      <c r="S32" s="753">
        <f t="shared" si="12"/>
        <v>100</v>
      </c>
      <c r="T32" s="752" t="s">
        <v>25</v>
      </c>
      <c r="U32" s="753">
        <f t="shared" si="13"/>
        <v>100</v>
      </c>
      <c r="V32" s="752" t="s">
        <v>25</v>
      </c>
      <c r="W32" s="753">
        <f t="shared" si="14"/>
        <v>100</v>
      </c>
      <c r="X32" s="1899"/>
      <c r="Y32" s="3026"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2" t="s">
        <v>25</v>
      </c>
      <c r="S33" s="753">
        <f t="shared" si="12"/>
        <v>100</v>
      </c>
      <c r="T33" s="752" t="s">
        <v>25</v>
      </c>
      <c r="U33" s="753">
        <f t="shared" si="13"/>
        <v>100</v>
      </c>
      <c r="V33" s="752" t="s">
        <v>25</v>
      </c>
      <c r="W33" s="753">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2" t="s">
        <v>25</v>
      </c>
      <c r="S34" s="753">
        <f t="shared" si="12"/>
        <v>100</v>
      </c>
      <c r="T34" s="752" t="s">
        <v>25</v>
      </c>
      <c r="U34" s="753">
        <f t="shared" si="13"/>
        <v>100</v>
      </c>
      <c r="V34" s="752" t="s">
        <v>25</v>
      </c>
      <c r="W34" s="753">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4">
        <f t="shared" si="11"/>
        <v>111</v>
      </c>
      <c r="R35" s="755" t="s">
        <v>25</v>
      </c>
      <c r="S35" s="756">
        <f t="shared" si="12"/>
        <v>100</v>
      </c>
      <c r="T35" s="755" t="s">
        <v>25</v>
      </c>
      <c r="U35" s="756">
        <f t="shared" si="13"/>
        <v>100</v>
      </c>
      <c r="V35" s="755" t="s">
        <v>25</v>
      </c>
      <c r="W35" s="756">
        <f t="shared" si="14"/>
        <v>100</v>
      </c>
      <c r="X35" s="757"/>
      <c r="Y35" s="3026"/>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2" t="s">
        <v>25</v>
      </c>
      <c r="S36" s="753">
        <f t="shared" si="12"/>
        <v>100</v>
      </c>
      <c r="T36" s="752" t="s">
        <v>25</v>
      </c>
      <c r="U36" s="753">
        <f t="shared" si="13"/>
        <v>100</v>
      </c>
      <c r="V36" s="752" t="s">
        <v>25</v>
      </c>
      <c r="W36" s="753">
        <f t="shared" si="14"/>
        <v>100</v>
      </c>
      <c r="X36" s="1899"/>
      <c r="Y36" s="3026"/>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19" t="str">
        <f>A37</f>
        <v>成交单价</v>
      </c>
      <c r="Q37" s="3019"/>
      <c r="R37" s="3020">
        <f>E37</f>
        <v>0</v>
      </c>
      <c r="S37" s="3020"/>
      <c r="T37" s="3020">
        <f>G37</f>
        <v>0</v>
      </c>
      <c r="U37" s="3020"/>
      <c r="V37" s="3020">
        <f>I37</f>
        <v>0</v>
      </c>
      <c r="W37" s="3020"/>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19" t="str">
        <f>A38</f>
        <v>比较价值</v>
      </c>
      <c r="Q38" s="3019"/>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092" t="str">
        <f>A39</f>
        <v>估价对象XX用房的比较价值（楼面单价，元/平方米）</v>
      </c>
      <c r="Q39" s="3018"/>
      <c r="R39" s="3022" t="e">
        <f>IF(E1="售价",ROUND(AVERAGE(R38:V38),0),ROUND(AVERAGE(R38:V38),1))</f>
        <v>#DIV/0!</v>
      </c>
      <c r="S39" s="3022"/>
      <c r="T39" s="3022"/>
      <c r="U39" s="3022"/>
      <c r="V39" s="3022"/>
      <c r="W39" s="3022"/>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851.59</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28" t="s">
        <v>2308</v>
      </c>
      <c r="Q7" s="3036"/>
      <c r="R7" s="748" t="s">
        <v>25</v>
      </c>
      <c r="S7" s="749">
        <f t="shared" ref="S7:S14" si="0">F7</f>
        <v>0</v>
      </c>
      <c r="T7" s="748" t="s">
        <v>25</v>
      </c>
      <c r="U7" s="749">
        <f t="shared" ref="U7:U14" si="1">H7</f>
        <v>0</v>
      </c>
      <c r="V7" s="748" t="s">
        <v>25</v>
      </c>
      <c r="W7" s="749">
        <f t="shared" ref="W7:W14"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9" t="s">
        <v>2314</v>
      </c>
      <c r="Q9" s="1886" t="str">
        <f t="shared" ref="Q9:Q14" si="6">B9</f>
        <v>用途</v>
      </c>
      <c r="R9" s="748" t="s">
        <v>25</v>
      </c>
      <c r="S9" s="749">
        <f t="shared" si="0"/>
        <v>100</v>
      </c>
      <c r="T9" s="748" t="s">
        <v>25</v>
      </c>
      <c r="U9" s="749">
        <f t="shared" si="1"/>
        <v>100</v>
      </c>
      <c r="V9" s="748" t="s">
        <v>25</v>
      </c>
      <c r="W9" s="749">
        <f t="shared" si="2"/>
        <v>100</v>
      </c>
      <c r="X9" s="750"/>
      <c r="Y9" s="2879"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9"/>
      <c r="Q11" s="1886">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2319</v>
      </c>
      <c r="Q14" s="1898" t="str">
        <f t="shared" si="6"/>
        <v>交通便捷度</v>
      </c>
      <c r="R14" s="752" t="s">
        <v>25</v>
      </c>
      <c r="S14" s="753">
        <f t="shared" si="0"/>
        <v>100</v>
      </c>
      <c r="T14" s="752" t="s">
        <v>25</v>
      </c>
      <c r="U14" s="753">
        <f t="shared" si="1"/>
        <v>100</v>
      </c>
      <c r="V14" s="752" t="s">
        <v>25</v>
      </c>
      <c r="W14" s="753">
        <f t="shared" si="2"/>
        <v>100</v>
      </c>
      <c r="X14" s="1899"/>
      <c r="Y14" s="3039"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2"/>
      <c r="S15" s="753"/>
      <c r="T15" s="752"/>
      <c r="U15" s="753"/>
      <c r="V15" s="752"/>
      <c r="W15" s="753"/>
      <c r="X15" s="1899"/>
      <c r="Y15" s="3040"/>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2"/>
      <c r="S17" s="753"/>
      <c r="T17" s="752"/>
      <c r="U17" s="753"/>
      <c r="V17" s="752"/>
      <c r="W17" s="753"/>
      <c r="X17" s="1899"/>
      <c r="Y17" s="3040"/>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2"/>
      <c r="S19" s="753"/>
      <c r="T19" s="752"/>
      <c r="U19" s="753"/>
      <c r="V19" s="752"/>
      <c r="W19" s="753"/>
      <c r="X19" s="1899"/>
      <c r="Y19" s="3040"/>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2"/>
      <c r="S21" s="753"/>
      <c r="T21" s="752"/>
      <c r="U21" s="753"/>
      <c r="V21" s="752"/>
      <c r="W21" s="753"/>
      <c r="X21" s="1899"/>
      <c r="Y21" s="3040"/>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4"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26"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4" t="str">
        <f t="shared" si="11"/>
        <v>成新率</v>
      </c>
      <c r="R27" s="755" t="s">
        <v>25</v>
      </c>
      <c r="S27" s="756" t="e">
        <f t="shared" si="12"/>
        <v>#N/A</v>
      </c>
      <c r="T27" s="755" t="s">
        <v>25</v>
      </c>
      <c r="U27" s="756" t="e">
        <f t="shared" si="13"/>
        <v>#N/A</v>
      </c>
      <c r="V27" s="755" t="s">
        <v>25</v>
      </c>
      <c r="W27" s="756" t="e">
        <f t="shared" si="14"/>
        <v>#N/A</v>
      </c>
      <c r="X27" s="757"/>
      <c r="Y27" s="3026"/>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2" t="s">
        <v>25</v>
      </c>
      <c r="S28" s="753">
        <f t="shared" si="12"/>
        <v>100</v>
      </c>
      <c r="T28" s="752" t="s">
        <v>25</v>
      </c>
      <c r="U28" s="753">
        <f t="shared" si="13"/>
        <v>100</v>
      </c>
      <c r="V28" s="752" t="s">
        <v>25</v>
      </c>
      <c r="W28" s="753">
        <f t="shared" si="14"/>
        <v>100</v>
      </c>
      <c r="X28" s="1899"/>
      <c r="Y28" s="3026"/>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2" t="s">
        <v>25</v>
      </c>
      <c r="S29" s="753">
        <f t="shared" si="12"/>
        <v>100</v>
      </c>
      <c r="T29" s="752" t="s">
        <v>25</v>
      </c>
      <c r="U29" s="753">
        <f t="shared" si="13"/>
        <v>100</v>
      </c>
      <c r="V29" s="752" t="s">
        <v>25</v>
      </c>
      <c r="W29" s="753">
        <f t="shared" si="14"/>
        <v>100</v>
      </c>
      <c r="X29" s="1899"/>
      <c r="Y29" s="3026"/>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2" t="s">
        <v>25</v>
      </c>
      <c r="S30" s="753" t="e">
        <f t="shared" si="12"/>
        <v>#N/A</v>
      </c>
      <c r="T30" s="752" t="s">
        <v>25</v>
      </c>
      <c r="U30" s="753" t="e">
        <f t="shared" si="13"/>
        <v>#N/A</v>
      </c>
      <c r="V30" s="752" t="s">
        <v>25</v>
      </c>
      <c r="W30" s="753"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8" t="s">
        <v>25</v>
      </c>
      <c r="S31" s="749">
        <f t="shared" si="12"/>
        <v>100</v>
      </c>
      <c r="T31" s="748" t="s">
        <v>25</v>
      </c>
      <c r="U31" s="749">
        <f t="shared" si="13"/>
        <v>100</v>
      </c>
      <c r="V31" s="748" t="s">
        <v>25</v>
      </c>
      <c r="W31" s="749">
        <f t="shared" si="14"/>
        <v>100</v>
      </c>
      <c r="X31" s="750"/>
      <c r="Y31" s="3026"/>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2325</v>
      </c>
      <c r="Q32" s="1898">
        <f t="shared" si="11"/>
        <v>111</v>
      </c>
      <c r="R32" s="752" t="s">
        <v>25</v>
      </c>
      <c r="S32" s="753">
        <f t="shared" si="12"/>
        <v>100</v>
      </c>
      <c r="T32" s="752" t="s">
        <v>25</v>
      </c>
      <c r="U32" s="753">
        <f t="shared" si="13"/>
        <v>100</v>
      </c>
      <c r="V32" s="752" t="s">
        <v>25</v>
      </c>
      <c r="W32" s="753">
        <f t="shared" si="14"/>
        <v>100</v>
      </c>
      <c r="X32" s="1899"/>
      <c r="Y32" s="3026"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2" t="s">
        <v>25</v>
      </c>
      <c r="S33" s="753">
        <f t="shared" si="12"/>
        <v>100</v>
      </c>
      <c r="T33" s="752" t="s">
        <v>25</v>
      </c>
      <c r="U33" s="753">
        <f t="shared" si="13"/>
        <v>100</v>
      </c>
      <c r="V33" s="752" t="s">
        <v>25</v>
      </c>
      <c r="W33" s="753">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2" t="s">
        <v>25</v>
      </c>
      <c r="S34" s="753">
        <f t="shared" si="12"/>
        <v>100</v>
      </c>
      <c r="T34" s="752" t="s">
        <v>25</v>
      </c>
      <c r="U34" s="753">
        <f t="shared" si="13"/>
        <v>100</v>
      </c>
      <c r="V34" s="752" t="s">
        <v>25</v>
      </c>
      <c r="W34" s="753">
        <f t="shared" si="14"/>
        <v>100</v>
      </c>
      <c r="X34" s="1899"/>
      <c r="Y34" s="3026"/>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19" t="str">
        <f>A35</f>
        <v>成交单价（元/平方米）</v>
      </c>
      <c r="Q35" s="3019"/>
      <c r="R35" s="3020">
        <f>E35</f>
        <v>0</v>
      </c>
      <c r="S35" s="3020"/>
      <c r="T35" s="3020">
        <f>G35</f>
        <v>0</v>
      </c>
      <c r="U35" s="3020"/>
      <c r="V35" s="3020">
        <f>I35</f>
        <v>0</v>
      </c>
      <c r="W35" s="3020"/>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19" t="str">
        <f>A36</f>
        <v>比较价值（元/平方米）</v>
      </c>
      <c r="Q36" s="3019"/>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092" t="str">
        <f>A37</f>
        <v>估价对象XX用房的比较价值（楼面单价，元/平方米）</v>
      </c>
      <c r="Q37" s="3018"/>
      <c r="R37" s="3022" t="e">
        <f>IF(E1="售价",ROUND(AVERAGE(R36:V36),0),ROUND(AVERAGE(R36:V36),1))</f>
        <v>#DIV/0!</v>
      </c>
      <c r="S37" s="3022"/>
      <c r="T37" s="3022"/>
      <c r="U37" s="3022"/>
      <c r="V37" s="3022"/>
      <c r="W37" s="3022"/>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30"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30"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30" s="35" customFormat="1" ht="15.75" thickBot="1">
      <c r="A7" s="387" t="s">
        <v>2307</v>
      </c>
      <c r="B7" s="388"/>
      <c r="C7" s="389">
        <f>'数据-取费表'!B2</f>
        <v>43098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138</v>
      </c>
      <c r="G10" s="444"/>
      <c r="H10" s="52">
        <f>ROUND(100/'数据-取费表'!B14,0)</f>
        <v>138</v>
      </c>
      <c r="I10" s="444"/>
      <c r="J10" s="52">
        <f>ROUND(100/'数据-取费表'!B14,0)</f>
        <v>138</v>
      </c>
      <c r="K10" s="655"/>
      <c r="L10" s="1247"/>
      <c r="M10" s="1248"/>
      <c r="N10" s="1248"/>
      <c r="O10" s="1249"/>
      <c r="P10" s="3019"/>
      <c r="Q10" s="1886" t="str">
        <f t="shared" si="6"/>
        <v>土地使用年限（年）</v>
      </c>
      <c r="R10" s="748" t="s">
        <v>25</v>
      </c>
      <c r="S10" s="749">
        <f t="shared" si="0"/>
        <v>138</v>
      </c>
      <c r="T10" s="748" t="s">
        <v>25</v>
      </c>
      <c r="U10" s="749">
        <f t="shared" si="1"/>
        <v>138</v>
      </c>
      <c r="V10" s="748" t="s">
        <v>25</v>
      </c>
      <c r="W10" s="749">
        <f t="shared" si="2"/>
        <v>138</v>
      </c>
      <c r="X10" s="750"/>
      <c r="Y10" s="2879"/>
      <c r="Z10" s="23" t="str">
        <f t="shared" si="7"/>
        <v>土地使用年限（年）</v>
      </c>
      <c r="AA10" s="751">
        <f t="shared" si="3"/>
        <v>0.72463768115942029</v>
      </c>
      <c r="AB10" s="751">
        <f t="shared" si="4"/>
        <v>0.72463768115942029</v>
      </c>
      <c r="AC10" s="751">
        <f t="shared" si="5"/>
        <v>0.72463768115942029</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9"/>
      <c r="Q12" s="1886" t="str">
        <f t="shared" si="6"/>
        <v>配建</v>
      </c>
      <c r="R12" s="748" t="s">
        <v>25</v>
      </c>
      <c r="S12" s="749">
        <f t="shared" si="0"/>
        <v>100</v>
      </c>
      <c r="T12" s="748" t="s">
        <v>25</v>
      </c>
      <c r="U12" s="749">
        <f t="shared" si="1"/>
        <v>100</v>
      </c>
      <c r="V12" s="748" t="s">
        <v>25</v>
      </c>
      <c r="W12" s="749">
        <f t="shared" si="2"/>
        <v>100</v>
      </c>
      <c r="X12" s="750"/>
      <c r="Y12" s="2879"/>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2319</v>
      </c>
      <c r="Q15" s="1898" t="str">
        <f t="shared" si="6"/>
        <v>居住社区成熟度</v>
      </c>
      <c r="R15" s="752" t="s">
        <v>25</v>
      </c>
      <c r="S15" s="753">
        <f t="shared" si="0"/>
        <v>100</v>
      </c>
      <c r="T15" s="752" t="s">
        <v>25</v>
      </c>
      <c r="U15" s="753">
        <f t="shared" si="1"/>
        <v>100</v>
      </c>
      <c r="V15" s="752" t="s">
        <v>25</v>
      </c>
      <c r="W15" s="753">
        <f t="shared" si="2"/>
        <v>100</v>
      </c>
      <c r="X15" s="1899"/>
      <c r="Y15" s="3039"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2" t="s">
        <v>25</v>
      </c>
      <c r="S17" s="753">
        <f>F17</f>
        <v>100</v>
      </c>
      <c r="T17" s="752" t="s">
        <v>25</v>
      </c>
      <c r="U17" s="753">
        <f>H17</f>
        <v>100</v>
      </c>
      <c r="V17" s="752" t="s">
        <v>25</v>
      </c>
      <c r="W17" s="753">
        <f>J17</f>
        <v>100</v>
      </c>
      <c r="X17" s="1899"/>
      <c r="Y17" s="304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2" t="s">
        <v>25</v>
      </c>
      <c r="S19" s="753">
        <f>F19</f>
        <v>100</v>
      </c>
      <c r="T19" s="752" t="s">
        <v>25</v>
      </c>
      <c r="U19" s="753">
        <f>H19</f>
        <v>100</v>
      </c>
      <c r="V19" s="752" t="s">
        <v>25</v>
      </c>
      <c r="W19" s="753">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0"/>
      <c r="Q20" s="1898"/>
      <c r="R20" s="752"/>
      <c r="S20" s="753"/>
      <c r="T20" s="752"/>
      <c r="U20" s="753"/>
      <c r="V20" s="752"/>
      <c r="W20" s="753"/>
      <c r="X20" s="1899"/>
      <c r="Y20" s="3040"/>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2" t="s">
        <v>25</v>
      </c>
      <c r="S21" s="753">
        <f>F21</f>
        <v>100</v>
      </c>
      <c r="T21" s="752" t="s">
        <v>25</v>
      </c>
      <c r="U21" s="753">
        <f>H21</f>
        <v>100</v>
      </c>
      <c r="V21" s="752" t="s">
        <v>25</v>
      </c>
      <c r="W21" s="753">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2" t="s">
        <v>25</v>
      </c>
      <c r="S23" s="753">
        <f>F23</f>
        <v>100</v>
      </c>
      <c r="T23" s="752" t="s">
        <v>25</v>
      </c>
      <c r="U23" s="753">
        <f>H23</f>
        <v>100</v>
      </c>
      <c r="V23" s="752" t="s">
        <v>25</v>
      </c>
      <c r="W23" s="753">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40"/>
      <c r="Q24" s="1898"/>
      <c r="R24" s="752"/>
      <c r="S24" s="753"/>
      <c r="T24" s="752"/>
      <c r="U24" s="753"/>
      <c r="V24" s="752"/>
      <c r="W24" s="753"/>
      <c r="X24" s="1899"/>
      <c r="Y24" s="3040"/>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2" t="s">
        <v>25</v>
      </c>
      <c r="S25" s="753">
        <f>F25</f>
        <v>100</v>
      </c>
      <c r="T25" s="752" t="s">
        <v>25</v>
      </c>
      <c r="U25" s="753">
        <f>H25</f>
        <v>100</v>
      </c>
      <c r="V25" s="752" t="s">
        <v>25</v>
      </c>
      <c r="W25" s="753">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2"/>
      <c r="S26" s="753"/>
      <c r="T26" s="752"/>
      <c r="U26" s="753"/>
      <c r="V26" s="752"/>
      <c r="W26" s="753"/>
      <c r="X26" s="1899"/>
      <c r="Y26" s="3040"/>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8" t="s">
        <v>25</v>
      </c>
      <c r="S27" s="749">
        <f>F27</f>
        <v>100</v>
      </c>
      <c r="T27" s="748" t="s">
        <v>25</v>
      </c>
      <c r="U27" s="749">
        <f>H27</f>
        <v>100</v>
      </c>
      <c r="V27" s="748" t="s">
        <v>25</v>
      </c>
      <c r="W27" s="749">
        <f>J27</f>
        <v>100</v>
      </c>
      <c r="X27" s="1899"/>
      <c r="Y27" s="304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0"/>
      <c r="Q28" s="1898"/>
      <c r="R28" s="752"/>
      <c r="S28" s="753"/>
      <c r="T28" s="752"/>
      <c r="U28" s="753"/>
      <c r="V28" s="752"/>
      <c r="W28" s="753"/>
      <c r="X28" s="1899"/>
      <c r="Y28" s="3040"/>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8" t="s">
        <v>25</v>
      </c>
      <c r="S29" s="749">
        <f>F29</f>
        <v>100</v>
      </c>
      <c r="T29" s="748" t="s">
        <v>25</v>
      </c>
      <c r="U29" s="749">
        <f>H29</f>
        <v>100</v>
      </c>
      <c r="V29" s="748" t="s">
        <v>25</v>
      </c>
      <c r="W29" s="749">
        <f>J29</f>
        <v>100</v>
      </c>
      <c r="X29" s="750"/>
      <c r="Y29" s="304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0"/>
      <c r="Q30" s="1886"/>
      <c r="R30" s="748"/>
      <c r="S30" s="749"/>
      <c r="T30" s="748"/>
      <c r="U30" s="749"/>
      <c r="V30" s="748"/>
      <c r="W30" s="749"/>
      <c r="X30" s="750"/>
      <c r="Y30" s="3040"/>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2" t="s">
        <v>25</v>
      </c>
      <c r="S32" s="753">
        <f t="shared" si="10"/>
        <v>100</v>
      </c>
      <c r="T32" s="752" t="s">
        <v>25</v>
      </c>
      <c r="U32" s="753">
        <f t="shared" si="11"/>
        <v>100</v>
      </c>
      <c r="V32" s="752" t="s">
        <v>25</v>
      </c>
      <c r="W32" s="753">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2"/>
      <c r="S33" s="753"/>
      <c r="T33" s="752"/>
      <c r="U33" s="753"/>
      <c r="V33" s="752"/>
      <c r="W33" s="753"/>
      <c r="X33" s="1899"/>
      <c r="Y33" s="3040"/>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2" t="s">
        <v>25</v>
      </c>
      <c r="S34" s="753">
        <f t="shared" si="10"/>
        <v>100</v>
      </c>
      <c r="T34" s="752" t="s">
        <v>25</v>
      </c>
      <c r="U34" s="753">
        <f t="shared" si="11"/>
        <v>100</v>
      </c>
      <c r="V34" s="752" t="s">
        <v>25</v>
      </c>
      <c r="W34" s="753">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2" t="s">
        <v>25</v>
      </c>
      <c r="S35" s="753">
        <f t="shared" si="10"/>
        <v>100</v>
      </c>
      <c r="T35" s="752" t="s">
        <v>25</v>
      </c>
      <c r="U35" s="753">
        <f t="shared" si="11"/>
        <v>100</v>
      </c>
      <c r="V35" s="752" t="s">
        <v>25</v>
      </c>
      <c r="W35" s="753">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4" t="s">
        <v>2325</v>
      </c>
      <c r="Q36" s="1898">
        <f t="shared" si="8"/>
        <v>111</v>
      </c>
      <c r="R36" s="752" t="s">
        <v>25</v>
      </c>
      <c r="S36" s="753">
        <f t="shared" si="10"/>
        <v>100</v>
      </c>
      <c r="T36" s="752" t="s">
        <v>25</v>
      </c>
      <c r="U36" s="753">
        <f t="shared" si="11"/>
        <v>100</v>
      </c>
      <c r="V36" s="752" t="s">
        <v>25</v>
      </c>
      <c r="W36" s="753">
        <f t="shared" si="12"/>
        <v>100</v>
      </c>
      <c r="X36" s="1899"/>
      <c r="Y36" s="3026"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5" t="s">
        <v>25</v>
      </c>
      <c r="S37" s="756">
        <f t="shared" si="10"/>
        <v>100</v>
      </c>
      <c r="T37" s="755" t="s">
        <v>25</v>
      </c>
      <c r="U37" s="756">
        <f t="shared" si="11"/>
        <v>100</v>
      </c>
      <c r="V37" s="755" t="s">
        <v>25</v>
      </c>
      <c r="W37" s="756">
        <f t="shared" si="12"/>
        <v>100</v>
      </c>
      <c r="X37" s="757"/>
      <c r="Y37" s="3026"/>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2" t="s">
        <v>25</v>
      </c>
      <c r="S38" s="753" t="e">
        <f t="shared" si="10"/>
        <v>#N/A</v>
      </c>
      <c r="T38" s="752" t="s">
        <v>25</v>
      </c>
      <c r="U38" s="753" t="e">
        <f t="shared" si="11"/>
        <v>#N/A</v>
      </c>
      <c r="V38" s="752" t="s">
        <v>25</v>
      </c>
      <c r="W38" s="753" t="e">
        <f t="shared" si="12"/>
        <v>#N/A</v>
      </c>
      <c r="X38" s="1899"/>
      <c r="Y38" s="3026"/>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2" t="s">
        <v>25</v>
      </c>
      <c r="S39" s="753">
        <f t="shared" si="10"/>
        <v>100</v>
      </c>
      <c r="T39" s="752" t="s">
        <v>25</v>
      </c>
      <c r="U39" s="753">
        <f t="shared" si="11"/>
        <v>100</v>
      </c>
      <c r="V39" s="752" t="s">
        <v>25</v>
      </c>
      <c r="W39" s="753">
        <f t="shared" si="12"/>
        <v>100</v>
      </c>
      <c r="X39" s="1899"/>
      <c r="Y39" s="3026"/>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2" t="s">
        <v>25</v>
      </c>
      <c r="S40" s="753">
        <f t="shared" si="10"/>
        <v>100</v>
      </c>
      <c r="T40" s="752" t="s">
        <v>25</v>
      </c>
      <c r="U40" s="753">
        <f t="shared" si="11"/>
        <v>100</v>
      </c>
      <c r="V40" s="752" t="s">
        <v>25</v>
      </c>
      <c r="W40" s="753">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8" t="s">
        <v>25</v>
      </c>
      <c r="S41" s="749">
        <f t="shared" si="10"/>
        <v>100</v>
      </c>
      <c r="T41" s="748" t="s">
        <v>25</v>
      </c>
      <c r="U41" s="749">
        <f t="shared" si="11"/>
        <v>100</v>
      </c>
      <c r="V41" s="748" t="s">
        <v>25</v>
      </c>
      <c r="W41" s="749">
        <f t="shared" si="12"/>
        <v>100</v>
      </c>
      <c r="X41" s="750"/>
      <c r="Y41" s="3026"/>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2325</v>
      </c>
      <c r="Q42" s="1898" t="str">
        <f t="shared" si="14"/>
        <v>工程地质条件</v>
      </c>
      <c r="R42" s="752" t="s">
        <v>25</v>
      </c>
      <c r="S42" s="753">
        <f t="shared" si="10"/>
        <v>100</v>
      </c>
      <c r="T42" s="752" t="s">
        <v>25</v>
      </c>
      <c r="U42" s="753">
        <f t="shared" si="11"/>
        <v>100</v>
      </c>
      <c r="V42" s="752" t="s">
        <v>25</v>
      </c>
      <c r="W42" s="753">
        <f t="shared" si="12"/>
        <v>100</v>
      </c>
      <c r="X42" s="1899"/>
      <c r="Y42" s="3026"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2" t="s">
        <v>25</v>
      </c>
      <c r="S43" s="753">
        <f t="shared" si="10"/>
        <v>100</v>
      </c>
      <c r="T43" s="752" t="s">
        <v>25</v>
      </c>
      <c r="U43" s="753">
        <f t="shared" si="11"/>
        <v>100</v>
      </c>
      <c r="V43" s="752" t="s">
        <v>25</v>
      </c>
      <c r="W43" s="753">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2" t="s">
        <v>25</v>
      </c>
      <c r="S44" s="753">
        <f t="shared" si="10"/>
        <v>100</v>
      </c>
      <c r="T44" s="752" t="s">
        <v>25</v>
      </c>
      <c r="U44" s="753">
        <f t="shared" si="11"/>
        <v>100</v>
      </c>
      <c r="V44" s="752" t="s">
        <v>25</v>
      </c>
      <c r="W44" s="753">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5" t="s">
        <v>25</v>
      </c>
      <c r="S45" s="756">
        <f t="shared" si="10"/>
        <v>100</v>
      </c>
      <c r="T45" s="755" t="s">
        <v>25</v>
      </c>
      <c r="U45" s="756">
        <f t="shared" si="11"/>
        <v>100</v>
      </c>
      <c r="V45" s="755" t="s">
        <v>25</v>
      </c>
      <c r="W45" s="756">
        <f t="shared" si="12"/>
        <v>100</v>
      </c>
      <c r="X45" s="757"/>
      <c r="Y45" s="3026"/>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19" t="str">
        <f>A46</f>
        <v>成交单价</v>
      </c>
      <c r="Q46" s="3019"/>
      <c r="R46" s="3052">
        <f>E46</f>
        <v>0</v>
      </c>
      <c r="S46" s="3052"/>
      <c r="T46" s="3052">
        <f>G46</f>
        <v>0</v>
      </c>
      <c r="U46" s="3052"/>
      <c r="V46" s="3052">
        <f>I46</f>
        <v>0</v>
      </c>
      <c r="W46" s="3052"/>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19" t="str">
        <f>A47</f>
        <v>比较价值（元/平方米）</v>
      </c>
      <c r="Q47" s="3019"/>
      <c r="R47" s="3105" t="e">
        <f>ROUND(PRODUCT(R46,AA7:AA45),0)</f>
        <v>#DIV/0!</v>
      </c>
      <c r="S47" s="3105"/>
      <c r="T47" s="3105" t="e">
        <f>ROUND(PRODUCT(T46,AB7:AB45),0)</f>
        <v>#DIV/0!</v>
      </c>
      <c r="U47" s="3105"/>
      <c r="V47" s="3105" t="e">
        <f>ROUND(PRODUCT(V46,AC7:AC45),0)</f>
        <v>#DIV/0!</v>
      </c>
      <c r="W47" s="3105"/>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092" t="str">
        <f>A48</f>
        <v>估价对象XX用房的比较价值（楼面单价，元/平方米）</v>
      </c>
      <c r="Q48" s="3018"/>
      <c r="R48" s="3106" t="e">
        <f>ROUND(AVERAGE(R47:V47),0)</f>
        <v>#DIV/0!</v>
      </c>
      <c r="S48" s="3106"/>
      <c r="T48" s="3106"/>
      <c r="U48" s="3106"/>
      <c r="V48" s="3106"/>
      <c r="W48" s="3106"/>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2531</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2017年12月29日（评估专业人员实地查勘之日）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138</v>
      </c>
      <c r="G10" s="412"/>
      <c r="H10" s="52">
        <f>ROUND(100/'数据-取费表'!B14,0)</f>
        <v>138</v>
      </c>
      <c r="I10" s="412"/>
      <c r="J10" s="52">
        <f>ROUND(100/'数据-取费表'!B14,0)</f>
        <v>138</v>
      </c>
      <c r="K10" s="655"/>
      <c r="L10" s="1247"/>
      <c r="M10" s="1248"/>
      <c r="N10" s="1248"/>
      <c r="O10" s="1249"/>
      <c r="P10" s="3019"/>
      <c r="Q10" s="1886" t="str">
        <f t="shared" si="6"/>
        <v>土地使用年限（年）</v>
      </c>
      <c r="R10" s="748" t="s">
        <v>25</v>
      </c>
      <c r="S10" s="749">
        <f t="shared" si="0"/>
        <v>138</v>
      </c>
      <c r="T10" s="748" t="s">
        <v>25</v>
      </c>
      <c r="U10" s="749">
        <f t="shared" si="1"/>
        <v>138</v>
      </c>
      <c r="V10" s="748" t="s">
        <v>25</v>
      </c>
      <c r="W10" s="749">
        <f t="shared" si="2"/>
        <v>138</v>
      </c>
      <c r="X10" s="750"/>
      <c r="Y10" s="2879"/>
      <c r="Z10" s="23" t="str">
        <f t="shared" si="7"/>
        <v>土地使用年限（年）</v>
      </c>
      <c r="AA10" s="751">
        <f t="shared" si="3"/>
        <v>0.72463768115942029</v>
      </c>
      <c r="AB10" s="751">
        <f t="shared" si="4"/>
        <v>0.72463768115942029</v>
      </c>
      <c r="AC10" s="751">
        <f t="shared" si="5"/>
        <v>0.72463768115942029</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2319</v>
      </c>
      <c r="Q15" s="1898" t="str">
        <f t="shared" si="6"/>
        <v>产业集聚程度</v>
      </c>
      <c r="R15" s="752" t="s">
        <v>25</v>
      </c>
      <c r="S15" s="753">
        <f t="shared" si="0"/>
        <v>100</v>
      </c>
      <c r="T15" s="752" t="s">
        <v>25</v>
      </c>
      <c r="U15" s="753">
        <f t="shared" si="1"/>
        <v>100</v>
      </c>
      <c r="V15" s="752" t="s">
        <v>25</v>
      </c>
      <c r="W15" s="753">
        <f t="shared" si="2"/>
        <v>100</v>
      </c>
      <c r="X15" s="1899"/>
      <c r="Y15" s="3039"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2" t="s">
        <v>25</v>
      </c>
      <c r="S19" s="753">
        <f>F19</f>
        <v>100</v>
      </c>
      <c r="T19" s="752" t="s">
        <v>25</v>
      </c>
      <c r="U19" s="753">
        <f>H19</f>
        <v>100</v>
      </c>
      <c r="V19" s="752" t="s">
        <v>25</v>
      </c>
      <c r="W19" s="753">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0"/>
      <c r="Q20" s="1898"/>
      <c r="R20" s="752"/>
      <c r="S20" s="753"/>
      <c r="T20" s="752"/>
      <c r="U20" s="753"/>
      <c r="V20" s="752"/>
      <c r="W20" s="753"/>
      <c r="X20" s="1899"/>
      <c r="Y20" s="3040"/>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2" t="s">
        <v>25</v>
      </c>
      <c r="S21" s="753">
        <f>F21</f>
        <v>100</v>
      </c>
      <c r="T21" s="752" t="s">
        <v>25</v>
      </c>
      <c r="U21" s="753">
        <f>H21</f>
        <v>100</v>
      </c>
      <c r="V21" s="752" t="s">
        <v>25</v>
      </c>
      <c r="W21" s="753">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8" t="s">
        <v>25</v>
      </c>
      <c r="S23" s="749">
        <f>F23</f>
        <v>100</v>
      </c>
      <c r="T23" s="748" t="s">
        <v>25</v>
      </c>
      <c r="U23" s="749">
        <f>H23</f>
        <v>100</v>
      </c>
      <c r="V23" s="748" t="s">
        <v>25</v>
      </c>
      <c r="W23" s="749">
        <f>J23</f>
        <v>100</v>
      </c>
      <c r="X23" s="750"/>
      <c r="Y23" s="304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0"/>
      <c r="Q24" s="1886"/>
      <c r="R24" s="748"/>
      <c r="S24" s="749"/>
      <c r="T24" s="748"/>
      <c r="U24" s="749"/>
      <c r="V24" s="748"/>
      <c r="W24" s="749"/>
      <c r="X24" s="750"/>
      <c r="Y24" s="3040"/>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8" t="s">
        <v>25</v>
      </c>
      <c r="S25" s="749">
        <f>F25</f>
        <v>100</v>
      </c>
      <c r="T25" s="748" t="s">
        <v>25</v>
      </c>
      <c r="U25" s="749">
        <f>H25</f>
        <v>100</v>
      </c>
      <c r="V25" s="748" t="s">
        <v>25</v>
      </c>
      <c r="W25" s="749">
        <f>J25</f>
        <v>100</v>
      </c>
      <c r="X25" s="750"/>
      <c r="Y25" s="304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0"/>
      <c r="Q26" s="1886"/>
      <c r="R26" s="748"/>
      <c r="S26" s="749"/>
      <c r="T26" s="748"/>
      <c r="U26" s="749"/>
      <c r="V26" s="748"/>
      <c r="W26" s="749"/>
      <c r="X26" s="750"/>
      <c r="Y26" s="3040"/>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2" t="s">
        <v>25</v>
      </c>
      <c r="S28" s="753">
        <f t="shared" si="10"/>
        <v>100</v>
      </c>
      <c r="T28" s="752" t="s">
        <v>25</v>
      </c>
      <c r="U28" s="753">
        <f t="shared" si="11"/>
        <v>100</v>
      </c>
      <c r="V28" s="752" t="s">
        <v>25</v>
      </c>
      <c r="W28" s="753">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2"/>
      <c r="S29" s="753"/>
      <c r="T29" s="752"/>
      <c r="U29" s="753"/>
      <c r="V29" s="752"/>
      <c r="W29" s="753"/>
      <c r="X29" s="1899"/>
      <c r="Y29" s="3040"/>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2" t="s">
        <v>25</v>
      </c>
      <c r="S30" s="753">
        <f t="shared" si="10"/>
        <v>100</v>
      </c>
      <c r="T30" s="752" t="s">
        <v>25</v>
      </c>
      <c r="U30" s="753">
        <f t="shared" si="11"/>
        <v>100</v>
      </c>
      <c r="V30" s="752" t="s">
        <v>25</v>
      </c>
      <c r="W30" s="753">
        <f t="shared" si="12"/>
        <v>100</v>
      </c>
      <c r="X30" s="1899"/>
      <c r="Y30" s="304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2" t="s">
        <v>25</v>
      </c>
      <c r="S31" s="753">
        <f t="shared" si="10"/>
        <v>100</v>
      </c>
      <c r="T31" s="752" t="s">
        <v>25</v>
      </c>
      <c r="U31" s="753">
        <f t="shared" si="11"/>
        <v>100</v>
      </c>
      <c r="V31" s="752" t="s">
        <v>25</v>
      </c>
      <c r="W31" s="753">
        <f t="shared" si="12"/>
        <v>100</v>
      </c>
      <c r="X31" s="1899"/>
      <c r="Y31" s="304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4" t="s">
        <v>2325</v>
      </c>
      <c r="Q32" s="1898">
        <f t="shared" si="8"/>
        <v>111</v>
      </c>
      <c r="R32" s="752" t="s">
        <v>25</v>
      </c>
      <c r="S32" s="753">
        <f t="shared" si="10"/>
        <v>100</v>
      </c>
      <c r="T32" s="752" t="s">
        <v>25</v>
      </c>
      <c r="U32" s="753">
        <f t="shared" si="11"/>
        <v>100</v>
      </c>
      <c r="V32" s="752" t="s">
        <v>25</v>
      </c>
      <c r="W32" s="753">
        <f t="shared" si="12"/>
        <v>100</v>
      </c>
      <c r="X32" s="1899"/>
      <c r="Y32" s="3026"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5" t="s">
        <v>25</v>
      </c>
      <c r="S33" s="756">
        <f t="shared" si="10"/>
        <v>100</v>
      </c>
      <c r="T33" s="755" t="s">
        <v>25</v>
      </c>
      <c r="U33" s="756">
        <f t="shared" si="11"/>
        <v>100</v>
      </c>
      <c r="V33" s="755" t="s">
        <v>25</v>
      </c>
      <c r="W33" s="756">
        <f t="shared" si="12"/>
        <v>100</v>
      </c>
      <c r="X33" s="757"/>
      <c r="Y33" s="3026"/>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2" t="s">
        <v>25</v>
      </c>
      <c r="S34" s="753" t="e">
        <f t="shared" si="10"/>
        <v>#N/A</v>
      </c>
      <c r="T34" s="752" t="s">
        <v>25</v>
      </c>
      <c r="U34" s="753" t="e">
        <f t="shared" si="11"/>
        <v>#N/A</v>
      </c>
      <c r="V34" s="752" t="s">
        <v>25</v>
      </c>
      <c r="W34" s="753" t="e">
        <f t="shared" si="12"/>
        <v>#N/A</v>
      </c>
      <c r="X34" s="1899"/>
      <c r="Y34" s="3026"/>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2" t="s">
        <v>25</v>
      </c>
      <c r="S35" s="753">
        <f t="shared" si="10"/>
        <v>100</v>
      </c>
      <c r="T35" s="752" t="s">
        <v>25</v>
      </c>
      <c r="U35" s="753">
        <f t="shared" si="11"/>
        <v>100</v>
      </c>
      <c r="V35" s="752" t="s">
        <v>25</v>
      </c>
      <c r="W35" s="753">
        <f t="shared" si="12"/>
        <v>100</v>
      </c>
      <c r="X35" s="1899"/>
      <c r="Y35" s="3026"/>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8" t="s">
        <v>25</v>
      </c>
      <c r="S36" s="749">
        <f t="shared" si="10"/>
        <v>100</v>
      </c>
      <c r="T36" s="748" t="s">
        <v>25</v>
      </c>
      <c r="U36" s="749">
        <f t="shared" si="11"/>
        <v>100</v>
      </c>
      <c r="V36" s="748" t="s">
        <v>25</v>
      </c>
      <c r="W36" s="749">
        <f t="shared" si="12"/>
        <v>100</v>
      </c>
      <c r="X36" s="750"/>
      <c r="Y36" s="3026"/>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2325</v>
      </c>
      <c r="Q37" s="1898" t="str">
        <f t="shared" si="14"/>
        <v>工程地质条件</v>
      </c>
      <c r="R37" s="752" t="s">
        <v>25</v>
      </c>
      <c r="S37" s="753">
        <f t="shared" si="10"/>
        <v>100</v>
      </c>
      <c r="T37" s="752" t="s">
        <v>25</v>
      </c>
      <c r="U37" s="753">
        <f t="shared" si="11"/>
        <v>100</v>
      </c>
      <c r="V37" s="752" t="s">
        <v>25</v>
      </c>
      <c r="W37" s="753">
        <f t="shared" si="12"/>
        <v>100</v>
      </c>
      <c r="X37" s="1899"/>
      <c r="Y37" s="3026"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2" t="s">
        <v>25</v>
      </c>
      <c r="S38" s="753">
        <f t="shared" si="10"/>
        <v>100</v>
      </c>
      <c r="T38" s="752" t="s">
        <v>25</v>
      </c>
      <c r="U38" s="753">
        <f t="shared" si="11"/>
        <v>100</v>
      </c>
      <c r="V38" s="752" t="s">
        <v>25</v>
      </c>
      <c r="W38" s="753">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2" t="s">
        <v>25</v>
      </c>
      <c r="S39" s="753">
        <f t="shared" si="10"/>
        <v>100</v>
      </c>
      <c r="T39" s="752" t="s">
        <v>25</v>
      </c>
      <c r="U39" s="753">
        <f t="shared" si="11"/>
        <v>100</v>
      </c>
      <c r="V39" s="752" t="s">
        <v>25</v>
      </c>
      <c r="W39" s="753">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5" t="s">
        <v>25</v>
      </c>
      <c r="S40" s="756">
        <f t="shared" si="10"/>
        <v>100</v>
      </c>
      <c r="T40" s="755" t="s">
        <v>25</v>
      </c>
      <c r="U40" s="756">
        <f t="shared" si="11"/>
        <v>100</v>
      </c>
      <c r="V40" s="755" t="s">
        <v>25</v>
      </c>
      <c r="W40" s="756">
        <f t="shared" si="12"/>
        <v>100</v>
      </c>
      <c r="X40" s="757"/>
      <c r="Y40" s="3026"/>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19" t="str">
        <f>A41</f>
        <v>成交单价</v>
      </c>
      <c r="Q41" s="3019"/>
      <c r="R41" s="3052">
        <f>E41</f>
        <v>0</v>
      </c>
      <c r="S41" s="3052"/>
      <c r="T41" s="3052">
        <f>G41</f>
        <v>0</v>
      </c>
      <c r="U41" s="3052"/>
      <c r="V41" s="3052">
        <f>I41</f>
        <v>0</v>
      </c>
      <c r="W41" s="3052"/>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19" t="str">
        <f>A42</f>
        <v>比较价值（元/平方米）</v>
      </c>
      <c r="Q42" s="3019"/>
      <c r="R42" s="3105" t="e">
        <f>ROUND(PRODUCT(R41,AA7:AA40),0)</f>
        <v>#DIV/0!</v>
      </c>
      <c r="S42" s="3105"/>
      <c r="T42" s="3105" t="e">
        <f>ROUND(PRODUCT(T41,AB7:AB40),0)</f>
        <v>#DIV/0!</v>
      </c>
      <c r="U42" s="3105"/>
      <c r="V42" s="3105" t="e">
        <f>ROUND(PRODUCT(V41,AC7:AC40),0)</f>
        <v>#DIV/0!</v>
      </c>
      <c r="W42" s="3105"/>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092" t="str">
        <f>A43</f>
        <v>估价对象XX用房的比较价值（楼面单价，元/平方米）</v>
      </c>
      <c r="Q43" s="3018"/>
      <c r="R43" s="3106" t="e">
        <f>ROUND(AVERAGE(R42:V42),0)</f>
        <v>#DIV/0!</v>
      </c>
      <c r="S43" s="3106"/>
      <c r="T43" s="3106"/>
      <c r="U43" s="3106"/>
      <c r="V43" s="3106"/>
      <c r="W43" s="3106"/>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2550</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10"/>
      <c r="B4" s="3111"/>
      <c r="C4" s="3111"/>
      <c r="D4" s="3112"/>
      <c r="E4" s="3112"/>
      <c r="F4" s="3112"/>
      <c r="G4" s="3112"/>
      <c r="H4" s="3112"/>
      <c r="I4" s="3112"/>
      <c r="J4" s="3113"/>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14"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15"/>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07" t="s">
        <v>2587</v>
      </c>
      <c r="X8" s="3108"/>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15"/>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9"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5"/>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5"/>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9"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14"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9"/>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6"/>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09"/>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16"/>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17"/>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14"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15"/>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43098</v>
      </c>
      <c r="H19" s="2585" t="s">
        <v>2646</v>
      </c>
      <c r="I19" s="954" t="str">
        <f>IF(H19="季度增幅（自定义）",SUMIF(N21:N24,E2,O21:O24),"")</f>
        <v/>
      </c>
      <c r="J19" s="2581"/>
      <c r="K19" s="2582"/>
      <c r="L19" s="2586" t="s">
        <v>2647</v>
      </c>
      <c r="M19" s="1825">
        <f>ROUND(SUMIF(地价!B2:F2,E2,地价!B21:F21),0)</f>
        <v>0</v>
      </c>
      <c r="N19" s="1465" t="s">
        <v>2648</v>
      </c>
      <c r="O19" s="955">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26.24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26"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7"/>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7"/>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8"/>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18" t="s">
        <v>2734</v>
      </c>
      <c r="B90" s="3118"/>
      <c r="C90" s="3118"/>
      <c r="D90" s="3118"/>
      <c r="E90" s="3118"/>
      <c r="F90" s="3118"/>
      <c r="G90" s="3118"/>
      <c r="H90" s="3118"/>
      <c r="I90" s="3118"/>
      <c r="J90" s="3118"/>
      <c r="K90" s="2686"/>
      <c r="L90" s="2686"/>
      <c r="M90" s="2686"/>
      <c r="N90" s="2686"/>
    </row>
    <row r="91" spans="1:37">
      <c r="A91" s="3120" t="s">
        <v>2735</v>
      </c>
      <c r="B91" s="3120" t="s">
        <v>2736</v>
      </c>
      <c r="C91" s="2634" t="s">
        <v>2737</v>
      </c>
      <c r="D91" s="2635"/>
      <c r="E91" s="2635"/>
      <c r="F91" s="2635"/>
      <c r="G91" s="2635"/>
      <c r="H91" s="2635"/>
      <c r="I91" s="2635"/>
      <c r="J91" s="2687"/>
      <c r="K91" s="2688"/>
      <c r="L91" s="2688"/>
      <c r="M91" s="2688"/>
      <c r="N91" s="2688"/>
    </row>
    <row r="92" spans="1:37">
      <c r="A92" s="3120"/>
      <c r="B92" s="3120"/>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21"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2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2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2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2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2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22"/>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2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21"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22"/>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22"/>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22"/>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22"/>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22"/>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22"/>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22"/>
      <c r="B108" s="3124"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23"/>
      <c r="B109" s="3125"/>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19" t="s">
        <v>2742</v>
      </c>
      <c r="B110" s="3119"/>
      <c r="C110" s="3119"/>
      <c r="D110" s="3119"/>
      <c r="E110" s="3119"/>
      <c r="F110" s="3119"/>
      <c r="G110" s="3119"/>
      <c r="H110" s="3119"/>
      <c r="I110" s="3119"/>
      <c r="J110" s="3119"/>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9" t="s">
        <v>788</v>
      </c>
      <c r="B1" s="3129"/>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9" t="s">
        <v>105</v>
      </c>
      <c r="B1" s="3129"/>
      <c r="C1" s="3129"/>
      <c r="D1" s="3129"/>
      <c r="E1" s="3129"/>
      <c r="F1" s="312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0" t="s">
        <v>118</v>
      </c>
      <c r="B2" s="3130"/>
      <c r="C2" s="3130"/>
      <c r="D2" s="3130"/>
      <c r="E2" s="3130"/>
      <c r="F2" s="313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3" t="s">
        <v>132</v>
      </c>
      <c r="B18" s="906" t="s">
        <v>517</v>
      </c>
      <c r="C18" s="907" t="s">
        <v>518</v>
      </c>
      <c r="D18" s="908"/>
      <c r="E18" s="906">
        <v>1</v>
      </c>
      <c r="F18" s="909" t="s">
        <v>519</v>
      </c>
      <c r="G18" s="910"/>
      <c r="H18" s="902"/>
      <c r="I18" s="902"/>
    </row>
    <row r="19" spans="1:9" s="911" customFormat="1" ht="19.5" customHeight="1">
      <c r="A19" s="3133"/>
      <c r="B19" s="3133" t="s">
        <v>520</v>
      </c>
      <c r="C19" s="907" t="s">
        <v>521</v>
      </c>
      <c r="D19" s="908"/>
      <c r="E19" s="906">
        <v>0.9</v>
      </c>
      <c r="F19" s="909" t="s">
        <v>522</v>
      </c>
      <c r="G19" s="910"/>
      <c r="H19" s="902"/>
      <c r="I19" s="902"/>
    </row>
    <row r="20" spans="1:9" s="911" customFormat="1" ht="19.5" customHeight="1">
      <c r="A20" s="3133"/>
      <c r="B20" s="3133"/>
      <c r="C20" s="907" t="s">
        <v>523</v>
      </c>
      <c r="D20" s="908"/>
      <c r="E20" s="906">
        <v>1.1000000000000001</v>
      </c>
      <c r="F20" s="909" t="s">
        <v>524</v>
      </c>
      <c r="G20" s="910"/>
      <c r="H20" s="902"/>
      <c r="I20" s="902"/>
    </row>
    <row r="21" spans="1:9" s="911" customFormat="1" ht="19.5" customHeight="1">
      <c r="A21" s="3133"/>
      <c r="B21" s="3133"/>
      <c r="C21" s="907" t="s">
        <v>525</v>
      </c>
      <c r="D21" s="908"/>
      <c r="E21" s="906">
        <v>0.8</v>
      </c>
      <c r="F21" s="909" t="s">
        <v>526</v>
      </c>
      <c r="G21" s="910"/>
      <c r="H21" s="902"/>
      <c r="I21" s="902"/>
    </row>
    <row r="22" spans="1:9" s="911" customFormat="1" ht="19.5" customHeight="1">
      <c r="A22" s="3133"/>
      <c r="B22" s="3133"/>
      <c r="C22" s="907" t="s">
        <v>527</v>
      </c>
      <c r="D22" s="908"/>
      <c r="E22" s="906">
        <v>0.5</v>
      </c>
      <c r="F22" s="909"/>
      <c r="G22" s="910"/>
      <c r="H22" s="902"/>
      <c r="I22" s="902"/>
    </row>
    <row r="23" spans="1:9" s="911" customFormat="1" ht="19.5" customHeight="1">
      <c r="A23" s="3133" t="s">
        <v>133</v>
      </c>
      <c r="B23" s="906" t="s">
        <v>517</v>
      </c>
      <c r="C23" s="907" t="s">
        <v>528</v>
      </c>
      <c r="D23" s="908"/>
      <c r="E23" s="906">
        <v>1</v>
      </c>
      <c r="F23" s="909" t="s">
        <v>529</v>
      </c>
      <c r="G23" s="910"/>
      <c r="H23" s="902"/>
      <c r="I23" s="902"/>
    </row>
    <row r="24" spans="1:9" s="911" customFormat="1" ht="19.5" customHeight="1">
      <c r="A24" s="3133"/>
      <c r="B24" s="3133" t="s">
        <v>520</v>
      </c>
      <c r="C24" s="907" t="s">
        <v>530</v>
      </c>
      <c r="D24" s="908"/>
      <c r="E24" s="906">
        <v>0.5</v>
      </c>
      <c r="F24" s="909"/>
      <c r="G24" s="910"/>
      <c r="H24" s="902"/>
      <c r="I24" s="902"/>
    </row>
    <row r="25" spans="1:9" s="911" customFormat="1" ht="19.5" customHeight="1">
      <c r="A25" s="3133"/>
      <c r="B25" s="3133"/>
      <c r="C25" s="907" t="s">
        <v>531</v>
      </c>
      <c r="D25" s="908"/>
      <c r="E25" s="906">
        <v>1.1000000000000001</v>
      </c>
      <c r="F25" s="909"/>
      <c r="G25" s="910"/>
      <c r="H25" s="902"/>
      <c r="I25" s="902"/>
    </row>
    <row r="26" spans="1:9" s="911" customFormat="1" ht="19.5" customHeight="1">
      <c r="A26" s="3133"/>
      <c r="B26" s="3133"/>
      <c r="C26" s="907" t="s">
        <v>532</v>
      </c>
      <c r="D26" s="908"/>
      <c r="E26" s="906">
        <v>1.1000000000000001</v>
      </c>
      <c r="F26" s="909"/>
      <c r="G26" s="910"/>
      <c r="H26" s="902"/>
      <c r="I26" s="902"/>
    </row>
    <row r="27" spans="1:9" s="911" customFormat="1" ht="19.5" customHeight="1">
      <c r="A27" s="3133"/>
      <c r="B27" s="3133"/>
      <c r="C27" s="907" t="s">
        <v>533</v>
      </c>
      <c r="D27" s="908"/>
      <c r="E27" s="906">
        <v>0.9</v>
      </c>
      <c r="F27" s="909" t="s">
        <v>534</v>
      </c>
      <c r="G27" s="910"/>
      <c r="H27" s="902"/>
      <c r="I27" s="902"/>
    </row>
    <row r="28" spans="1:9" s="911" customFormat="1" ht="19.5" customHeight="1">
      <c r="A28" s="3133"/>
      <c r="B28" s="3133"/>
      <c r="C28" s="907" t="s">
        <v>535</v>
      </c>
      <c r="D28" s="908"/>
      <c r="E28" s="906">
        <v>0.9</v>
      </c>
      <c r="F28" s="909" t="s">
        <v>536</v>
      </c>
      <c r="G28" s="910"/>
      <c r="H28" s="902"/>
      <c r="I28" s="902"/>
    </row>
    <row r="29" spans="1:9" s="911" customFormat="1" ht="19.5" customHeight="1">
      <c r="A29" s="3133"/>
      <c r="B29" s="3133"/>
      <c r="C29" s="907" t="s">
        <v>537</v>
      </c>
      <c r="D29" s="908"/>
      <c r="E29" s="906">
        <v>0.9</v>
      </c>
      <c r="F29" s="909" t="s">
        <v>538</v>
      </c>
      <c r="G29" s="910"/>
      <c r="H29" s="902"/>
      <c r="I29" s="902"/>
    </row>
    <row r="30" spans="1:9" s="911" customFormat="1" ht="19.5" customHeight="1">
      <c r="A30" s="3133"/>
      <c r="B30" s="3133"/>
      <c r="C30" s="907" t="s">
        <v>539</v>
      </c>
      <c r="D30" s="908"/>
      <c r="E30" s="906">
        <v>0.9</v>
      </c>
      <c r="F30" s="909" t="s">
        <v>540</v>
      </c>
      <c r="G30" s="910"/>
      <c r="H30" s="902"/>
      <c r="I30" s="902"/>
    </row>
    <row r="31" spans="1:9" s="911" customFormat="1" ht="19.5" customHeight="1">
      <c r="A31" s="3133"/>
      <c r="B31" s="3133"/>
      <c r="C31" s="907" t="s">
        <v>541</v>
      </c>
      <c r="D31" s="908"/>
      <c r="E31" s="906">
        <v>0.8</v>
      </c>
      <c r="F31" s="909" t="s">
        <v>542</v>
      </c>
      <c r="G31" s="910"/>
      <c r="H31" s="902"/>
      <c r="I31" s="902"/>
    </row>
    <row r="32" spans="1:9" s="911" customFormat="1" ht="19.5" customHeight="1">
      <c r="A32" s="3133"/>
      <c r="B32" s="3133"/>
      <c r="C32" s="907" t="s">
        <v>543</v>
      </c>
      <c r="D32" s="908"/>
      <c r="E32" s="906">
        <v>0.8</v>
      </c>
      <c r="F32" s="909" t="s">
        <v>544</v>
      </c>
      <c r="G32" s="910"/>
      <c r="H32" s="902"/>
      <c r="I32" s="902"/>
    </row>
    <row r="33" spans="1:9" s="911" customFormat="1" ht="19.5" customHeight="1">
      <c r="A33" s="3133" t="s">
        <v>134</v>
      </c>
      <c r="B33" s="906" t="s">
        <v>517</v>
      </c>
      <c r="C33" s="907" t="s">
        <v>545</v>
      </c>
      <c r="D33" s="908"/>
      <c r="E33" s="906">
        <v>1</v>
      </c>
      <c r="F33" s="909" t="s">
        <v>546</v>
      </c>
      <c r="G33" s="910"/>
      <c r="H33" s="902"/>
      <c r="I33" s="902"/>
    </row>
    <row r="34" spans="1:9" s="911" customFormat="1" ht="19.5" customHeight="1">
      <c r="A34" s="3133"/>
      <c r="B34" s="906" t="s">
        <v>520</v>
      </c>
      <c r="C34" s="907" t="s">
        <v>547</v>
      </c>
      <c r="D34" s="908"/>
      <c r="E34" s="906">
        <v>1.5</v>
      </c>
      <c r="F34" s="909" t="s">
        <v>548</v>
      </c>
      <c r="G34" s="910"/>
      <c r="H34" s="902"/>
      <c r="I34" s="902"/>
    </row>
    <row r="35" spans="1:9" s="911" customFormat="1" ht="19.5" customHeight="1">
      <c r="A35" s="3133" t="s">
        <v>135</v>
      </c>
      <c r="B35" s="906" t="s">
        <v>517</v>
      </c>
      <c r="C35" s="907" t="s">
        <v>549</v>
      </c>
      <c r="D35" s="908"/>
      <c r="E35" s="906">
        <v>1</v>
      </c>
      <c r="F35" s="909" t="s">
        <v>550</v>
      </c>
      <c r="G35" s="910"/>
      <c r="H35" s="902"/>
      <c r="I35" s="902"/>
    </row>
    <row r="36" spans="1:9" s="911" customFormat="1" ht="19.5" customHeight="1">
      <c r="A36" s="3133"/>
      <c r="B36" s="3133" t="s">
        <v>520</v>
      </c>
      <c r="C36" s="907" t="s">
        <v>551</v>
      </c>
      <c r="D36" s="908"/>
      <c r="E36" s="906">
        <v>1</v>
      </c>
      <c r="F36" s="909" t="s">
        <v>552</v>
      </c>
      <c r="G36" s="910"/>
      <c r="H36" s="902"/>
      <c r="I36" s="902"/>
    </row>
    <row r="37" spans="1:9" s="911" customFormat="1" ht="19.5" customHeight="1">
      <c r="A37" s="3133"/>
      <c r="B37" s="3133"/>
      <c r="C37" s="907" t="s">
        <v>553</v>
      </c>
      <c r="D37" s="908"/>
      <c r="E37" s="906">
        <v>1.5</v>
      </c>
      <c r="F37" s="909" t="s">
        <v>554</v>
      </c>
      <c r="G37" s="910"/>
      <c r="H37" s="902"/>
      <c r="I37" s="902"/>
    </row>
    <row r="38" spans="1:9" s="911" customFormat="1" ht="19.5" customHeight="1">
      <c r="A38" s="3133"/>
      <c r="B38" s="3133"/>
      <c r="C38" s="907" t="s">
        <v>555</v>
      </c>
      <c r="D38" s="908"/>
      <c r="E38" s="906">
        <v>1</v>
      </c>
      <c r="F38" s="909" t="s">
        <v>556</v>
      </c>
      <c r="G38" s="910"/>
      <c r="H38" s="902"/>
      <c r="I38" s="902"/>
    </row>
    <row r="39" spans="1:9" s="911" customFormat="1" ht="19.5" customHeight="1">
      <c r="A39" s="3133"/>
      <c r="B39" s="313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3" t="s">
        <v>571</v>
      </c>
      <c r="C61" s="820" t="s">
        <v>572</v>
      </c>
      <c r="D61" s="820" t="s">
        <v>573</v>
      </c>
      <c r="E61" s="919">
        <v>0.5</v>
      </c>
      <c r="F61" s="906">
        <v>80</v>
      </c>
    </row>
    <row r="62" spans="1:8" s="902" customFormat="1" ht="24">
      <c r="A62" s="906">
        <v>2</v>
      </c>
      <c r="B62" s="3133"/>
      <c r="C62" s="820" t="s">
        <v>574</v>
      </c>
      <c r="D62" s="820" t="s">
        <v>575</v>
      </c>
      <c r="E62" s="919">
        <v>0.5</v>
      </c>
      <c r="F62" s="906">
        <v>80</v>
      </c>
    </row>
    <row r="63" spans="1:8" s="902" customFormat="1" ht="36">
      <c r="A63" s="906">
        <v>3</v>
      </c>
      <c r="B63" s="3133"/>
      <c r="C63" s="820" t="s">
        <v>576</v>
      </c>
      <c r="D63" s="820" t="s">
        <v>577</v>
      </c>
      <c r="E63" s="919">
        <v>0.5</v>
      </c>
      <c r="F63" s="906">
        <v>80</v>
      </c>
    </row>
    <row r="64" spans="1:8" s="902" customFormat="1" ht="36">
      <c r="A64" s="906">
        <v>4</v>
      </c>
      <c r="B64" s="3133"/>
      <c r="C64" s="820" t="s">
        <v>578</v>
      </c>
      <c r="D64" s="820" t="s">
        <v>579</v>
      </c>
      <c r="E64" s="919">
        <v>0.4</v>
      </c>
      <c r="F64" s="906">
        <v>60</v>
      </c>
    </row>
    <row r="65" spans="1:6" s="902" customFormat="1" ht="36">
      <c r="A65" s="906">
        <v>5</v>
      </c>
      <c r="B65" s="3133"/>
      <c r="C65" s="820" t="s">
        <v>580</v>
      </c>
      <c r="D65" s="820" t="s">
        <v>581</v>
      </c>
      <c r="E65" s="919">
        <v>0.2</v>
      </c>
      <c r="F65" s="906">
        <v>30</v>
      </c>
    </row>
    <row r="66" spans="1:6" s="902" customFormat="1" ht="36">
      <c r="A66" s="906">
        <v>6</v>
      </c>
      <c r="B66" s="3133"/>
      <c r="C66" s="820" t="s">
        <v>582</v>
      </c>
      <c r="D66" s="820" t="s">
        <v>583</v>
      </c>
      <c r="E66" s="919">
        <v>0.3</v>
      </c>
      <c r="F66" s="906">
        <v>50</v>
      </c>
    </row>
    <row r="67" spans="1:6" s="902" customFormat="1" ht="36">
      <c r="A67" s="906">
        <v>7</v>
      </c>
      <c r="B67" s="3133"/>
      <c r="C67" s="820" t="s">
        <v>584</v>
      </c>
      <c r="D67" s="820" t="s">
        <v>585</v>
      </c>
      <c r="E67" s="919">
        <v>0.2</v>
      </c>
      <c r="F67" s="906">
        <v>30</v>
      </c>
    </row>
    <row r="68" spans="1:6" s="902" customFormat="1" ht="36">
      <c r="A68" s="906">
        <v>8</v>
      </c>
      <c r="B68" s="3133"/>
      <c r="C68" s="820" t="s">
        <v>586</v>
      </c>
      <c r="D68" s="820" t="s">
        <v>587</v>
      </c>
      <c r="E68" s="919">
        <v>0.2</v>
      </c>
      <c r="F68" s="906">
        <v>30</v>
      </c>
    </row>
    <row r="69" spans="1:6" s="902" customFormat="1" ht="36">
      <c r="A69" s="906">
        <v>9</v>
      </c>
      <c r="B69" s="3133"/>
      <c r="C69" s="820" t="s">
        <v>588</v>
      </c>
      <c r="D69" s="820" t="s">
        <v>589</v>
      </c>
      <c r="E69" s="919">
        <v>0.2</v>
      </c>
      <c r="F69" s="906">
        <v>30</v>
      </c>
    </row>
    <row r="70" spans="1:6" s="902" customFormat="1" ht="48">
      <c r="A70" s="906">
        <v>10</v>
      </c>
      <c r="B70" s="3133"/>
      <c r="C70" s="820" t="s">
        <v>590</v>
      </c>
      <c r="D70" s="820" t="s">
        <v>591</v>
      </c>
      <c r="E70" s="919">
        <v>0.2</v>
      </c>
      <c r="F70" s="906">
        <v>30</v>
      </c>
    </row>
    <row r="71" spans="1:6" s="902" customFormat="1" ht="48">
      <c r="A71" s="906">
        <v>11</v>
      </c>
      <c r="B71" s="3133"/>
      <c r="C71" s="820" t="s">
        <v>592</v>
      </c>
      <c r="D71" s="820" t="s">
        <v>593</v>
      </c>
      <c r="E71" s="919">
        <v>0.2</v>
      </c>
      <c r="F71" s="906">
        <v>30</v>
      </c>
    </row>
    <row r="72" spans="1:6" s="902" customFormat="1" ht="36">
      <c r="A72" s="906">
        <v>12</v>
      </c>
      <c r="B72" s="3133"/>
      <c r="C72" s="820" t="s">
        <v>594</v>
      </c>
      <c r="D72" s="820" t="s">
        <v>595</v>
      </c>
      <c r="E72" s="919">
        <v>0.5</v>
      </c>
      <c r="F72" s="906">
        <v>80</v>
      </c>
    </row>
    <row r="73" spans="1:6" s="902" customFormat="1" ht="24">
      <c r="A73" s="906">
        <v>13</v>
      </c>
      <c r="B73" s="3133"/>
      <c r="C73" s="820" t="s">
        <v>596</v>
      </c>
      <c r="D73" s="820" t="s">
        <v>597</v>
      </c>
      <c r="E73" s="919">
        <v>0.4</v>
      </c>
      <c r="F73" s="906">
        <v>60</v>
      </c>
    </row>
    <row r="74" spans="1:6" s="902" customFormat="1" ht="24">
      <c r="A74" s="906">
        <v>14</v>
      </c>
      <c r="B74" s="3133"/>
      <c r="C74" s="820" t="s">
        <v>598</v>
      </c>
      <c r="D74" s="820" t="s">
        <v>599</v>
      </c>
      <c r="E74" s="919">
        <v>0.2</v>
      </c>
      <c r="F74" s="906">
        <v>30</v>
      </c>
    </row>
    <row r="75" spans="1:6" s="902" customFormat="1" ht="24">
      <c r="A75" s="906">
        <v>15</v>
      </c>
      <c r="B75" s="3133"/>
      <c r="C75" s="820" t="s">
        <v>600</v>
      </c>
      <c r="D75" s="820" t="s">
        <v>601</v>
      </c>
      <c r="E75" s="919">
        <v>0.2</v>
      </c>
      <c r="F75" s="906">
        <v>30</v>
      </c>
    </row>
    <row r="76" spans="1:6" s="902" customFormat="1" ht="24">
      <c r="A76" s="906">
        <v>16</v>
      </c>
      <c r="B76" s="3133" t="s">
        <v>602</v>
      </c>
      <c r="C76" s="820" t="s">
        <v>603</v>
      </c>
      <c r="D76" s="820" t="s">
        <v>604</v>
      </c>
      <c r="E76" s="919">
        <v>0.5</v>
      </c>
      <c r="F76" s="906">
        <v>80</v>
      </c>
    </row>
    <row r="77" spans="1:6" s="902" customFormat="1" ht="24">
      <c r="A77" s="906">
        <v>17</v>
      </c>
      <c r="B77" s="3133"/>
      <c r="C77" s="820" t="s">
        <v>605</v>
      </c>
      <c r="D77" s="820" t="s">
        <v>606</v>
      </c>
      <c r="E77" s="919">
        <v>0.5</v>
      </c>
      <c r="F77" s="906">
        <v>80</v>
      </c>
    </row>
    <row r="78" spans="1:6" s="902" customFormat="1" ht="24">
      <c r="A78" s="906">
        <v>18</v>
      </c>
      <c r="B78" s="3133"/>
      <c r="C78" s="820" t="s">
        <v>607</v>
      </c>
      <c r="D78" s="820" t="s">
        <v>608</v>
      </c>
      <c r="E78" s="919">
        <v>0.2</v>
      </c>
      <c r="F78" s="906">
        <v>30</v>
      </c>
    </row>
    <row r="79" spans="1:6" s="902" customFormat="1" ht="24">
      <c r="A79" s="906">
        <v>19</v>
      </c>
      <c r="B79" s="3133"/>
      <c r="C79" s="820" t="s">
        <v>609</v>
      </c>
      <c r="D79" s="820" t="s">
        <v>610</v>
      </c>
      <c r="E79" s="919">
        <v>0.5</v>
      </c>
      <c r="F79" s="906">
        <v>80</v>
      </c>
    </row>
    <row r="80" spans="1:6" s="902" customFormat="1" ht="36">
      <c r="A80" s="906">
        <v>20</v>
      </c>
      <c r="B80" s="3133"/>
      <c r="C80" s="820" t="s">
        <v>611</v>
      </c>
      <c r="D80" s="820" t="s">
        <v>612</v>
      </c>
      <c r="E80" s="919">
        <v>0.2</v>
      </c>
      <c r="F80" s="906">
        <v>30</v>
      </c>
    </row>
    <row r="81" spans="1:6" s="902" customFormat="1" ht="36">
      <c r="A81" s="906">
        <v>21</v>
      </c>
      <c r="B81" s="3133"/>
      <c r="C81" s="820" t="s">
        <v>613</v>
      </c>
      <c r="D81" s="820" t="s">
        <v>614</v>
      </c>
      <c r="E81" s="919">
        <v>0.2</v>
      </c>
      <c r="F81" s="906">
        <v>30</v>
      </c>
    </row>
    <row r="82" spans="1:6" s="902" customFormat="1" ht="48">
      <c r="A82" s="906">
        <v>22</v>
      </c>
      <c r="B82" s="3133"/>
      <c r="C82" s="820" t="s">
        <v>615</v>
      </c>
      <c r="D82" s="820" t="s">
        <v>616</v>
      </c>
      <c r="E82" s="919">
        <v>0.2</v>
      </c>
      <c r="F82" s="906">
        <v>30</v>
      </c>
    </row>
    <row r="83" spans="1:6" s="902" customFormat="1" ht="48">
      <c r="A83" s="906">
        <v>23</v>
      </c>
      <c r="B83" s="3133"/>
      <c r="C83" s="820" t="s">
        <v>617</v>
      </c>
      <c r="D83" s="820" t="s">
        <v>618</v>
      </c>
      <c r="E83" s="919">
        <v>0.2</v>
      </c>
      <c r="F83" s="906">
        <v>30</v>
      </c>
    </row>
    <row r="84" spans="1:6" s="902" customFormat="1" ht="36">
      <c r="A84" s="906">
        <v>24</v>
      </c>
      <c r="B84" s="3133"/>
      <c r="C84" s="820" t="s">
        <v>619</v>
      </c>
      <c r="D84" s="820" t="s">
        <v>620</v>
      </c>
      <c r="E84" s="919">
        <v>0.2</v>
      </c>
      <c r="F84" s="906">
        <v>30</v>
      </c>
    </row>
    <row r="85" spans="1:6" s="902" customFormat="1" ht="36">
      <c r="A85" s="906">
        <v>25</v>
      </c>
      <c r="B85" s="3133"/>
      <c r="C85" s="820" t="s">
        <v>621</v>
      </c>
      <c r="D85" s="820" t="s">
        <v>622</v>
      </c>
      <c r="E85" s="919">
        <v>0.5</v>
      </c>
      <c r="F85" s="906">
        <v>80</v>
      </c>
    </row>
    <row r="86" spans="1:6" s="902" customFormat="1" ht="36">
      <c r="A86" s="906">
        <v>26</v>
      </c>
      <c r="B86" s="3133"/>
      <c r="C86" s="820" t="s">
        <v>623</v>
      </c>
      <c r="D86" s="820" t="s">
        <v>624</v>
      </c>
      <c r="E86" s="919">
        <v>0.2</v>
      </c>
      <c r="F86" s="906">
        <v>30</v>
      </c>
    </row>
    <row r="87" spans="1:6" s="902" customFormat="1" ht="36">
      <c r="A87" s="906">
        <v>27</v>
      </c>
      <c r="B87" s="3133"/>
      <c r="C87" s="820" t="s">
        <v>625</v>
      </c>
      <c r="D87" s="820" t="s">
        <v>626</v>
      </c>
      <c r="E87" s="919">
        <v>0.2</v>
      </c>
      <c r="F87" s="906">
        <v>30</v>
      </c>
    </row>
    <row r="88" spans="1:6" s="902" customFormat="1" ht="36">
      <c r="A88" s="906">
        <v>28</v>
      </c>
      <c r="B88" s="3133"/>
      <c r="C88" s="820" t="s">
        <v>627</v>
      </c>
      <c r="D88" s="820" t="s">
        <v>628</v>
      </c>
      <c r="E88" s="919">
        <v>0.2</v>
      </c>
      <c r="F88" s="906">
        <v>30</v>
      </c>
    </row>
    <row r="89" spans="1:6" s="902" customFormat="1" ht="24">
      <c r="A89" s="906">
        <v>29</v>
      </c>
      <c r="B89" s="3133"/>
      <c r="C89" s="820" t="s">
        <v>629</v>
      </c>
      <c r="D89" s="820" t="s">
        <v>630</v>
      </c>
      <c r="E89" s="919">
        <v>0.2</v>
      </c>
      <c r="F89" s="906">
        <v>30</v>
      </c>
    </row>
    <row r="90" spans="1:6" s="902" customFormat="1" ht="24">
      <c r="A90" s="906">
        <v>30</v>
      </c>
      <c r="B90" s="3133"/>
      <c r="C90" s="820" t="s">
        <v>631</v>
      </c>
      <c r="D90" s="820" t="s">
        <v>632</v>
      </c>
      <c r="E90" s="919">
        <v>0.2</v>
      </c>
      <c r="F90" s="906">
        <v>30</v>
      </c>
    </row>
    <row r="91" spans="1:6" s="902" customFormat="1" ht="36">
      <c r="A91" s="906">
        <v>31</v>
      </c>
      <c r="B91" s="3133"/>
      <c r="C91" s="820" t="s">
        <v>633</v>
      </c>
      <c r="D91" s="820" t="s">
        <v>634</v>
      </c>
      <c r="E91" s="919">
        <v>0.2</v>
      </c>
      <c r="F91" s="906">
        <v>30</v>
      </c>
    </row>
    <row r="92" spans="1:6" s="902" customFormat="1" ht="24">
      <c r="A92" s="906">
        <v>32</v>
      </c>
      <c r="B92" s="3133" t="s">
        <v>635</v>
      </c>
      <c r="C92" s="906" t="s">
        <v>636</v>
      </c>
      <c r="D92" s="820" t="s">
        <v>637</v>
      </c>
      <c r="E92" s="919">
        <v>0.2</v>
      </c>
      <c r="F92" s="906">
        <v>30</v>
      </c>
    </row>
    <row r="93" spans="1:6" s="902" customFormat="1" ht="36">
      <c r="A93" s="906">
        <v>33</v>
      </c>
      <c r="B93" s="3133"/>
      <c r="C93" s="906" t="s">
        <v>638</v>
      </c>
      <c r="D93" s="820" t="s">
        <v>639</v>
      </c>
      <c r="E93" s="919">
        <v>0.2</v>
      </c>
      <c r="F93" s="906">
        <v>30</v>
      </c>
    </row>
    <row r="94" spans="1:6" s="902" customFormat="1" ht="48">
      <c r="A94" s="906">
        <v>34</v>
      </c>
      <c r="B94" s="3133"/>
      <c r="C94" s="906" t="s">
        <v>640</v>
      </c>
      <c r="D94" s="820" t="s">
        <v>641</v>
      </c>
      <c r="E94" s="919">
        <v>0.2</v>
      </c>
      <c r="F94" s="906">
        <v>30</v>
      </c>
    </row>
    <row r="95" spans="1:6" s="902" customFormat="1" ht="36">
      <c r="A95" s="906">
        <v>35</v>
      </c>
      <c r="B95" s="3133"/>
      <c r="C95" s="906" t="s">
        <v>642</v>
      </c>
      <c r="D95" s="820" t="s">
        <v>643</v>
      </c>
      <c r="E95" s="919">
        <v>0.2</v>
      </c>
      <c r="F95" s="906">
        <v>30</v>
      </c>
    </row>
    <row r="96" spans="1:6" s="902" customFormat="1" ht="48">
      <c r="A96" s="906">
        <v>36</v>
      </c>
      <c r="B96" s="3133"/>
      <c r="C96" s="820" t="s">
        <v>644</v>
      </c>
      <c r="D96" s="820" t="s">
        <v>645</v>
      </c>
      <c r="E96" s="919">
        <v>0.2</v>
      </c>
      <c r="F96" s="906">
        <v>30</v>
      </c>
    </row>
    <row r="97" spans="1:6" s="902" customFormat="1" ht="36">
      <c r="A97" s="906">
        <v>37</v>
      </c>
      <c r="B97" s="3133"/>
      <c r="C97" s="906" t="s">
        <v>646</v>
      </c>
      <c r="D97" s="820" t="s">
        <v>647</v>
      </c>
      <c r="E97" s="919">
        <v>0.2</v>
      </c>
      <c r="F97" s="906">
        <v>30</v>
      </c>
    </row>
    <row r="98" spans="1:6" s="902" customFormat="1" ht="36">
      <c r="A98" s="906">
        <v>38</v>
      </c>
      <c r="B98" s="3133"/>
      <c r="C98" s="906" t="s">
        <v>648</v>
      </c>
      <c r="D98" s="820" t="s">
        <v>649</v>
      </c>
      <c r="E98" s="919">
        <v>0.2</v>
      </c>
      <c r="F98" s="906">
        <v>30</v>
      </c>
    </row>
    <row r="99" spans="1:6" s="902" customFormat="1" ht="36">
      <c r="A99" s="906">
        <v>39</v>
      </c>
      <c r="B99" s="3133" t="s">
        <v>650</v>
      </c>
      <c r="C99" s="906" t="s">
        <v>651</v>
      </c>
      <c r="D99" s="820" t="s">
        <v>652</v>
      </c>
      <c r="E99" s="919">
        <v>0.3</v>
      </c>
      <c r="F99" s="906">
        <v>50</v>
      </c>
    </row>
    <row r="100" spans="1:6" s="902" customFormat="1" ht="24">
      <c r="A100" s="906">
        <v>40</v>
      </c>
      <c r="B100" s="3133"/>
      <c r="C100" s="906" t="s">
        <v>653</v>
      </c>
      <c r="D100" s="820" t="s">
        <v>654</v>
      </c>
      <c r="E100" s="919">
        <v>0.2</v>
      </c>
      <c r="F100" s="906">
        <v>30</v>
      </c>
    </row>
    <row r="101" spans="1:6" s="902" customFormat="1" ht="36">
      <c r="A101" s="906">
        <v>41</v>
      </c>
      <c r="B101" s="313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3" t="s">
        <v>665</v>
      </c>
      <c r="C105" s="906" t="s">
        <v>666</v>
      </c>
      <c r="D105" s="820" t="s">
        <v>667</v>
      </c>
      <c r="E105" s="919">
        <v>0.2</v>
      </c>
      <c r="F105" s="906">
        <v>30</v>
      </c>
    </row>
    <row r="106" spans="1:6" s="902" customFormat="1" ht="36">
      <c r="A106" s="906">
        <v>46</v>
      </c>
      <c r="B106" s="3133"/>
      <c r="C106" s="906" t="s">
        <v>668</v>
      </c>
      <c r="D106" s="820" t="s">
        <v>669</v>
      </c>
      <c r="E106" s="919">
        <v>0.2</v>
      </c>
      <c r="F106" s="906">
        <v>30</v>
      </c>
    </row>
    <row r="107" spans="1:6" s="902" customFormat="1" ht="36">
      <c r="A107" s="906">
        <v>47</v>
      </c>
      <c r="B107" s="3133" t="s">
        <v>670</v>
      </c>
      <c r="C107" s="906" t="s">
        <v>671</v>
      </c>
      <c r="D107" s="820" t="s">
        <v>672</v>
      </c>
      <c r="E107" s="919">
        <v>0.3</v>
      </c>
      <c r="F107" s="906">
        <v>50</v>
      </c>
    </row>
    <row r="108" spans="1:6" s="902" customFormat="1" ht="36">
      <c r="A108" s="906">
        <v>48</v>
      </c>
      <c r="B108" s="313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3" t="s">
        <v>681</v>
      </c>
      <c r="C111" s="906" t="s">
        <v>682</v>
      </c>
      <c r="D111" s="820" t="s">
        <v>683</v>
      </c>
      <c r="E111" s="919">
        <v>0.2</v>
      </c>
      <c r="F111" s="906">
        <v>30</v>
      </c>
    </row>
    <row r="112" spans="1:6" s="902" customFormat="1" ht="24">
      <c r="A112" s="906">
        <v>52</v>
      </c>
      <c r="B112" s="3133"/>
      <c r="C112" s="906" t="s">
        <v>684</v>
      </c>
      <c r="D112" s="820" t="s">
        <v>685</v>
      </c>
      <c r="E112" s="919">
        <v>0.2</v>
      </c>
      <c r="F112" s="906">
        <v>30</v>
      </c>
    </row>
    <row r="113" spans="1:6" s="902" customFormat="1" ht="24">
      <c r="A113" s="906">
        <v>53</v>
      </c>
      <c r="B113" s="313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3" t="s">
        <v>694</v>
      </c>
      <c r="C116" s="906" t="s">
        <v>695</v>
      </c>
      <c r="D116" s="820" t="s">
        <v>696</v>
      </c>
      <c r="E116" s="919">
        <v>0.2</v>
      </c>
      <c r="F116" s="906">
        <v>30</v>
      </c>
    </row>
    <row r="117" spans="1:6" ht="36">
      <c r="A117" s="906">
        <v>57</v>
      </c>
      <c r="B117" s="313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1034</v>
      </c>
      <c r="C1" s="3139"/>
      <c r="D1" s="3139"/>
      <c r="E1" s="3139"/>
      <c r="F1" s="3139"/>
      <c r="G1" s="3135" t="s">
        <v>1035</v>
      </c>
      <c r="H1" s="3135"/>
      <c r="I1" s="3135"/>
      <c r="J1" s="3135"/>
      <c r="K1" s="3135"/>
      <c r="L1" s="3135"/>
      <c r="N1" s="3135" t="s">
        <v>1036</v>
      </c>
      <c r="O1" s="3135"/>
      <c r="P1" s="3135"/>
      <c r="Q1" s="3135"/>
      <c r="R1" s="1547"/>
      <c r="S1" s="3135" t="s">
        <v>1037</v>
      </c>
      <c r="T1" s="3135"/>
      <c r="U1" s="3135"/>
      <c r="V1" s="3135"/>
      <c r="X1" s="3134" t="s">
        <v>1038</v>
      </c>
      <c r="Y1" s="3135"/>
      <c r="Z1" s="3135"/>
      <c r="AA1" s="3135"/>
      <c r="AB1" s="3135"/>
      <c r="AD1" s="3134" t="s">
        <v>1039</v>
      </c>
      <c r="AE1" s="3135"/>
      <c r="AF1" s="3135"/>
      <c r="AG1" s="3135"/>
      <c r="AH1" s="3135"/>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0">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37"/>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37"/>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38"/>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6">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37"/>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37"/>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38"/>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6">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37"/>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37"/>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38"/>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1">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2"/>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2"/>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3"/>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6">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37"/>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37"/>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38"/>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6">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37">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37">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38">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6">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37">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37">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38">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6">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37">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37">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38">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6">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37">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37">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38">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6">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37">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37">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38">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6">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37">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37">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38">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6">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37">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37">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38">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6">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37">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37">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38">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6">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37">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37">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38">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6">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37">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37">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38">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43098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P15" sqref="P15"/>
    </sheetView>
  </sheetViews>
  <sheetFormatPr defaultRowHeight="13.5"/>
  <cols>
    <col min="4" max="4" width="12.75" customWidth="1"/>
    <col min="5" max="5" width="11.5" customWidth="1"/>
    <col min="6" max="6" width="14" customWidth="1"/>
  </cols>
  <sheetData>
    <row r="2" spans="3:12">
      <c r="I2">
        <v>343</v>
      </c>
      <c r="J2" s="3144" t="s">
        <v>2913</v>
      </c>
      <c r="K2" s="3144"/>
      <c r="L2" s="3144"/>
    </row>
    <row r="3" spans="3:12">
      <c r="C3" s="2743"/>
      <c r="D3" s="2743" t="s">
        <v>2775</v>
      </c>
      <c r="E3" s="2743" t="s">
        <v>2776</v>
      </c>
      <c r="F3" s="2744" t="s">
        <v>2797</v>
      </c>
      <c r="I3">
        <v>368</v>
      </c>
      <c r="J3" s="2744" t="s">
        <v>2917</v>
      </c>
      <c r="K3" s="2744" t="s">
        <v>2918</v>
      </c>
      <c r="L3" s="2744" t="s">
        <v>2919</v>
      </c>
    </row>
    <row r="4" spans="3:12">
      <c r="C4" s="2747">
        <v>1</v>
      </c>
      <c r="D4" s="2747" t="s">
        <v>2777</v>
      </c>
      <c r="E4" s="2747">
        <v>107.22</v>
      </c>
      <c r="F4" s="2747">
        <v>11.01</v>
      </c>
      <c r="H4">
        <v>427</v>
      </c>
      <c r="I4">
        <v>343</v>
      </c>
      <c r="J4" s="2773" t="s">
        <v>2914</v>
      </c>
      <c r="K4" s="2744" t="s">
        <v>2915</v>
      </c>
      <c r="L4" s="2744" t="s">
        <v>2916</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2938</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2937</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2935</v>
      </c>
      <c r="E28" s="2781">
        <f>E4+E5+E6+E7+E8+E9+E10+E22+E23</f>
        <v>851.59</v>
      </c>
      <c r="F28" s="2781">
        <f>F4+F5+F6+F7+F8+F9+F10+F22+F23</f>
        <v>87.450000000000017</v>
      </c>
    </row>
    <row r="29" spans="3:6">
      <c r="D29" s="2780" t="s">
        <v>2936</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9"/>
      <c r="B3" s="1929"/>
      <c r="C3" s="1929"/>
      <c r="D3" s="1929"/>
      <c r="E3" s="1929"/>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6"/>
      <c r="B5" s="1930" t="s">
        <v>742</v>
      </c>
      <c r="C5" s="2807" t="s">
        <v>784</v>
      </c>
      <c r="D5" s="2808"/>
      <c r="E5" s="1926"/>
    </row>
    <row r="6" spans="1:5" ht="42.75">
      <c r="A6" s="1926"/>
      <c r="B6" s="1931" t="str">
        <f>项目基本情况!I1</f>
        <v>北京市北京市西城区宣武门外大街6、8、10、12、16、18号6号楼110102等20套房房地产</v>
      </c>
      <c r="C6" s="2809">
        <f>项目基本情况!C12</f>
        <v>851.59</v>
      </c>
      <c r="D6" s="2809"/>
      <c r="E6" s="1926"/>
    </row>
    <row r="7" spans="1:5" ht="14.25">
      <c r="A7" s="1926"/>
      <c r="B7" s="2803" t="s">
        <v>785</v>
      </c>
      <c r="C7" s="1932" t="str">
        <f>IF('数据-取费表'!B3="万元","总价（万元）","总价（元）")</f>
        <v>总价（万元）</v>
      </c>
      <c r="D7" s="1933" t="e">
        <f ca="1">IF('数据-取费表'!E3="否",结果表!I102,'结果表 (1修多)'!I103)</f>
        <v>#REF!</v>
      </c>
      <c r="E7" s="1926"/>
    </row>
    <row r="8" spans="1:5" ht="14.25">
      <c r="A8" s="1926"/>
      <c r="B8" s="2803"/>
      <c r="C8" s="1934" t="s">
        <v>1176</v>
      </c>
      <c r="D8" s="1935" t="e">
        <f ca="1">IF('数据-取费表'!B3="万元",NUMBERSTRING(INT(D7*10000),2)&amp;"元整",NUMBERSTRING(INT(D7),2)&amp;"元整")</f>
        <v>#REF!</v>
      </c>
      <c r="E8" s="1926"/>
    </row>
    <row r="9" spans="1:5" ht="14.25">
      <c r="A9" s="1926"/>
      <c r="B9" s="2803"/>
      <c r="C9" s="1936" t="s">
        <v>1275</v>
      </c>
      <c r="D9" s="1933" t="e">
        <f ca="1">IF('数据-取费表'!E3="否",结果表!I103,'结果表 (1修多)'!I104)</f>
        <v>#REF!</v>
      </c>
      <c r="E9" s="1926"/>
    </row>
    <row r="10" spans="1:5" ht="14.25">
      <c r="A10" s="1926"/>
      <c r="B10" s="281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810"/>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810" t="str">
        <f>IF('数据-取费表'!E3="否",结果表!F110,'结果表 (1修多)'!F111)</f>
        <v>3.房地产抵押价值</v>
      </c>
      <c r="C15" s="1927" t="str">
        <f>C7</f>
        <v>总价（万元）</v>
      </c>
      <c r="D15" s="1933" t="e">
        <f ca="1">IF('数据-取费表'!E3="否",结果表!I110,'结果表 (1修多)'!I111)</f>
        <v>#REF!</v>
      </c>
      <c r="E15" s="1926"/>
    </row>
    <row r="16" spans="1:5" ht="14.25">
      <c r="A16" s="1926"/>
      <c r="B16" s="2810"/>
      <c r="C16" s="1934" t="s">
        <v>1176</v>
      </c>
      <c r="D16" s="1933" t="e">
        <f ca="1">IF('数据-取费表'!B3="万元",NUMBERSTRING(INT(D15*10000),2)&amp;"元整",NUMBERSTRING(INT(D15),2)&amp;"元整")</f>
        <v>#REF!</v>
      </c>
      <c r="E16" s="1926"/>
    </row>
    <row r="17" spans="1:5" ht="14.25">
      <c r="A17" s="1926"/>
      <c r="B17" s="2810"/>
      <c r="C17" s="1936" t="s">
        <v>1275</v>
      </c>
      <c r="D17" s="1933" t="e">
        <f ca="1">IF('数据-取费表'!E3="否",结果表!I111,'结果表 (1修多)'!I112)</f>
        <v>#REF!</v>
      </c>
      <c r="E17" s="1926"/>
    </row>
    <row r="18" spans="1:5" ht="14.25">
      <c r="A18" s="1926"/>
      <c r="B18" s="2810" t="str">
        <f>IF('数据-取费表'!E3="否",结果表!F112,'结果表 (1修多)'!F113)</f>
        <v>——</v>
      </c>
      <c r="C18" s="1927" t="str">
        <f>C7</f>
        <v>总价（万元）</v>
      </c>
      <c r="D18" s="1933" t="str">
        <f>IF('数据-取费表'!E3="否",结果表!I112,'结果表 (1修多)'!I113)</f>
        <v>——</v>
      </c>
      <c r="E18" s="1926"/>
    </row>
    <row r="19" spans="1:5" ht="14.25">
      <c r="A19" s="1926"/>
      <c r="B19" s="2810"/>
      <c r="C19" s="1934" t="s">
        <v>1176</v>
      </c>
      <c r="D19" s="1933" t="e">
        <f>IF('数据-取费表'!B3="万元",NUMBERSTRING(INT(D18*10000),2)&amp;"元整",NUMBERSTRING(INT(D18),2)&amp;"元整")</f>
        <v>#VALUE!</v>
      </c>
      <c r="E19" s="1926"/>
    </row>
    <row r="20" spans="1:5" ht="14.25">
      <c r="A20" s="1926"/>
      <c r="B20" s="2810"/>
      <c r="C20" s="1936" t="s">
        <v>1275</v>
      </c>
      <c r="D20" s="1933" t="str">
        <f>IF('数据-取费表'!E3="否",结果表!I113,'结果表 (1修多)'!I114)</f>
        <v>——</v>
      </c>
      <c r="E20" s="1926"/>
    </row>
    <row r="21" spans="1:5" ht="14.25">
      <c r="A21" s="1926"/>
      <c r="B21" s="2803" t="str">
        <f>IF('数据-取费表'!E3="否",结果表!F114,'结果表 (1修多)'!F115)</f>
        <v>——</v>
      </c>
      <c r="C21" s="1932" t="str">
        <f>C7</f>
        <v>总价（万元）</v>
      </c>
      <c r="D21" s="1933" t="str">
        <f>IF('数据-取费表'!E3="否",结果表!I114,'结果表 (1修多)'!I115)</f>
        <v>——</v>
      </c>
      <c r="E21" s="1926"/>
    </row>
    <row r="22" spans="1:5" ht="14.25">
      <c r="A22" s="1926"/>
      <c r="B22" s="2803"/>
      <c r="C22" s="1934" t="s">
        <v>1176</v>
      </c>
      <c r="D22" s="1935" t="e">
        <f>IF('数据-取费表'!B3="万元",NUMBERSTRING(INT(D21*10000),2)&amp;"元整",NUMBERSTRING(INT(D21),2)&amp;"元整")</f>
        <v>#VALUE!</v>
      </c>
      <c r="E22" s="1926"/>
    </row>
    <row r="23" spans="1:5" ht="15" thickBot="1">
      <c r="A23" s="1926"/>
      <c r="B23" s="2804"/>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795" t="s">
        <v>1276</v>
      </c>
      <c r="C25" s="2795"/>
      <c r="D25" s="2795"/>
      <c r="E25" s="1926"/>
    </row>
    <row r="26" spans="1:5" ht="18.75" customHeight="1" thickTop="1">
      <c r="A26" s="1926"/>
      <c r="B26" s="2798" t="s">
        <v>1175</v>
      </c>
      <c r="C26" s="2799"/>
      <c r="D26" s="2796" t="s">
        <v>1174</v>
      </c>
      <c r="E26" s="1926"/>
    </row>
    <row r="27" spans="1:5" ht="18.75" customHeight="1">
      <c r="A27" s="1926"/>
      <c r="B27" s="2800"/>
      <c r="C27" s="2801"/>
      <c r="D27" s="2797"/>
      <c r="E27" s="1926"/>
    </row>
    <row r="28" spans="1:5" ht="14.25">
      <c r="A28" s="1926"/>
      <c r="B28" s="2788" t="s">
        <v>785</v>
      </c>
      <c r="C28" s="1943" t="s">
        <v>1177</v>
      </c>
      <c r="D28" s="1944" t="e">
        <f ca="1">IF('数据-取费表'!E3="否",结果表!I102,'结果表 (1修多)'!I103)</f>
        <v>#REF!</v>
      </c>
      <c r="E28" s="1926"/>
    </row>
    <row r="29" spans="1:5" ht="14.25">
      <c r="A29" s="1926"/>
      <c r="B29" s="2789"/>
      <c r="C29" s="1945" t="s">
        <v>1176</v>
      </c>
      <c r="D29" s="1946" t="e">
        <f ca="1">IF('数据-取费表'!B3="万元",NUMBERSTRING(INT(D28*10000),2)&amp;"元整",NUMBERSTRING(INT(D28),2)&amp;"元整")</f>
        <v>#REF!</v>
      </c>
      <c r="E29" s="1926"/>
    </row>
    <row r="30" spans="1:5" ht="14.25">
      <c r="A30" s="1926"/>
      <c r="B30" s="2790"/>
      <c r="C30" s="1936" t="s">
        <v>1179</v>
      </c>
      <c r="D30" s="1947" t="e">
        <f ca="1">IF('数据-取费表'!E3="否",结果表!I103,'结果表 (1修多)'!I104)</f>
        <v>#REF!</v>
      </c>
      <c r="E30" s="1926"/>
    </row>
    <row r="31" spans="1:5" ht="14.25">
      <c r="A31" s="1926"/>
      <c r="B31" s="2793" t="str">
        <f>B10</f>
        <v>2.估价师所知悉的法定优先受偿款</v>
      </c>
      <c r="C31" s="1948" t="s">
        <v>1178</v>
      </c>
      <c r="D31" s="1949">
        <f>IF('数据-取费表'!E3="否",结果表!I105,'结果表 (1修多)'!I106)</f>
        <v>0</v>
      </c>
      <c r="E31" s="1926"/>
    </row>
    <row r="32" spans="1:5" ht="14.25">
      <c r="A32" s="1926"/>
      <c r="B32" s="2802"/>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91" t="str">
        <f>B15</f>
        <v>3.房地产抵押价值</v>
      </c>
      <c r="C36" s="1948" t="str">
        <f>C28</f>
        <v>总价</v>
      </c>
      <c r="D36" s="1949" t="e">
        <f ca="1">IF('数据-取费表'!E3="否",结果表!I110,'结果表 (1修多)'!I111)</f>
        <v>#REF!</v>
      </c>
      <c r="E36" s="1926"/>
    </row>
    <row r="37" spans="1:5" ht="14.25">
      <c r="A37" s="1926"/>
      <c r="B37" s="2791"/>
      <c r="C37" s="1945" t="s">
        <v>1176</v>
      </c>
      <c r="D37" s="1950" t="e">
        <f ca="1">IF('数据-取费表'!B3="万元",NUMBERSTRING(INT(D36*10000),2)&amp;"元整",NUMBERSTRING(INT(D36),2)&amp;"元整")</f>
        <v>#REF!</v>
      </c>
      <c r="E37" s="1926"/>
    </row>
    <row r="38" spans="1:5" ht="14.25">
      <c r="A38" s="1926"/>
      <c r="B38" s="2791"/>
      <c r="C38" s="1936" t="s">
        <v>1180</v>
      </c>
      <c r="D38" s="1947" t="e">
        <f ca="1">IF('数据-取费表'!E3="否",结果表!D113,'结果表 (1修多)'!D116)</f>
        <v>#REF!</v>
      </c>
      <c r="E38" s="1926"/>
    </row>
    <row r="39" spans="1:5" ht="14.25">
      <c r="A39" s="1926"/>
      <c r="B39" s="2792" t="str">
        <f>B18</f>
        <v>——</v>
      </c>
      <c r="C39" s="1948" t="str">
        <f>C28</f>
        <v>总价</v>
      </c>
      <c r="D39" s="1949" t="str">
        <f>IF('数据-取费表'!E3="否",结果表!I112,'结果表 (1修多)'!I113)</f>
        <v>——</v>
      </c>
      <c r="E39" s="1926"/>
    </row>
    <row r="40" spans="1:5" ht="14.25">
      <c r="A40" s="1926"/>
      <c r="B40" s="2792"/>
      <c r="C40" s="1945" t="s">
        <v>1176</v>
      </c>
      <c r="D40" s="1950" t="e">
        <f>IF('数据-取费表'!B3="万元",NUMBERSTRING(INT(D39*10000),2)&amp;"元整",NUMBERSTRING(INT(D39),2)&amp;"元整")</f>
        <v>#VALUE!</v>
      </c>
      <c r="E40" s="1926"/>
    </row>
    <row r="41" spans="1:5" ht="14.25">
      <c r="A41" s="1926"/>
      <c r="B41" s="2792"/>
      <c r="C41" s="1936" t="s">
        <v>1180</v>
      </c>
      <c r="D41" s="1947" t="str">
        <f>IF('数据-取费表'!E3="否",结果表!D115,'结果表 (1修多)'!D118)</f>
        <v>——</v>
      </c>
      <c r="E41" s="1926"/>
    </row>
    <row r="42" spans="1:5" ht="14.25">
      <c r="A42" s="1926"/>
      <c r="B42" s="2791" t="str">
        <f>B21</f>
        <v>——</v>
      </c>
      <c r="C42" s="1948" t="str">
        <f>C28</f>
        <v>总价</v>
      </c>
      <c r="D42" s="1949" t="str">
        <f>IF('数据-取费表'!E3="否",结果表!I114,'结果表 (1修多)'!I115)</f>
        <v>——</v>
      </c>
      <c r="E42" s="1926"/>
    </row>
    <row r="43" spans="1:5" ht="14.25">
      <c r="A43" s="1926"/>
      <c r="B43" s="2793"/>
      <c r="C43" s="1945" t="s">
        <v>1176</v>
      </c>
      <c r="D43" s="1951" t="e">
        <f>IF('数据-取费表'!B3="万元",NUMBERSTRING(INT(D42*10000),2)&amp;"元整",NUMBERSTRING(INT(D42),2)&amp;"元整")</f>
        <v>#VALUE!</v>
      </c>
      <c r="E43" s="1926"/>
    </row>
    <row r="44" spans="1:5" ht="15" thickBot="1">
      <c r="A44" s="1926"/>
      <c r="B44" s="2794"/>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G33" sqref="G33"/>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61" t="s">
        <v>2837</v>
      </c>
      <c r="B3" s="3161"/>
      <c r="C3" s="3161"/>
      <c r="D3" s="3161"/>
      <c r="E3" s="3161"/>
      <c r="F3" s="3161"/>
      <c r="G3" s="3161"/>
      <c r="H3" s="3161"/>
      <c r="I3" s="3161"/>
      <c r="J3" s="3161"/>
      <c r="K3" s="3161"/>
      <c r="L3" s="3161"/>
      <c r="M3" s="3161"/>
      <c r="N3" s="3161"/>
    </row>
    <row r="5" spans="1:15" ht="12" thickBot="1"/>
    <row r="6" spans="1:15" ht="12" thickTop="1">
      <c r="A6" s="2755" t="s">
        <v>2838</v>
      </c>
      <c r="B6" s="2756" t="s">
        <v>2839</v>
      </c>
      <c r="C6" s="2756" t="s">
        <v>2840</v>
      </c>
      <c r="D6" s="2756" t="s">
        <v>2841</v>
      </c>
      <c r="E6" s="2756" t="s">
        <v>2842</v>
      </c>
      <c r="F6" s="2756" t="s">
        <v>2843</v>
      </c>
      <c r="G6" s="2756" t="s">
        <v>2844</v>
      </c>
      <c r="H6" s="2756" t="s">
        <v>2845</v>
      </c>
      <c r="I6" s="2756" t="s">
        <v>2846</v>
      </c>
      <c r="J6" s="2756" t="s">
        <v>2847</v>
      </c>
      <c r="K6" s="2756" t="s">
        <v>2848</v>
      </c>
      <c r="L6" s="2756" t="s">
        <v>2849</v>
      </c>
      <c r="M6" s="2756" t="s">
        <v>2850</v>
      </c>
      <c r="N6" s="2763" t="s">
        <v>2851</v>
      </c>
      <c r="O6" s="2767" t="s">
        <v>2852</v>
      </c>
    </row>
    <row r="7" spans="1:15">
      <c r="A7" s="2757">
        <v>1</v>
      </c>
      <c r="B7" s="3162" t="s">
        <v>2853</v>
      </c>
      <c r="C7" s="3162" t="s">
        <v>2854</v>
      </c>
      <c r="D7" s="3163" t="s">
        <v>2855</v>
      </c>
      <c r="E7" s="3163" t="s">
        <v>2856</v>
      </c>
      <c r="F7" s="3163" t="s">
        <v>2857</v>
      </c>
      <c r="G7" s="3163" t="s">
        <v>2858</v>
      </c>
      <c r="H7" s="3163" t="s">
        <v>2859</v>
      </c>
      <c r="I7" s="2758">
        <v>708</v>
      </c>
      <c r="J7" s="2758">
        <v>107.22</v>
      </c>
      <c r="K7" s="2759" t="s">
        <v>2860</v>
      </c>
      <c r="L7" s="2759">
        <f>M7*23</f>
        <v>570991.56000000006</v>
      </c>
      <c r="M7" s="2760">
        <v>24825.72</v>
      </c>
      <c r="N7" s="2778" t="s">
        <v>2861</v>
      </c>
      <c r="O7" s="2767">
        <f>ROUND(M7/30/J7,2)</f>
        <v>7.72</v>
      </c>
    </row>
    <row r="8" spans="1:15">
      <c r="A8" s="2757">
        <v>2</v>
      </c>
      <c r="B8" s="3162"/>
      <c r="C8" s="3162"/>
      <c r="D8" s="3163"/>
      <c r="E8" s="3163"/>
      <c r="F8" s="3163"/>
      <c r="G8" s="3163"/>
      <c r="H8" s="3163"/>
      <c r="I8" s="2758">
        <v>728</v>
      </c>
      <c r="J8" s="2758">
        <v>106.15</v>
      </c>
      <c r="K8" s="2759" t="s">
        <v>2862</v>
      </c>
      <c r="L8" s="2759">
        <f>M8*23.5</f>
        <v>538817.4</v>
      </c>
      <c r="M8" s="2760">
        <v>22928.400000000001</v>
      </c>
      <c r="N8" s="2778" t="s">
        <v>2863</v>
      </c>
      <c r="O8" s="2767">
        <f>ROUND(M8/30/J8,2)</f>
        <v>7.2</v>
      </c>
    </row>
    <row r="9" spans="1:15">
      <c r="A9" s="2757">
        <v>3</v>
      </c>
      <c r="B9" s="3162"/>
      <c r="C9" s="3162"/>
      <c r="D9" s="3163"/>
      <c r="E9" s="3163"/>
      <c r="F9" s="3163"/>
      <c r="G9" s="3163"/>
      <c r="H9" s="3163"/>
      <c r="I9" s="2758">
        <v>731</v>
      </c>
      <c r="J9" s="2758">
        <v>107.22</v>
      </c>
      <c r="K9" s="3159" t="s">
        <v>2864</v>
      </c>
      <c r="L9" s="3152">
        <f>M9*23</f>
        <v>1453268.8</v>
      </c>
      <c r="M9" s="3147">
        <v>63185.599999999999</v>
      </c>
      <c r="N9" s="3148" t="s">
        <v>2826</v>
      </c>
      <c r="O9" s="3151">
        <f>ROUND(M9/30/(J9+J10+J11),2)</f>
        <v>7.67</v>
      </c>
    </row>
    <row r="10" spans="1:15">
      <c r="A10" s="2757">
        <v>4</v>
      </c>
      <c r="B10" s="3162"/>
      <c r="C10" s="3162"/>
      <c r="D10" s="3163"/>
      <c r="E10" s="3163"/>
      <c r="F10" s="3163"/>
      <c r="G10" s="3163"/>
      <c r="H10" s="3163"/>
      <c r="I10" s="2758">
        <v>732</v>
      </c>
      <c r="J10" s="2758">
        <v>83.75</v>
      </c>
      <c r="K10" s="3164"/>
      <c r="L10" s="3154"/>
      <c r="M10" s="3147"/>
      <c r="N10" s="3149"/>
      <c r="O10" s="3151"/>
    </row>
    <row r="11" spans="1:15">
      <c r="A11" s="2757">
        <v>5</v>
      </c>
      <c r="B11" s="3162"/>
      <c r="C11" s="3162"/>
      <c r="D11" s="3163"/>
      <c r="E11" s="3163"/>
      <c r="F11" s="3163"/>
      <c r="G11" s="3163"/>
      <c r="H11" s="3163"/>
      <c r="I11" s="2758">
        <v>734</v>
      </c>
      <c r="J11" s="2758">
        <v>83.75</v>
      </c>
      <c r="K11" s="3160"/>
      <c r="L11" s="3153"/>
      <c r="M11" s="3147"/>
      <c r="N11" s="3150"/>
      <c r="O11" s="3151"/>
    </row>
    <row r="12" spans="1:15">
      <c r="A12" s="2757">
        <v>6</v>
      </c>
      <c r="B12" s="3162"/>
      <c r="C12" s="3162"/>
      <c r="D12" s="3163"/>
      <c r="E12" s="3163"/>
      <c r="F12" s="3163"/>
      <c r="G12" s="3163"/>
      <c r="H12" s="3163"/>
      <c r="I12" s="2758">
        <v>735</v>
      </c>
      <c r="J12" s="2758">
        <v>83.75</v>
      </c>
      <c r="K12" s="2759" t="s">
        <v>2865</v>
      </c>
      <c r="L12" s="2759">
        <f>M12*12</f>
        <v>221100</v>
      </c>
      <c r="M12" s="2760">
        <v>18425</v>
      </c>
      <c r="N12" s="2765" t="s">
        <v>2827</v>
      </c>
      <c r="O12" s="2767">
        <f>ROUND(M12/30/J12,2)</f>
        <v>7.33</v>
      </c>
    </row>
    <row r="13" spans="1:15">
      <c r="A13" s="2757">
        <v>7</v>
      </c>
      <c r="B13" s="3162"/>
      <c r="C13" s="3162"/>
      <c r="D13" s="3163"/>
      <c r="E13" s="3163"/>
      <c r="F13" s="3163"/>
      <c r="G13" s="3163"/>
      <c r="H13" s="3163"/>
      <c r="I13" s="2758">
        <v>1132</v>
      </c>
      <c r="J13" s="2758">
        <v>83.75</v>
      </c>
      <c r="K13" s="2759" t="s">
        <v>2828</v>
      </c>
      <c r="L13" s="2759">
        <f>M13*35</f>
        <v>615562.5</v>
      </c>
      <c r="M13" s="2760">
        <v>17587.5</v>
      </c>
      <c r="N13" s="2768" t="s">
        <v>2866</v>
      </c>
      <c r="O13" s="2767">
        <f>ROUND(M13/30/J13,2)</f>
        <v>7</v>
      </c>
    </row>
    <row r="14" spans="1:15">
      <c r="A14" s="2757">
        <v>8</v>
      </c>
      <c r="B14" s="3162"/>
      <c r="C14" s="3162"/>
      <c r="D14" s="3163"/>
      <c r="E14" s="3163"/>
      <c r="F14" s="3163"/>
      <c r="G14" s="3163"/>
      <c r="H14" s="3163"/>
      <c r="I14" s="2758">
        <v>1213</v>
      </c>
      <c r="J14" s="2758">
        <v>83.75</v>
      </c>
      <c r="K14" s="3152" t="s">
        <v>2867</v>
      </c>
      <c r="L14" s="2759"/>
      <c r="M14" s="2760">
        <v>0</v>
      </c>
      <c r="N14" s="2765" t="s">
        <v>2829</v>
      </c>
      <c r="O14" s="3151" t="s">
        <v>2835</v>
      </c>
    </row>
    <row r="15" spans="1:15">
      <c r="A15" s="2757">
        <v>9</v>
      </c>
      <c r="B15" s="3162"/>
      <c r="C15" s="3162"/>
      <c r="D15" s="3163"/>
      <c r="E15" s="3163"/>
      <c r="F15" s="3163"/>
      <c r="G15" s="3163"/>
      <c r="H15" s="3163"/>
      <c r="I15" s="2758">
        <v>1214</v>
      </c>
      <c r="J15" s="2758">
        <v>89.85</v>
      </c>
      <c r="K15" s="3153"/>
      <c r="L15" s="2759"/>
      <c r="M15" s="2760">
        <v>0</v>
      </c>
      <c r="N15" s="2765" t="s">
        <v>2830</v>
      </c>
      <c r="O15" s="3151"/>
    </row>
    <row r="16" spans="1:15">
      <c r="A16" s="2757">
        <v>10</v>
      </c>
      <c r="B16" s="3162"/>
      <c r="C16" s="3162"/>
      <c r="D16" s="3163"/>
      <c r="E16" s="3163"/>
      <c r="F16" s="3163"/>
      <c r="G16" s="3163"/>
      <c r="H16" s="3163"/>
      <c r="I16" s="2758">
        <v>1222</v>
      </c>
      <c r="J16" s="2758">
        <v>83.75</v>
      </c>
      <c r="K16" s="3152" t="s">
        <v>2831</v>
      </c>
      <c r="L16" s="3152">
        <f>112047*23</f>
        <v>2577081</v>
      </c>
      <c r="M16" s="3155">
        <v>112047</v>
      </c>
      <c r="N16" s="3156" t="s">
        <v>2868</v>
      </c>
      <c r="O16" s="3151">
        <f>ROUND(M16/30/(J16+J17+J18+J19+J20),2)</f>
        <v>8.67</v>
      </c>
    </row>
    <row r="17" spans="1:15">
      <c r="A17" s="2757">
        <v>11</v>
      </c>
      <c r="B17" s="3162"/>
      <c r="C17" s="3162"/>
      <c r="D17" s="3163"/>
      <c r="E17" s="3163"/>
      <c r="F17" s="3163"/>
      <c r="G17" s="3163"/>
      <c r="H17" s="3163"/>
      <c r="I17" s="2758">
        <v>1223</v>
      </c>
      <c r="J17" s="2758">
        <v>89.85</v>
      </c>
      <c r="K17" s="3154"/>
      <c r="L17" s="3154"/>
      <c r="M17" s="3155"/>
      <c r="N17" s="3157"/>
      <c r="O17" s="3151"/>
    </row>
    <row r="18" spans="1:15">
      <c r="A18" s="2757">
        <v>12</v>
      </c>
      <c r="B18" s="3162"/>
      <c r="C18" s="3162"/>
      <c r="D18" s="3163"/>
      <c r="E18" s="3163"/>
      <c r="F18" s="3163"/>
      <c r="G18" s="3163"/>
      <c r="H18" s="3163"/>
      <c r="I18" s="2758">
        <v>1224</v>
      </c>
      <c r="J18" s="2758">
        <v>83.75</v>
      </c>
      <c r="K18" s="3154"/>
      <c r="L18" s="3154"/>
      <c r="M18" s="3155"/>
      <c r="N18" s="3157"/>
      <c r="O18" s="3151"/>
    </row>
    <row r="19" spans="1:15">
      <c r="A19" s="2757">
        <v>13</v>
      </c>
      <c r="B19" s="3162"/>
      <c r="C19" s="3162"/>
      <c r="D19" s="3163"/>
      <c r="E19" s="3163"/>
      <c r="F19" s="3163"/>
      <c r="G19" s="3163"/>
      <c r="H19" s="3163"/>
      <c r="I19" s="2758">
        <v>1225</v>
      </c>
      <c r="J19" s="2758">
        <v>83.75</v>
      </c>
      <c r="K19" s="3154"/>
      <c r="L19" s="3154"/>
      <c r="M19" s="3155"/>
      <c r="N19" s="3157"/>
      <c r="O19" s="3151"/>
    </row>
    <row r="20" spans="1:15">
      <c r="A20" s="2757">
        <v>14</v>
      </c>
      <c r="B20" s="3162"/>
      <c r="C20" s="3162"/>
      <c r="D20" s="3163"/>
      <c r="E20" s="3163"/>
      <c r="F20" s="3163"/>
      <c r="G20" s="3163"/>
      <c r="H20" s="3163"/>
      <c r="I20" s="2758">
        <v>1226</v>
      </c>
      <c r="J20" s="2758">
        <v>89.85</v>
      </c>
      <c r="K20" s="3153"/>
      <c r="L20" s="3153"/>
      <c r="M20" s="3155"/>
      <c r="N20" s="3158"/>
      <c r="O20" s="3151"/>
    </row>
    <row r="21" spans="1:15">
      <c r="A21" s="2757">
        <v>15</v>
      </c>
      <c r="B21" s="3162"/>
      <c r="C21" s="3162"/>
      <c r="D21" s="3163"/>
      <c r="E21" s="3163"/>
      <c r="F21" s="3163"/>
      <c r="G21" s="3163"/>
      <c r="H21" s="3163"/>
      <c r="I21" s="2758">
        <v>1408</v>
      </c>
      <c r="J21" s="2758">
        <v>107.22</v>
      </c>
      <c r="K21" s="2759" t="s">
        <v>2869</v>
      </c>
      <c r="L21" s="2759">
        <f>J21*250*24</f>
        <v>643320</v>
      </c>
      <c r="M21" s="2760">
        <v>26805</v>
      </c>
      <c r="N21" s="2765" t="s">
        <v>2870</v>
      </c>
      <c r="O21" s="2767">
        <f>ROUND(M21/30/J21,2)</f>
        <v>8.33</v>
      </c>
    </row>
    <row r="22" spans="1:15">
      <c r="A22" s="2757">
        <v>16</v>
      </c>
      <c r="B22" s="3162"/>
      <c r="C22" s="3162"/>
      <c r="D22" s="3163"/>
      <c r="E22" s="3163"/>
      <c r="F22" s="3163"/>
      <c r="G22" s="3163"/>
      <c r="H22" s="3163"/>
      <c r="I22" s="2758">
        <v>1410</v>
      </c>
      <c r="J22" s="2758">
        <v>145.21</v>
      </c>
      <c r="K22" s="2759" t="s">
        <v>2834</v>
      </c>
      <c r="L22" s="2759"/>
      <c r="M22" s="2760">
        <v>0</v>
      </c>
      <c r="N22" s="2765" t="s">
        <v>2832</v>
      </c>
      <c r="O22" s="2767" t="s">
        <v>2835</v>
      </c>
    </row>
    <row r="23" spans="1:15">
      <c r="A23" s="2757">
        <v>17</v>
      </c>
      <c r="B23" s="3162"/>
      <c r="C23" s="3162"/>
      <c r="D23" s="3163"/>
      <c r="E23" s="3163"/>
      <c r="F23" s="3163"/>
      <c r="G23" s="3163"/>
      <c r="H23" s="3163"/>
      <c r="I23" s="2758">
        <v>1503</v>
      </c>
      <c r="J23" s="2758">
        <v>83.75</v>
      </c>
      <c r="K23" s="3159" t="s">
        <v>2871</v>
      </c>
      <c r="L23" s="3152">
        <f>83.75*2*261.58*23</f>
        <v>1007736.9499999998</v>
      </c>
      <c r="M23" s="3155">
        <v>43814.65</v>
      </c>
      <c r="N23" s="3156" t="s">
        <v>2872</v>
      </c>
      <c r="O23" s="3151">
        <f>ROUND(M23/30/(J23+J24),2)</f>
        <v>8.7200000000000006</v>
      </c>
    </row>
    <row r="24" spans="1:15">
      <c r="A24" s="2757">
        <v>18</v>
      </c>
      <c r="B24" s="3162"/>
      <c r="C24" s="3162"/>
      <c r="D24" s="3163"/>
      <c r="E24" s="3163"/>
      <c r="F24" s="3163"/>
      <c r="G24" s="3163"/>
      <c r="H24" s="3163"/>
      <c r="I24" s="2758">
        <v>1504</v>
      </c>
      <c r="J24" s="2758">
        <v>83.75</v>
      </c>
      <c r="K24" s="3160"/>
      <c r="L24" s="3153"/>
      <c r="M24" s="3155"/>
      <c r="N24" s="3158"/>
      <c r="O24" s="3151"/>
    </row>
    <row r="25" spans="1:15">
      <c r="A25" s="2757">
        <v>19</v>
      </c>
      <c r="B25" s="3162"/>
      <c r="C25" s="3162"/>
      <c r="D25" s="3163"/>
      <c r="E25" s="3163"/>
      <c r="F25" s="3163"/>
      <c r="G25" s="3163"/>
      <c r="H25" s="3163"/>
      <c r="I25" s="2758">
        <v>1510</v>
      </c>
      <c r="J25" s="2758">
        <v>106.15</v>
      </c>
      <c r="K25" s="2759" t="s">
        <v>2873</v>
      </c>
      <c r="L25" s="2759">
        <f>M25*35</f>
        <v>780202.5</v>
      </c>
      <c r="M25" s="2760">
        <v>22291.5</v>
      </c>
      <c r="N25" s="2779" t="s">
        <v>2833</v>
      </c>
      <c r="O25" s="2767">
        <f>ROUND(M25/30/J25,2)</f>
        <v>7</v>
      </c>
    </row>
    <row r="26" spans="1:15">
      <c r="A26" s="2757">
        <v>20</v>
      </c>
      <c r="B26" s="3162"/>
      <c r="C26" s="3162"/>
      <c r="D26" s="3163"/>
      <c r="E26" s="3163"/>
      <c r="F26" s="3163"/>
      <c r="G26" s="3163"/>
      <c r="H26" s="3163"/>
      <c r="I26" s="2758">
        <v>1516</v>
      </c>
      <c r="J26" s="2758">
        <v>89.85</v>
      </c>
      <c r="K26" s="2759" t="s">
        <v>2834</v>
      </c>
      <c r="L26" s="2759"/>
      <c r="M26" s="2760">
        <v>0</v>
      </c>
      <c r="N26" s="2764"/>
      <c r="O26" s="2767" t="s">
        <v>2835</v>
      </c>
    </row>
    <row r="27" spans="1:15" ht="12" thickBot="1">
      <c r="A27" s="3145" t="s">
        <v>2836</v>
      </c>
      <c r="B27" s="3146"/>
      <c r="C27" s="3146"/>
      <c r="D27" s="3146"/>
      <c r="E27" s="3146"/>
      <c r="F27" s="3146"/>
      <c r="G27" s="3146"/>
      <c r="H27" s="3146"/>
      <c r="I27" s="3146"/>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3:N3"/>
    <mergeCell ref="B7:B26"/>
    <mergeCell ref="C7:C26"/>
    <mergeCell ref="D7:D26"/>
    <mergeCell ref="E7:E26"/>
    <mergeCell ref="F7:F26"/>
    <mergeCell ref="G7:G26"/>
    <mergeCell ref="H7:H26"/>
    <mergeCell ref="K9:K11"/>
    <mergeCell ref="L9:L11"/>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1277</v>
      </c>
      <c r="B2" s="2818" t="s">
        <v>1278</v>
      </c>
      <c r="C2" s="2818" t="s">
        <v>1279</v>
      </c>
      <c r="D2" s="2818" t="str">
        <f>IF('数据-取费表'!E3="否",结果表!D119,'结果表 (1修多)'!D122)</f>
        <v>出让国有建设用地使用权价值</v>
      </c>
      <c r="E2" s="2818"/>
      <c r="F2" s="2818" t="s">
        <v>1280</v>
      </c>
      <c r="G2" s="2818"/>
      <c r="H2" s="2818" t="s">
        <v>1281</v>
      </c>
      <c r="I2" s="2818"/>
    </row>
    <row r="3" spans="1:9" ht="15">
      <c r="A3" s="2811"/>
      <c r="B3" s="2811"/>
      <c r="C3" s="2811"/>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851.59</v>
      </c>
      <c r="C4" s="1048">
        <f>结果表!C121</f>
        <v>87.45</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1" t="s">
        <v>1285</v>
      </c>
      <c r="B5" s="2811"/>
      <c r="C5" s="2811"/>
      <c r="D5" s="2812" t="e">
        <f ca="1">IF('数据-取费表'!E3="否",结果表!D122,'结果表 (1修多)'!D125)</f>
        <v>#REF!</v>
      </c>
      <c r="E5" s="2812"/>
      <c r="F5" s="2812" t="e">
        <f ca="1">IF('数据-取费表'!E3="否",结果表!F122,'结果表 (1修多)'!F125)</f>
        <v>#REF!</v>
      </c>
      <c r="G5" s="2812"/>
      <c r="H5" s="2812" t="e">
        <f ca="1">IF('数据-取费表'!E3="否",结果表!H122,'结果表 (1修多)'!H125)</f>
        <v>#REF!</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1285</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t="e">
        <f ca="1">IF('数据-取费表'!E3="否",结果表!D125,'结果表 (1修多)'!D128)</f>
        <v>#REF!</v>
      </c>
      <c r="E8" s="2813"/>
      <c r="F8" s="2813"/>
      <c r="G8" s="2813"/>
      <c r="H8" s="2813"/>
      <c r="I8" s="2813"/>
    </row>
    <row r="9" spans="1:9" ht="15">
      <c r="A9" s="2811" t="s">
        <v>1285</v>
      </c>
      <c r="B9" s="2811"/>
      <c r="C9" s="2811"/>
      <c r="D9" s="2812" t="e">
        <f ca="1">IF('数据-取费表'!E3="否",结果表!D126,'结果表 (1修多)'!D129)</f>
        <v>#REF!</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1285</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1285</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单位：平方米、万元、元/平方米（币种：人民币）</v>
      </c>
      <c r="B14" s="2816"/>
      <c r="C14" s="2816"/>
      <c r="D14" s="2816"/>
      <c r="E14" s="2816"/>
      <c r="F14" s="2816"/>
      <c r="G14" s="2816"/>
      <c r="H14" s="2816"/>
      <c r="I14" s="2816"/>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3" t="s">
        <v>1299</v>
      </c>
      <c r="B1" s="2823"/>
      <c r="C1" s="2823"/>
      <c r="D1" s="2823"/>
    </row>
    <row r="2" spans="1:4" ht="18">
      <c r="A2" s="2822" t="s">
        <v>1287</v>
      </c>
      <c r="B2" s="2822"/>
      <c r="C2" s="2822"/>
      <c r="D2" s="2822"/>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2" t="s">
        <v>1292</v>
      </c>
      <c r="B7" s="2822"/>
      <c r="C7" s="2822"/>
      <c r="D7" s="2822"/>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4" t="s">
        <v>1301</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4"/>
      <c r="C16" s="2824"/>
      <c r="D16" s="2824"/>
    </row>
    <row r="17" spans="1:4" ht="63.75" customHeight="1">
      <c r="A17" s="2826" t="s">
        <v>1302</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1295</v>
      </c>
      <c r="B20" s="2826"/>
      <c r="C20" s="2826"/>
      <c r="D20" s="2826"/>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2" t="s">
        <v>1381</v>
      </c>
      <c r="B15" s="2827" t="s">
        <v>1382</v>
      </c>
      <c r="C15" s="2828"/>
    </row>
    <row r="16" spans="1:7" ht="14.25">
      <c r="A16" s="2833"/>
      <c r="B16" s="2827" t="s">
        <v>1383</v>
      </c>
      <c r="C16" s="2828"/>
    </row>
    <row r="17" spans="1:3" ht="14.25">
      <c r="A17" s="2833"/>
      <c r="B17" s="2827" t="s">
        <v>1384</v>
      </c>
      <c r="C17" s="2828"/>
    </row>
    <row r="18" spans="1:3" ht="14.25">
      <c r="A18" s="2834"/>
      <c r="B18" s="2829" t="s">
        <v>1385</v>
      </c>
      <c r="C18" s="2828"/>
    </row>
    <row r="19" spans="1:3" ht="14.25">
      <c r="A19" s="1979" t="s">
        <v>1386</v>
      </c>
      <c r="B19" s="1980"/>
      <c r="C19" s="1981"/>
    </row>
    <row r="20" spans="1:3" ht="14.25">
      <c r="A20" s="2830" t="s">
        <v>1387</v>
      </c>
      <c r="B20" s="2829" t="s">
        <v>1388</v>
      </c>
      <c r="C20" s="2828"/>
    </row>
    <row r="21" spans="1:3" ht="14.25">
      <c r="A21" s="2830"/>
      <c r="B21" s="2829" t="s">
        <v>1389</v>
      </c>
      <c r="C21" s="2828"/>
    </row>
    <row r="22" spans="1:3" ht="14.25">
      <c r="A22" s="2830"/>
      <c r="B22" s="2829" t="s">
        <v>1390</v>
      </c>
      <c r="C22" s="2828"/>
    </row>
    <row r="23" spans="1:3" ht="14.25">
      <c r="A23" s="2830"/>
      <c r="B23" s="2831" t="s">
        <v>1391</v>
      </c>
      <c r="C23" s="1982" t="s">
        <v>1392</v>
      </c>
    </row>
    <row r="24" spans="1:3" ht="14.25">
      <c r="A24" s="2830"/>
      <c r="B24" s="2831"/>
      <c r="C24" s="1982" t="s">
        <v>1393</v>
      </c>
    </row>
    <row r="25" spans="1:3" ht="14.25">
      <c r="A25" s="2830"/>
      <c r="B25" s="2831"/>
      <c r="C25" s="1982" t="s">
        <v>1394</v>
      </c>
    </row>
    <row r="26" spans="1:3" ht="14.25">
      <c r="A26" s="2830"/>
      <c r="B26" s="2831"/>
      <c r="C26" s="1982" t="s">
        <v>1395</v>
      </c>
    </row>
    <row r="27" spans="1:3" ht="14.25">
      <c r="A27" s="2830"/>
      <c r="B27" s="2831"/>
      <c r="C27" s="1982" t="s">
        <v>1396</v>
      </c>
    </row>
    <row r="28" spans="1:3" ht="14.25">
      <c r="A28" s="2830"/>
      <c r="B28" s="2831"/>
      <c r="C28" s="1982" t="s">
        <v>1397</v>
      </c>
    </row>
    <row r="29" spans="1:3" ht="14.25">
      <c r="A29" s="2830"/>
      <c r="B29" s="2831"/>
      <c r="C29" s="1982" t="s">
        <v>1398</v>
      </c>
    </row>
    <row r="30" spans="1:3" ht="14.25">
      <c r="A30" s="2830"/>
      <c r="B30" s="2831"/>
      <c r="C30" s="1982" t="s">
        <v>1399</v>
      </c>
    </row>
    <row r="31" spans="1:3" ht="14.25">
      <c r="A31" s="2830"/>
      <c r="B31" s="2831"/>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43213</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5" t="s">
        <v>769</v>
      </c>
      <c r="B25" s="2835"/>
      <c r="C25" s="2835"/>
      <c r="D25" s="2835"/>
      <c r="E25" s="2835"/>
      <c r="F25" s="2835"/>
      <c r="G25" s="2835"/>
      <c r="H25" s="2835"/>
    </row>
    <row r="26" spans="1:8" s="1033" customFormat="1" ht="24" customHeight="1">
      <c r="A26" s="2836" t="s">
        <v>770</v>
      </c>
      <c r="B26" s="2836"/>
      <c r="C26" s="2836"/>
      <c r="D26" s="1061"/>
      <c r="E26" s="1061"/>
      <c r="F26" s="2836" t="s">
        <v>771</v>
      </c>
      <c r="G26" s="2836"/>
      <c r="H26" s="283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2925</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37"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row>
    <row r="54" spans="1:4">
      <c r="A54" s="2837"/>
      <c r="B54" s="9" t="s">
        <v>1497</v>
      </c>
      <c r="C54" s="9" t="s">
        <v>1498</v>
      </c>
    </row>
    <row r="55" spans="1:4">
      <c r="A55" s="2837"/>
      <c r="B55" s="9" t="s">
        <v>1499</v>
      </c>
      <c r="C55" s="9" t="s">
        <v>1500</v>
      </c>
    </row>
    <row r="56" spans="1:4">
      <c r="A56" s="2837"/>
      <c r="B56" s="9" t="s">
        <v>1501</v>
      </c>
      <c r="C56" s="9" t="s">
        <v>1502</v>
      </c>
    </row>
    <row r="57" spans="1:4">
      <c r="A57" s="2837"/>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2018-04-23T03:03:28Z</dcterms:modified>
</cp:coreProperties>
</file>